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960" windowWidth="11955" windowHeight="3465" tabRatio="797"/>
  </bookViews>
  <sheets>
    <sheet name="Table of Contents" sheetId="2" r:id="rId1"/>
    <sheet name="Notes to Development" sheetId="3" state="hidden" r:id="rId2"/>
    <sheet name="Summary" sheetId="4" r:id="rId3"/>
    <sheet name="Actual Net Rev Req" sheetId="5" r:id="rId4"/>
    <sheet name="Actual Gross Rev Req" sheetId="6" r:id="rId5"/>
    <sheet name="Actual Sch 1 Rev Req" sheetId="7" r:id="rId6"/>
    <sheet name="A-1 (Act. Rev Credit) " sheetId="8" r:id="rId7"/>
    <sheet name="A-2 (Act. Divisor) " sheetId="9" r:id="rId8"/>
    <sheet name="A-3 ( Act. ADIT)" sheetId="10" r:id="rId9"/>
    <sheet name="A-4 (Act. Excluded Assets) " sheetId="30" r:id="rId10"/>
    <sheet name="A-5 (Act Depreciation Rate)" sheetId="12" r:id="rId11"/>
    <sheet name="A-6 (Act Taxes Other)" sheetId="13" r:id="rId12"/>
    <sheet name="A-7 (Act. RTO Directed Proj)" sheetId="14" r:id="rId13"/>
    <sheet name="A-8 (Act. Sponsor) " sheetId="15" r:id="rId14"/>
    <sheet name="A-9 (Act. Incentive Projects)" sheetId="16" r:id="rId15"/>
    <sheet name="A-10 (Act. A&amp;G)" sheetId="17" r:id="rId16"/>
    <sheet name="A-11 (Act 13 Mo &amp; BOY-EOY Aver)" sheetId="29" r:id="rId17"/>
    <sheet name="TU (True-Up)" sheetId="18" r:id="rId18"/>
    <sheet name="RTO Project Smry" sheetId="19" r:id="rId19"/>
    <sheet name="Spon Project Smry" sheetId="20" r:id="rId20"/>
    <sheet name="Projected Net Rev Req" sheetId="21" r:id="rId21"/>
    <sheet name="Projected Gross Rev Req" sheetId="22" r:id="rId22"/>
    <sheet name="Projected Schedule 1 Rev Req" sheetId="23" r:id="rId23"/>
    <sheet name="P-1 (Trans Plant)" sheetId="24" r:id="rId24"/>
    <sheet name="P-2 (Exp. &amp; Rev. Credits)" sheetId="25" r:id="rId25"/>
    <sheet name="P-3 (Trans. Network Load)" sheetId="26" r:id="rId26"/>
    <sheet name="P-4 (Proj. RTO Directed)" sheetId="27" r:id="rId27"/>
    <sheet name="P-5 (Sponsored Projects) " sheetId="28" r:id="rId28"/>
  </sheets>
  <externalReferences>
    <externalReference r:id="rId29"/>
  </externalReferences>
  <definedNames>
    <definedName name="CE">'Actual Gross Rev Req'!#REF!</definedName>
    <definedName name="DA">'Actual Gross Rev Req'!$K$42</definedName>
    <definedName name="DR">('Actual Gross Rev Req'!$M$25-'Actual Gross Rev Req'!$M$26)/'Actual Gross Rev Req'!$M$25</definedName>
    <definedName name="GP">'Actual Gross Rev Req'!$K$156</definedName>
    <definedName name="KCPLallocatorsP">'[1]KCPL Projected TCOS'!$I$318:$J$329</definedName>
    <definedName name="NP">'Actual Gross Rev Req'!$K$172</definedName>
    <definedName name="_xlnm.Print_Area" localSheetId="6">'A-1 (Act. Rev Credit) '!$A$1:$N$72</definedName>
    <definedName name="_xlnm.Print_Area" localSheetId="15">'A-10 (Act. A&amp;G)'!$A$1:$I$53</definedName>
    <definedName name="_xlnm.Print_Area" localSheetId="7">'A-2 (Act. Divisor) '!$A$1:$O$31</definedName>
    <definedName name="_xlnm.Print_Area" localSheetId="8">'A-3 ( Act. ADIT)'!$A$1:$K$155</definedName>
    <definedName name="_xlnm.Print_Area" localSheetId="9">'A-4 (Act. Excluded Assets) '!$A$1:$R$117</definedName>
    <definedName name="_xlnm.Print_Area" localSheetId="10">'A-5 (Act Depreciation Rate)'!$A$1:$O$83,'A-5 (Act Depreciation Rate)'!$A$84:$Q$151</definedName>
    <definedName name="_xlnm.Print_Area" localSheetId="11">'A-6 (Act Taxes Other)'!$A$1:$M$25</definedName>
    <definedName name="_xlnm.Print_Area" localSheetId="12">'A-7 (Act. RTO Directed Proj)'!$A$1:$O$39,'A-7 (Act. RTO Directed Proj)'!$A$40:$AJ$90,'A-7 (Act. RTO Directed Proj)'!$A$93:$O$246</definedName>
    <definedName name="_xlnm.Print_Area" localSheetId="13">'A-8 (Act. Sponsor) '!$A$1:$O$62</definedName>
    <definedName name="_xlnm.Print_Area" localSheetId="14">'A-9 (Act. Incentive Projects)'!$A$1:$W$338</definedName>
    <definedName name="_xlnm.Print_Area" localSheetId="4">'Actual Gross Rev Req'!$B$1:$N$292</definedName>
    <definedName name="_xlnm.Print_Area" localSheetId="3">'Actual Net Rev Req'!$B$1:$H$53</definedName>
    <definedName name="_xlnm.Print_Area" localSheetId="5">'Actual Sch 1 Rev Req'!$A$1:$J$35</definedName>
    <definedName name="_xlnm.Print_Area" localSheetId="1">'Notes to Development'!$A$6:$I$123</definedName>
    <definedName name="_xlnm.Print_Area" localSheetId="23">'P-1 (Trans Plant)'!$A$1:$AK$48,'P-1 (Trans Plant)'!$A$49:$K$96</definedName>
    <definedName name="_xlnm.Print_Area" localSheetId="25">'P-3 (Trans. Network Load)'!$A$1:$G$31</definedName>
    <definedName name="_xlnm.Print_Area" localSheetId="26">'P-4 (Proj. RTO Directed)'!$A$1:$O$175</definedName>
    <definedName name="_xlnm.Print_Area" localSheetId="27">'P-5 (Sponsored Projects) '!$A$1:$O$47</definedName>
    <definedName name="_xlnm.Print_Area" localSheetId="21">'Projected Gross Rev Req'!$A$1:$K$276</definedName>
    <definedName name="_xlnm.Print_Area" localSheetId="20">'Projected Net Rev Req'!$A$1:$H$77</definedName>
    <definedName name="_xlnm.Print_Area" localSheetId="22">'Projected Schedule 1 Rev Req'!$A$1:$I$57</definedName>
    <definedName name="_xlnm.Print_Area" localSheetId="18">'RTO Project Smry'!$A$1:$M$33,'RTO Project Smry'!$A$35:$W$173</definedName>
    <definedName name="_xlnm.Print_Area" localSheetId="19">'Spon Project Smry'!$A$1:$M$32,'Spon Project Smry'!$A$34:$W$62</definedName>
    <definedName name="_xlnm.Print_Area" localSheetId="2">Summary!$A$1:$H$43</definedName>
    <definedName name="_xlnm.Print_Area" localSheetId="0">'Table of Contents'!$A$1:$E$66</definedName>
    <definedName name="_xlnm.Print_Area" localSheetId="17">'TU (True-Up)'!$A$1:$L$83</definedName>
    <definedName name="_xlnm.Print_Titles" localSheetId="12">'A-7 (Act. RTO Directed Proj)'!$A:$F,'A-7 (Act. RTO Directed Proj)'!$1:$1</definedName>
    <definedName name="_xlnm.Print_Titles" localSheetId="14">'A-9 (Act. Incentive Projects)'!$1:$1</definedName>
    <definedName name="_xlnm.Print_Titles" localSheetId="1">'Notes to Development'!$5:$5</definedName>
    <definedName name="_xlnm.Print_Titles" localSheetId="23">'P-1 (Trans Plant)'!$A:$F</definedName>
    <definedName name="_xlnm.Print_Titles" localSheetId="26">'P-4 (Proj. RTO Directed)'!$1:$3</definedName>
    <definedName name="_xlnm.Print_Titles" localSheetId="18">'RTO Project Smry'!$A:$D</definedName>
    <definedName name="_xlnm.Print_Titles" localSheetId="19">'Spon Project Smry'!$A:$D</definedName>
    <definedName name="PTitle">'Projected Net Rev Req'!$C$4</definedName>
    <definedName name="TE">'Actual Gross Rev Req'!#REF!</definedName>
    <definedName name="tp">'Actual Gross Rev Req'!$K$147</definedName>
    <definedName name="TU">#REF!</definedName>
    <definedName name="WCLTD">'Actual Gross Rev Req'!$M$214</definedName>
    <definedName name="WS">'Actual Gross Rev Req'!$M$194</definedName>
    <definedName name="Z_3FE91E53_AE54_4838_9D5E_3328D34C162F_.wvu.PrintArea" localSheetId="4" hidden="1">'Actual Gross Rev Req'!$B$1:$O$280</definedName>
    <definedName name="Z_3FE91E53_AE54_4838_9D5E_3328D34C162F_.wvu.PrintArea" localSheetId="21" hidden="1">'Projected Gross Rev Req'!$A$1:$M$292</definedName>
    <definedName name="Z_5356EC15_DBFE_4279_B78E_7488D0A96C59_.wvu.PrintArea" localSheetId="7" hidden="1">'A-2 (Act. Divisor) '!$A$1:$Q$25</definedName>
    <definedName name="Z_5356EC15_DBFE_4279_B78E_7488D0A96C59_.wvu.PrintArea" localSheetId="8" hidden="1">'A-3 ( Act. ADIT)'!$B$1:$K$189</definedName>
    <definedName name="Z_5356EC15_DBFE_4279_B78E_7488D0A96C59_.wvu.PrintArea" localSheetId="4" hidden="1">'Actual Gross Rev Req'!$B$1:$O$280</definedName>
    <definedName name="Z_5356EC15_DBFE_4279_B78E_7488D0A96C59_.wvu.PrintArea" localSheetId="3" hidden="1">'Actual Net Rev Req'!$A$3:$J$71</definedName>
    <definedName name="Z_5356EC15_DBFE_4279_B78E_7488D0A96C59_.wvu.PrintArea" localSheetId="21" hidden="1">'Projected Gross Rev Req'!$A$1:$M$292</definedName>
    <definedName name="Z_5356EC15_DBFE_4279_B78E_7488D0A96C59_.wvu.PrintArea" localSheetId="20" hidden="1">'Projected Net Rev Req'!$A$1:$I$71</definedName>
    <definedName name="Z_F1AD2142_F88C_45E8_AE25_B4DB8B7DDA1B_.wvu.PrintArea" localSheetId="7" hidden="1">'A-2 (Act. Divisor) '!$A$1:$Q$25</definedName>
    <definedName name="Z_F1AD2142_F88C_45E8_AE25_B4DB8B7DDA1B_.wvu.PrintArea" localSheetId="8" hidden="1">'A-3 ( Act. ADIT)'!$B$1:$K$189</definedName>
    <definedName name="Z_F1AD2142_F88C_45E8_AE25_B4DB8B7DDA1B_.wvu.PrintArea" localSheetId="4" hidden="1">'Actual Gross Rev Req'!$B$1:$N$280</definedName>
    <definedName name="Z_F1AD2142_F88C_45E8_AE25_B4DB8B7DDA1B_.wvu.PrintArea" localSheetId="3" hidden="1">'Actual Net Rev Req'!$A$3:$J$71</definedName>
    <definedName name="Z_F1AD2142_F88C_45E8_AE25_B4DB8B7DDA1B_.wvu.PrintArea" localSheetId="21" hidden="1">'Projected Gross Rev Req'!$A$1:$L$292</definedName>
    <definedName name="Z_F1AD2142_F88C_45E8_AE25_B4DB8B7DDA1B_.wvu.PrintArea" localSheetId="20" hidden="1">'Projected Net Rev Req'!$A$1:$I$71</definedName>
    <definedName name="Z_F5EDB0F5_DEA3_41A6_BB5C_F312B97C176E_.wvu.PrintArea" localSheetId="7" hidden="1">'A-2 (Act. Divisor) '!$A$1:$Q$25</definedName>
    <definedName name="Z_F5EDB0F5_DEA3_41A6_BB5C_F312B97C176E_.wvu.PrintArea" localSheetId="8" hidden="1">'A-3 ( Act. ADIT)'!$B$1:$K$189</definedName>
    <definedName name="Z_F5EDB0F5_DEA3_41A6_BB5C_F312B97C176E_.wvu.PrintArea" localSheetId="3" hidden="1">'Actual Net Rev Req'!$A$3:$J$71</definedName>
    <definedName name="Z_F5EDB0F5_DEA3_41A6_BB5C_F312B97C176E_.wvu.PrintArea" localSheetId="20" hidden="1">'Projected Net Rev Req'!$A$1:$I$71</definedName>
    <definedName name="Z_F98E7EC9_962F_471E_9B7D_C8DDC081625A_.wvu.PrintArea" localSheetId="7" hidden="1">'A-2 (Act. Divisor) '!$A$1:$Q$25</definedName>
    <definedName name="Z_F98E7EC9_962F_471E_9B7D_C8DDC081625A_.wvu.PrintArea" localSheetId="8" hidden="1">'A-3 ( Act. ADIT)'!$B$1:$K$189</definedName>
    <definedName name="Z_F98E7EC9_962F_471E_9B7D_C8DDC081625A_.wvu.PrintArea" localSheetId="3" hidden="1">'Actual Net Rev Req'!$A$3:$J$71</definedName>
    <definedName name="Z_F98E7EC9_962F_471E_9B7D_C8DDC081625A_.wvu.PrintArea" localSheetId="20" hidden="1">'Projected Net Rev Req'!$A$1:$I$71</definedName>
    <definedName name="Z_F98E7EC9_962F_471E_9B7D_C8DDC081625A_.wvu.PrintArea" localSheetId="18" hidden="1">'RTO Project Smry'!$B$1:$W$82</definedName>
    <definedName name="Z_F98E7EC9_962F_471E_9B7D_C8DDC081625A_.wvu.PrintArea" localSheetId="19" hidden="1">'Spon Project Smry'!$B$1:$Y$72</definedName>
    <definedName name="Z_FAA8FFD9_C96B_4A1B_8B9E_B863FD90DDBA_.wvu.Cols" localSheetId="10" hidden="1">'A-5 (Act Depreciation Rate)'!$I:$J</definedName>
    <definedName name="Z_FAA8FFD9_C96B_4A1B_8B9E_B863FD90DDBA_.wvu.PrintArea" localSheetId="6" hidden="1">'A-1 (Act. Rev Credit) '!$A$1:$Q$73</definedName>
    <definedName name="Z_FAA8FFD9_C96B_4A1B_8B9E_B863FD90DDBA_.wvu.PrintArea" localSheetId="15" hidden="1">'A-10 (Act. A&amp;G)'!$B$3:$I$6</definedName>
    <definedName name="Z_FAA8FFD9_C96B_4A1B_8B9E_B863FD90DDBA_.wvu.PrintArea" localSheetId="7" hidden="1">'A-2 (Act. Divisor) '!$B$1:$O$25</definedName>
    <definedName name="Z_FAA8FFD9_C96B_4A1B_8B9E_B863FD90DDBA_.wvu.PrintArea" localSheetId="8" hidden="1">'A-3 ( Act. ADIT)'!$A$1:$K$151</definedName>
    <definedName name="Z_FAA8FFD9_C96B_4A1B_8B9E_B863FD90DDBA_.wvu.PrintArea" localSheetId="10" hidden="1">'A-5 (Act Depreciation Rate)'!$A$1:$O$40</definedName>
    <definedName name="Z_FAA8FFD9_C96B_4A1B_8B9E_B863FD90DDBA_.wvu.PrintArea" localSheetId="11" hidden="1">'A-6 (Act Taxes Other)'!$B$1:$M$25</definedName>
    <definedName name="Z_FAA8FFD9_C96B_4A1B_8B9E_B863FD90DDBA_.wvu.PrintArea" localSheetId="12" hidden="1">'A-7 (Act. RTO Directed Proj)'!$A$1:$X$246</definedName>
    <definedName name="Z_FAA8FFD9_C96B_4A1B_8B9E_B863FD90DDBA_.wvu.PrintArea" localSheetId="13" hidden="1">'A-8 (Act. Sponsor) '!$A$1:$O$62</definedName>
    <definedName name="Z_FAA8FFD9_C96B_4A1B_8B9E_B863FD90DDBA_.wvu.PrintArea" localSheetId="14" hidden="1">'A-9 (Act. Incentive Projects)'!$A$1:$W$338</definedName>
    <definedName name="Z_FAA8FFD9_C96B_4A1B_8B9E_B863FD90DDBA_.wvu.PrintArea" localSheetId="4" hidden="1">'Actual Gross Rev Req'!$A$1:$O$283</definedName>
    <definedName name="Z_FAA8FFD9_C96B_4A1B_8B9E_B863FD90DDBA_.wvu.PrintArea" localSheetId="3" hidden="1">'Actual Net Rev Req'!$A$3:$H$55</definedName>
    <definedName name="Z_FAA8FFD9_C96B_4A1B_8B9E_B863FD90DDBA_.wvu.PrintArea" localSheetId="5" hidden="1">'Actual Sch 1 Rev Req'!$A$3:$J$35</definedName>
    <definedName name="Z_FAA8FFD9_C96B_4A1B_8B9E_B863FD90DDBA_.wvu.PrintArea" localSheetId="1" hidden="1">'Notes to Development'!$A$6:$I$123</definedName>
    <definedName name="Z_FAA8FFD9_C96B_4A1B_8B9E_B863FD90DDBA_.wvu.PrintArea" localSheetId="23" hidden="1">'P-1 (Trans Plant)'!$A$1:$AK$96</definedName>
    <definedName name="Z_FAA8FFD9_C96B_4A1B_8B9E_B863FD90DDBA_.wvu.PrintArea" localSheetId="25" hidden="1">'P-3 (Trans. Network Load)'!$A$1:$O$30</definedName>
    <definedName name="Z_FAA8FFD9_C96B_4A1B_8B9E_B863FD90DDBA_.wvu.PrintArea" localSheetId="26" hidden="1">'P-4 (Proj. RTO Directed)'!$A$1:$O$175</definedName>
    <definedName name="Z_FAA8FFD9_C96B_4A1B_8B9E_B863FD90DDBA_.wvu.PrintArea" localSheetId="27" hidden="1">'P-5 (Sponsored Projects) '!$A$1:$O$47</definedName>
    <definedName name="Z_FAA8FFD9_C96B_4A1B_8B9E_B863FD90DDBA_.wvu.PrintArea" localSheetId="21" hidden="1">'Projected Gross Rev Req'!$A$1:$M$265</definedName>
    <definedName name="Z_FAA8FFD9_C96B_4A1B_8B9E_B863FD90DDBA_.wvu.PrintArea" localSheetId="20" hidden="1">'Projected Net Rev Req'!$A$1:$H$77</definedName>
    <definedName name="Z_FAA8FFD9_C96B_4A1B_8B9E_B863FD90DDBA_.wvu.PrintArea" localSheetId="22" hidden="1">'Projected Schedule 1 Rev Req'!$A$3:$I$57</definedName>
    <definedName name="Z_FAA8FFD9_C96B_4A1B_8B9E_B863FD90DDBA_.wvu.PrintArea" localSheetId="18" hidden="1">'RTO Project Smry'!$A$1:$W$176</definedName>
    <definedName name="Z_FAA8FFD9_C96B_4A1B_8B9E_B863FD90DDBA_.wvu.PrintArea" localSheetId="19" hidden="1">'Spon Project Smry'!$A$1:$W$64</definedName>
    <definedName name="Z_FAA8FFD9_C96B_4A1B_8B9E_B863FD90DDBA_.wvu.PrintArea" localSheetId="2" hidden="1">Summary!$A$2:$H$45</definedName>
    <definedName name="Z_FAA8FFD9_C96B_4A1B_8B9E_B863FD90DDBA_.wvu.PrintArea" localSheetId="0" hidden="1">'Table of Contents'!$B$1:$E$68</definedName>
    <definedName name="Z_FAA8FFD9_C96B_4A1B_8B9E_B863FD90DDBA_.wvu.PrintArea" localSheetId="17" hidden="1">'TU (True-Up)'!$A$1:$L$83</definedName>
    <definedName name="Z_FAA8FFD9_C96B_4A1B_8B9E_B863FD90DDBA_.wvu.PrintTitles" localSheetId="12" hidden="1">'A-7 (Act. RTO Directed Proj)'!$1:$3</definedName>
    <definedName name="Z_FAA8FFD9_C96B_4A1B_8B9E_B863FD90DDBA_.wvu.PrintTitles" localSheetId="14" hidden="1">'A-9 (Act. Incentive Projects)'!$1:$3</definedName>
    <definedName name="Z_FAA8FFD9_C96B_4A1B_8B9E_B863FD90DDBA_.wvu.PrintTitles" localSheetId="1" hidden="1">'Notes to Development'!$5:$5</definedName>
    <definedName name="Z_FAA8FFD9_C96B_4A1B_8B9E_B863FD90DDBA_.wvu.PrintTitles" localSheetId="23" hidden="1">'P-1 (Trans Plant)'!$A:$F</definedName>
    <definedName name="Z_FAA8FFD9_C96B_4A1B_8B9E_B863FD90DDBA_.wvu.PrintTitles" localSheetId="26" hidden="1">'P-4 (Proj. RTO Directed)'!$1:$3</definedName>
    <definedName name="Z_FAA8FFD9_C96B_4A1B_8B9E_B863FD90DDBA_.wvu.PrintTitles" localSheetId="18" hidden="1">'RTO Project Smry'!$A:$D,'RTO Project Smry'!$45:$47</definedName>
    <definedName name="Z_FAA8FFD9_C96B_4A1B_8B9E_B863FD90DDBA_.wvu.Rows" localSheetId="14" hidden="1">'A-9 (Act. Incentive Projects)'!$7:$7</definedName>
  </definedNames>
  <calcPr calcId="145621"/>
  <customWorkbookViews>
    <customWorkbookView name="gdh7164 - Personal View" guid="{FAA8FFD9-C96B-4A1B-8B9E-B863FD90DDBA}" mergeInterval="0" personalView="1" maximized="1" windowWidth="1596" windowHeight="894" tabRatio="766" activeSheetId="1"/>
  </customWorkbookViews>
</workbook>
</file>

<file path=xl/calcChain.xml><?xml version="1.0" encoding="utf-8"?>
<calcChain xmlns="http://schemas.openxmlformats.org/spreadsheetml/2006/main">
  <c r="I52" i="23" l="1"/>
  <c r="I28" i="19"/>
  <c r="H68" i="24" l="1"/>
  <c r="F59" i="19" l="1"/>
  <c r="F58" i="19"/>
  <c r="E113" i="30" l="1"/>
  <c r="E110" i="30"/>
  <c r="E109" i="30"/>
  <c r="E106" i="30"/>
  <c r="E105" i="30"/>
  <c r="E102" i="30"/>
  <c r="E101" i="30"/>
  <c r="E98" i="30"/>
  <c r="E97" i="30"/>
  <c r="H89" i="24" l="1"/>
  <c r="G69" i="27"/>
  <c r="G70" i="27" s="1"/>
  <c r="G71" i="27" s="1"/>
  <c r="G72" i="27" s="1"/>
  <c r="G73" i="27" s="1"/>
  <c r="G74" i="27" s="1"/>
  <c r="G75" i="27" s="1"/>
  <c r="G76" i="27" s="1"/>
  <c r="G77" i="27" s="1"/>
  <c r="G78" i="27" s="1"/>
  <c r="G79" i="27" s="1"/>
  <c r="G80" i="27" s="1"/>
  <c r="G81" i="27" s="1"/>
  <c r="G68" i="27"/>
  <c r="G61" i="27"/>
  <c r="G58" i="27"/>
  <c r="M59" i="19" l="1"/>
  <c r="G59" i="19"/>
  <c r="M58" i="19"/>
  <c r="E59" i="19"/>
  <c r="E58" i="19"/>
  <c r="G58" i="19" s="1"/>
  <c r="B59" i="19"/>
  <c r="B58" i="19"/>
  <c r="O27" i="29" l="1"/>
  <c r="J59" i="24" l="1"/>
  <c r="M86" i="6" l="1"/>
  <c r="M85" i="6"/>
  <c r="M84" i="6"/>
  <c r="F145" i="10" l="1"/>
  <c r="F144" i="10"/>
  <c r="F143" i="10"/>
  <c r="F141" i="10"/>
  <c r="F140" i="10"/>
  <c r="F139" i="10"/>
  <c r="F138" i="10"/>
  <c r="F137" i="10"/>
  <c r="F136" i="10"/>
  <c r="F135" i="10"/>
  <c r="F134" i="10"/>
  <c r="F133" i="10"/>
  <c r="F132" i="10"/>
  <c r="F131" i="10"/>
  <c r="F130" i="10"/>
  <c r="F129" i="10"/>
  <c r="F128" i="10"/>
  <c r="F127" i="10"/>
  <c r="F126" i="10"/>
  <c r="F125" i="10"/>
  <c r="F124" i="10"/>
  <c r="F123" i="10"/>
  <c r="F122" i="10"/>
  <c r="F121" i="10"/>
  <c r="F112" i="10"/>
  <c r="F109" i="10"/>
  <c r="F108" i="10"/>
  <c r="F107" i="10"/>
  <c r="F104" i="10"/>
  <c r="F93" i="10"/>
  <c r="F92" i="10"/>
  <c r="F91" i="10"/>
  <c r="F90" i="10"/>
  <c r="Z58" i="14"/>
  <c r="G8" i="15" l="1"/>
  <c r="F10" i="17" l="1"/>
  <c r="B19" i="14" l="1"/>
  <c r="B18" i="14"/>
  <c r="B17" i="14"/>
  <c r="C18" i="14"/>
  <c r="C17" i="14"/>
  <c r="AK65" i="14"/>
  <c r="AM84" i="14"/>
  <c r="AM83" i="14"/>
  <c r="AM82" i="14"/>
  <c r="AM81" i="14"/>
  <c r="AM80" i="14"/>
  <c r="AM79" i="14"/>
  <c r="AM78" i="14"/>
  <c r="AM77" i="14"/>
  <c r="AM76" i="14"/>
  <c r="AM75" i="14"/>
  <c r="AM74" i="14"/>
  <c r="AM73" i="14"/>
  <c r="AM72" i="14"/>
  <c r="AM71" i="14"/>
  <c r="AM70" i="14"/>
  <c r="AM69" i="14"/>
  <c r="AM68" i="14"/>
  <c r="AM67" i="14"/>
  <c r="AM66" i="14"/>
  <c r="AM63" i="14"/>
  <c r="AM62" i="14"/>
  <c r="AM61" i="14"/>
  <c r="AL57" i="14"/>
  <c r="AK56" i="14"/>
  <c r="AK55" i="14"/>
  <c r="AK54" i="14"/>
  <c r="AK49" i="14"/>
  <c r="AK50" i="14" s="1"/>
  <c r="AK51" i="14" s="1"/>
  <c r="AK52" i="14" s="1"/>
  <c r="AK48" i="14"/>
  <c r="AK46" i="14"/>
  <c r="AJ84" i="14" l="1"/>
  <c r="AJ83" i="14"/>
  <c r="AJ82" i="14"/>
  <c r="AJ81" i="14"/>
  <c r="AJ80" i="14"/>
  <c r="AJ79" i="14"/>
  <c r="AJ78" i="14"/>
  <c r="AJ77" i="14"/>
  <c r="AJ76" i="14"/>
  <c r="AJ75" i="14"/>
  <c r="AJ74" i="14"/>
  <c r="AJ73" i="14"/>
  <c r="AJ72" i="14"/>
  <c r="AJ71" i="14"/>
  <c r="AJ70" i="14"/>
  <c r="AJ69" i="14"/>
  <c r="AJ68" i="14"/>
  <c r="AJ67" i="14"/>
  <c r="AJ66" i="14"/>
  <c r="AJ63" i="14"/>
  <c r="AJ62" i="14"/>
  <c r="AJ61" i="14"/>
  <c r="AI57" i="14"/>
  <c r="AH54" i="14"/>
  <c r="AH55" i="14" s="1"/>
  <c r="AH48" i="14"/>
  <c r="AH49" i="14" s="1"/>
  <c r="AH50" i="14" s="1"/>
  <c r="AH51" i="14" s="1"/>
  <c r="AH52" i="14" s="1"/>
  <c r="AH46" i="14"/>
  <c r="Y48" i="14"/>
  <c r="Y49" i="14"/>
  <c r="Y50" i="14" s="1"/>
  <c r="Y51" i="14" s="1"/>
  <c r="Y52" i="14" s="1"/>
  <c r="Y53" i="14" s="1"/>
  <c r="Y54" i="14" s="1"/>
  <c r="Y55" i="14" s="1"/>
  <c r="Y56" i="14" s="1"/>
  <c r="AH65" i="14" l="1"/>
  <c r="G141" i="10"/>
  <c r="I66" i="10"/>
  <c r="G67" i="10"/>
  <c r="AC58" i="14" l="1"/>
  <c r="W58" i="14"/>
  <c r="T58" i="14"/>
  <c r="Q58" i="14"/>
  <c r="N58" i="14"/>
  <c r="K58" i="14"/>
  <c r="H58" i="14"/>
  <c r="AD66" i="14"/>
  <c r="Y65" i="14"/>
  <c r="V65" i="14"/>
  <c r="S65" i="14"/>
  <c r="P65" i="14"/>
  <c r="M65" i="14"/>
  <c r="J65" i="14"/>
  <c r="G65" i="14"/>
  <c r="F93" i="6"/>
  <c r="H30" i="15"/>
  <c r="G37" i="15"/>
  <c r="G140" i="10" l="1"/>
  <c r="E93" i="10"/>
  <c r="F67" i="10"/>
  <c r="F66" i="10"/>
  <c r="J28" i="27" l="1"/>
  <c r="G28" i="27" l="1"/>
  <c r="B57" i="19" l="1"/>
  <c r="E56" i="19"/>
  <c r="B56" i="19"/>
  <c r="B3" i="20" l="1"/>
  <c r="M36" i="15" l="1"/>
  <c r="J36" i="15"/>
  <c r="G36" i="15"/>
  <c r="G45" i="14"/>
  <c r="G46" i="14" s="1"/>
  <c r="G47" i="14" s="1"/>
  <c r="G48" i="14" s="1"/>
  <c r="G49" i="14" s="1"/>
  <c r="G50" i="14" s="1"/>
  <c r="G51" i="14" s="1"/>
  <c r="G52" i="14" s="1"/>
  <c r="G53" i="14" s="1"/>
  <c r="G54" i="14" s="1"/>
  <c r="G55" i="14" s="1"/>
  <c r="J139" i="10" l="1"/>
  <c r="F76" i="10" l="1"/>
  <c r="I76" i="10" s="1"/>
  <c r="F75" i="10"/>
  <c r="G75" i="10" s="1"/>
  <c r="O22" i="12" l="1"/>
  <c r="N22" i="12"/>
  <c r="H53" i="18"/>
  <c r="C16" i="14"/>
  <c r="C15" i="14"/>
  <c r="AG84" i="14"/>
  <c r="AG83" i="14"/>
  <c r="AG82" i="14"/>
  <c r="AG81" i="14"/>
  <c r="AG80" i="14"/>
  <c r="AG79" i="14"/>
  <c r="AG78" i="14"/>
  <c r="AG77" i="14"/>
  <c r="AG76" i="14"/>
  <c r="AG75" i="14"/>
  <c r="AG74" i="14"/>
  <c r="AG73" i="14"/>
  <c r="AG72" i="14"/>
  <c r="AG71" i="14"/>
  <c r="AG70" i="14"/>
  <c r="AG69" i="14"/>
  <c r="AG68" i="14"/>
  <c r="AG67" i="14"/>
  <c r="AG66" i="14"/>
  <c r="AG63" i="14"/>
  <c r="AG62" i="14"/>
  <c r="AG61" i="14"/>
  <c r="AE54" i="14"/>
  <c r="AE55" i="14" s="1"/>
  <c r="AE48" i="14"/>
  <c r="AE49" i="14" s="1"/>
  <c r="AE50" i="14" s="1"/>
  <c r="AE51" i="14" s="1"/>
  <c r="AE52" i="14" s="1"/>
  <c r="AE46" i="14"/>
  <c r="AD84" i="14"/>
  <c r="AD83" i="14"/>
  <c r="AD82" i="14"/>
  <c r="AD81" i="14"/>
  <c r="AD80" i="14"/>
  <c r="AD79" i="14"/>
  <c r="AD78" i="14"/>
  <c r="AD77" i="14"/>
  <c r="AD76" i="14"/>
  <c r="AD75" i="14"/>
  <c r="AD74" i="14"/>
  <c r="AD73" i="14"/>
  <c r="AD72" i="14"/>
  <c r="AD71" i="14"/>
  <c r="AD70" i="14"/>
  <c r="AD69" i="14"/>
  <c r="AD68" i="14"/>
  <c r="AD67" i="14"/>
  <c r="AD63" i="14"/>
  <c r="AD62" i="14"/>
  <c r="AD61" i="14"/>
  <c r="AB54" i="14"/>
  <c r="P14" i="29"/>
  <c r="F105" i="10"/>
  <c r="J111" i="10"/>
  <c r="J114" i="10" s="1"/>
  <c r="J11" i="10" s="1"/>
  <c r="H111" i="10"/>
  <c r="H114" i="10" s="1"/>
  <c r="H11" i="10" s="1"/>
  <c r="F142" i="10"/>
  <c r="I104" i="10"/>
  <c r="E111" i="10"/>
  <c r="E148" i="10"/>
  <c r="E151" i="10" s="1"/>
  <c r="F65" i="10"/>
  <c r="I65" i="10" s="1"/>
  <c r="J45" i="14"/>
  <c r="J46" i="14" s="1"/>
  <c r="I17" i="7"/>
  <c r="I21" i="7" s="1"/>
  <c r="I23" i="7"/>
  <c r="I24" i="23" s="1"/>
  <c r="H17" i="10"/>
  <c r="H65" i="29"/>
  <c r="F81" i="6"/>
  <c r="H81" i="6" s="1"/>
  <c r="F83" i="6"/>
  <c r="H83" i="6"/>
  <c r="F82" i="6"/>
  <c r="H82" i="6" s="1"/>
  <c r="J150" i="14"/>
  <c r="J151" i="14" s="1"/>
  <c r="M150" i="14"/>
  <c r="M151" i="14" s="1"/>
  <c r="J201" i="14"/>
  <c r="J202" i="14"/>
  <c r="J203" i="14" s="1"/>
  <c r="J204" i="14" s="1"/>
  <c r="J205" i="14" s="1"/>
  <c r="J206" i="14"/>
  <c r="J207" i="14" s="1"/>
  <c r="J208" i="14" s="1"/>
  <c r="J209" i="14" s="1"/>
  <c r="J210" i="14" s="1"/>
  <c r="J211" i="14" s="1"/>
  <c r="J212" i="14" s="1"/>
  <c r="E157" i="19" s="1"/>
  <c r="M201" i="14"/>
  <c r="M202" i="14"/>
  <c r="M203" i="14" s="1"/>
  <c r="H62" i="18"/>
  <c r="B84" i="10"/>
  <c r="I61" i="24"/>
  <c r="I65" i="24" s="1"/>
  <c r="I66" i="24" s="1"/>
  <c r="I67" i="24" s="1"/>
  <c r="H92" i="6"/>
  <c r="C17" i="27"/>
  <c r="N53" i="8"/>
  <c r="K62" i="8"/>
  <c r="L61" i="8" s="1"/>
  <c r="P27" i="29"/>
  <c r="R44" i="30"/>
  <c r="F11" i="30" s="1"/>
  <c r="F13" i="30" s="1"/>
  <c r="R45" i="30"/>
  <c r="F12" i="30" s="1"/>
  <c r="R48" i="30"/>
  <c r="F17" i="30" s="1"/>
  <c r="F19" i="30" s="1"/>
  <c r="R49" i="30"/>
  <c r="F18" i="30"/>
  <c r="R52" i="30"/>
  <c r="F22" i="30" s="1"/>
  <c r="R53" i="30"/>
  <c r="F23" i="30" s="1"/>
  <c r="R56" i="30"/>
  <c r="F27" i="30" s="1"/>
  <c r="R57" i="30"/>
  <c r="F28" i="30"/>
  <c r="R60" i="30"/>
  <c r="F31" i="30" s="1"/>
  <c r="R61" i="30"/>
  <c r="R79" i="30"/>
  <c r="G22" i="30" s="1"/>
  <c r="R80" i="30"/>
  <c r="G23" i="30" s="1"/>
  <c r="H23" i="30" s="1"/>
  <c r="R75" i="30"/>
  <c r="G17" i="30" s="1"/>
  <c r="R76" i="30"/>
  <c r="G18" i="30" s="1"/>
  <c r="R83" i="30"/>
  <c r="G27" i="30" s="1"/>
  <c r="R84" i="30"/>
  <c r="G28" i="30" s="1"/>
  <c r="R87" i="30"/>
  <c r="G31" i="30" s="1"/>
  <c r="R88" i="30"/>
  <c r="G32" i="30" s="1"/>
  <c r="R71" i="30"/>
  <c r="G11" i="30" s="1"/>
  <c r="R72" i="30"/>
  <c r="G12" i="30"/>
  <c r="P16" i="29"/>
  <c r="F19" i="6" s="1"/>
  <c r="H19" i="6" s="1"/>
  <c r="H190" i="6"/>
  <c r="H189" i="6"/>
  <c r="K189" i="6" s="1"/>
  <c r="H191" i="6"/>
  <c r="K191" i="6" s="1"/>
  <c r="H192" i="6"/>
  <c r="K192" i="6" s="1"/>
  <c r="P29" i="29"/>
  <c r="F28" i="6" s="1"/>
  <c r="H28" i="6" s="1"/>
  <c r="P17" i="29"/>
  <c r="F20" i="6" s="1"/>
  <c r="P30" i="29"/>
  <c r="P12" i="29"/>
  <c r="P15" i="29"/>
  <c r="F18" i="6" s="1"/>
  <c r="F154" i="6" s="1"/>
  <c r="H154" i="6" s="1"/>
  <c r="F26" i="10"/>
  <c r="I26" i="10" s="1"/>
  <c r="F37" i="10"/>
  <c r="I37" i="10" s="1"/>
  <c r="F38" i="10"/>
  <c r="I38" i="10" s="1"/>
  <c r="F40" i="10"/>
  <c r="I40" i="10" s="1"/>
  <c r="F41" i="10"/>
  <c r="I41" i="10" s="1"/>
  <c r="F43" i="10"/>
  <c r="I43" i="10" s="1"/>
  <c r="F49" i="10"/>
  <c r="I49" i="10" s="1"/>
  <c r="F51" i="10"/>
  <c r="I51" i="10" s="1"/>
  <c r="F52" i="10"/>
  <c r="I52" i="10" s="1"/>
  <c r="F53" i="10"/>
  <c r="I53" i="10" s="1"/>
  <c r="F54" i="10"/>
  <c r="I54" i="10" s="1"/>
  <c r="F56" i="10"/>
  <c r="J56" i="10" s="1"/>
  <c r="F58" i="10"/>
  <c r="I58" i="10" s="1"/>
  <c r="F59" i="10"/>
  <c r="I59" i="10" s="1"/>
  <c r="F60" i="10"/>
  <c r="I60" i="10" s="1"/>
  <c r="I91" i="10"/>
  <c r="I95" i="10" s="1"/>
  <c r="I98" i="10" s="1"/>
  <c r="I10" i="10" s="1"/>
  <c r="I107" i="10"/>
  <c r="I108" i="10"/>
  <c r="I122" i="10"/>
  <c r="I130" i="10"/>
  <c r="I131" i="10"/>
  <c r="I132" i="10"/>
  <c r="I145" i="10"/>
  <c r="F30" i="10"/>
  <c r="J30" i="10" s="1"/>
  <c r="F31" i="10"/>
  <c r="J31" i="10" s="1"/>
  <c r="F39" i="10"/>
  <c r="J39" i="10" s="1"/>
  <c r="F42" i="10"/>
  <c r="J42" i="10" s="1"/>
  <c r="F44" i="10"/>
  <c r="J44" i="10" s="1"/>
  <c r="F47" i="10"/>
  <c r="J47" i="10" s="1"/>
  <c r="F48" i="10"/>
  <c r="J48" i="10" s="1"/>
  <c r="F62" i="10"/>
  <c r="J62" i="10" s="1"/>
  <c r="F63" i="10"/>
  <c r="J63" i="10" s="1"/>
  <c r="J121" i="10"/>
  <c r="J123" i="10"/>
  <c r="J125" i="10"/>
  <c r="J137" i="10"/>
  <c r="F59" i="29"/>
  <c r="P80" i="29"/>
  <c r="F49" i="6" s="1"/>
  <c r="H49" i="6" s="1"/>
  <c r="M49" i="6" s="1"/>
  <c r="H75" i="6"/>
  <c r="H76" i="6"/>
  <c r="H77" i="6"/>
  <c r="H78" i="6"/>
  <c r="D18" i="25" s="1"/>
  <c r="F18" i="25" s="1"/>
  <c r="E69" i="22" s="1"/>
  <c r="F69" i="22" s="1"/>
  <c r="F17" i="17"/>
  <c r="F80" i="6" s="1"/>
  <c r="H80" i="6" s="1"/>
  <c r="E32" i="17"/>
  <c r="F32" i="17" s="1"/>
  <c r="F85" i="6" s="1"/>
  <c r="H85" i="6" s="1"/>
  <c r="E37" i="17"/>
  <c r="F37" i="17" s="1"/>
  <c r="F86" i="6" s="1"/>
  <c r="E43" i="17"/>
  <c r="F43" i="17" s="1"/>
  <c r="D24" i="25" s="1"/>
  <c r="H88" i="6"/>
  <c r="M88" i="6" s="1"/>
  <c r="F91" i="29"/>
  <c r="F95" i="29"/>
  <c r="F102" i="29"/>
  <c r="F54" i="6" s="1"/>
  <c r="F107" i="29"/>
  <c r="F55" i="6" s="1"/>
  <c r="E47" i="22" s="1"/>
  <c r="F47" i="22" s="1"/>
  <c r="H207" i="6"/>
  <c r="M207" i="6" s="1"/>
  <c r="M208" i="6"/>
  <c r="H209" i="6"/>
  <c r="M209" i="6" s="1"/>
  <c r="M210" i="6"/>
  <c r="K203" i="22" s="1"/>
  <c r="F215" i="6"/>
  <c r="H215" i="6" s="1"/>
  <c r="H214" i="6"/>
  <c r="H197" i="6"/>
  <c r="M197" i="6"/>
  <c r="H198" i="6"/>
  <c r="M198" i="6" s="1"/>
  <c r="H199" i="6"/>
  <c r="M199" i="6" s="1"/>
  <c r="H204" i="6"/>
  <c r="M204" i="6" s="1"/>
  <c r="P25" i="29"/>
  <c r="P26" i="29"/>
  <c r="P28" i="29"/>
  <c r="H112" i="6"/>
  <c r="E12" i="13"/>
  <c r="G12" i="13"/>
  <c r="G16" i="13" s="1"/>
  <c r="F100" i="6" s="1"/>
  <c r="E9" i="13"/>
  <c r="I9" i="13" s="1"/>
  <c r="M9" i="13" s="1"/>
  <c r="E8" i="13"/>
  <c r="I8" i="13" s="1"/>
  <c r="M8" i="13" s="1"/>
  <c r="H93" i="6"/>
  <c r="H94" i="6"/>
  <c r="H96" i="6" s="1"/>
  <c r="G35" i="15"/>
  <c r="L12" i="8"/>
  <c r="N5" i="8" s="1"/>
  <c r="M5" i="8" s="1"/>
  <c r="N39" i="8"/>
  <c r="N40" i="8" s="1"/>
  <c r="C101" i="19"/>
  <c r="K61" i="24"/>
  <c r="D15" i="25"/>
  <c r="E178" i="22"/>
  <c r="F178" i="22" s="1"/>
  <c r="E177" i="22"/>
  <c r="F177" i="22" s="1"/>
  <c r="E179" i="22"/>
  <c r="F179" i="22" s="1"/>
  <c r="E180" i="22"/>
  <c r="F180" i="22" s="1"/>
  <c r="D16" i="25"/>
  <c r="D17" i="25"/>
  <c r="E73" i="22"/>
  <c r="F73" i="22" s="1"/>
  <c r="E74" i="22"/>
  <c r="F74" i="22"/>
  <c r="D20" i="25"/>
  <c r="D25" i="25"/>
  <c r="F25" i="25" s="1"/>
  <c r="E80" i="22" s="1"/>
  <c r="F80" i="22" s="1"/>
  <c r="K80" i="22" s="1"/>
  <c r="D18" i="24"/>
  <c r="J30" i="27"/>
  <c r="J31" i="27" s="1"/>
  <c r="J32" i="27" s="1"/>
  <c r="J33" i="27" s="1"/>
  <c r="J34" i="27" s="1"/>
  <c r="J35" i="27" s="1"/>
  <c r="J36" i="27" s="1"/>
  <c r="J37" i="27" s="1"/>
  <c r="J38" i="27" s="1"/>
  <c r="J39" i="27" s="1"/>
  <c r="J40" i="27" s="1"/>
  <c r="G17" i="28"/>
  <c r="G18" i="28" s="1"/>
  <c r="G18" i="27"/>
  <c r="G19" i="27"/>
  <c r="G20" i="27"/>
  <c r="G22" i="27"/>
  <c r="D4" i="22"/>
  <c r="B3" i="24" s="1"/>
  <c r="H95" i="10"/>
  <c r="H98" i="10"/>
  <c r="H10" i="10"/>
  <c r="H148" i="10"/>
  <c r="H151" i="10" s="1"/>
  <c r="H12" i="10" s="1"/>
  <c r="H78" i="10"/>
  <c r="H80" i="10" s="1"/>
  <c r="H13" i="10" s="1"/>
  <c r="F24" i="10"/>
  <c r="I24" i="10" s="1"/>
  <c r="J95" i="10"/>
  <c r="J98" i="10" s="1"/>
  <c r="J10" i="10" s="1"/>
  <c r="H61" i="29"/>
  <c r="I61" i="29"/>
  <c r="P74" i="29"/>
  <c r="F44" i="6" s="1"/>
  <c r="H44" i="6" s="1"/>
  <c r="I71" i="16"/>
  <c r="I9" i="16" s="1"/>
  <c r="N71" i="16"/>
  <c r="I10" i="16"/>
  <c r="S71" i="16"/>
  <c r="I11" i="16" s="1"/>
  <c r="I119" i="16"/>
  <c r="I15" i="16"/>
  <c r="N119" i="16"/>
  <c r="I16" i="16" s="1"/>
  <c r="I22" i="16" s="1"/>
  <c r="S119" i="16"/>
  <c r="I21" i="16"/>
  <c r="I167" i="16"/>
  <c r="I25" i="16"/>
  <c r="N167" i="16"/>
  <c r="I26" i="16" s="1"/>
  <c r="S167" i="16"/>
  <c r="I27" i="16"/>
  <c r="I214" i="16"/>
  <c r="I31" i="16" s="1"/>
  <c r="N214" i="16"/>
  <c r="I32" i="16"/>
  <c r="S214" i="16"/>
  <c r="I33" i="16" s="1"/>
  <c r="I264" i="16"/>
  <c r="I37" i="16"/>
  <c r="N264" i="16"/>
  <c r="I38" i="16" s="1"/>
  <c r="S264" i="16"/>
  <c r="I39" i="16"/>
  <c r="I313" i="16"/>
  <c r="I43" i="16" s="1"/>
  <c r="I46" i="16" s="1"/>
  <c r="N313" i="16"/>
  <c r="I44" i="16"/>
  <c r="S313" i="16"/>
  <c r="I45" i="16" s="1"/>
  <c r="P77" i="29"/>
  <c r="F46" i="6" s="1"/>
  <c r="H46" i="6" s="1"/>
  <c r="E25" i="17"/>
  <c r="F25" i="17"/>
  <c r="J55" i="16"/>
  <c r="J56" i="16" s="1"/>
  <c r="J58" i="16"/>
  <c r="J59" i="16"/>
  <c r="J60" i="16" s="1"/>
  <c r="J61" i="16" s="1"/>
  <c r="J62" i="16" s="1"/>
  <c r="J63" i="16" s="1"/>
  <c r="H200" i="6"/>
  <c r="M200" i="6" s="1"/>
  <c r="H201" i="6"/>
  <c r="M201" i="6"/>
  <c r="H265" i="6"/>
  <c r="H266" i="6"/>
  <c r="K265" i="6"/>
  <c r="K266" i="6"/>
  <c r="K267" i="6"/>
  <c r="O55" i="16"/>
  <c r="O56" i="16"/>
  <c r="O58" i="16"/>
  <c r="O59" i="16"/>
  <c r="O60" i="16" s="1"/>
  <c r="O61" i="16" s="1"/>
  <c r="O62" i="16" s="1"/>
  <c r="O63" i="16" s="1"/>
  <c r="O64" i="16" s="1"/>
  <c r="O65" i="16" s="1"/>
  <c r="O66" i="16" s="1"/>
  <c r="T55" i="16"/>
  <c r="T56" i="16" s="1"/>
  <c r="T58" i="16"/>
  <c r="T59" i="16"/>
  <c r="T60" i="16" s="1"/>
  <c r="T61" i="16" s="1"/>
  <c r="T62" i="16" s="1"/>
  <c r="T63" i="16" s="1"/>
  <c r="T64" i="16" s="1"/>
  <c r="T65" i="16" s="1"/>
  <c r="T66" i="16" s="1"/>
  <c r="J103" i="16"/>
  <c r="J104" i="16" s="1"/>
  <c r="J106" i="16"/>
  <c r="J107" i="16"/>
  <c r="J108" i="16"/>
  <c r="J109" i="16" s="1"/>
  <c r="J110" i="16" s="1"/>
  <c r="J111" i="16" s="1"/>
  <c r="J112" i="16"/>
  <c r="J113" i="16" s="1"/>
  <c r="J114" i="16" s="1"/>
  <c r="O103" i="16"/>
  <c r="O104" i="16"/>
  <c r="O106" i="16"/>
  <c r="O107" i="16" s="1"/>
  <c r="O108" i="16" s="1"/>
  <c r="O109" i="16" s="1"/>
  <c r="O110" i="16" s="1"/>
  <c r="O111" i="16" s="1"/>
  <c r="O112" i="16" s="1"/>
  <c r="O113" i="16" s="1"/>
  <c r="O114" i="16"/>
  <c r="L20" i="16"/>
  <c r="T103" i="16"/>
  <c r="T106" i="16"/>
  <c r="T107" i="16"/>
  <c r="T108" i="16" s="1"/>
  <c r="T109" i="16" s="1"/>
  <c r="T110" i="16" s="1"/>
  <c r="T111" i="16" s="1"/>
  <c r="T112" i="16" s="1"/>
  <c r="T113" i="16" s="1"/>
  <c r="T114" i="16" s="1"/>
  <c r="L17" i="16"/>
  <c r="N17" i="16" s="1"/>
  <c r="O17" i="16" s="1"/>
  <c r="J12" i="14" s="1"/>
  <c r="M17" i="16"/>
  <c r="L18" i="16"/>
  <c r="M18" i="16"/>
  <c r="L19" i="16"/>
  <c r="M19" i="16"/>
  <c r="J151" i="16"/>
  <c r="J152" i="16" s="1"/>
  <c r="J154" i="16"/>
  <c r="J155" i="16"/>
  <c r="J156" i="16" s="1"/>
  <c r="J157" i="16" s="1"/>
  <c r="J158" i="16" s="1"/>
  <c r="J159" i="16"/>
  <c r="J160" i="16" s="1"/>
  <c r="J161" i="16" s="1"/>
  <c r="J162" i="16" s="1"/>
  <c r="O151" i="16"/>
  <c r="O152" i="16" s="1"/>
  <c r="O154" i="16"/>
  <c r="O155" i="16"/>
  <c r="O156" i="16"/>
  <c r="O157" i="16" s="1"/>
  <c r="O158" i="16" s="1"/>
  <c r="O159" i="16" s="1"/>
  <c r="O160" i="16" s="1"/>
  <c r="O161" i="16" s="1"/>
  <c r="O162" i="16" s="1"/>
  <c r="T151" i="16"/>
  <c r="T152" i="16" s="1"/>
  <c r="T154" i="16"/>
  <c r="T155" i="16"/>
  <c r="T156" i="16"/>
  <c r="T157" i="16" s="1"/>
  <c r="T158" i="16" s="1"/>
  <c r="T159" i="16" s="1"/>
  <c r="T160" i="16"/>
  <c r="T161" i="16" s="1"/>
  <c r="T162" i="16" s="1"/>
  <c r="J198" i="16"/>
  <c r="J199" i="16"/>
  <c r="J201" i="16"/>
  <c r="J202" i="16" s="1"/>
  <c r="J203" i="16" s="1"/>
  <c r="J204" i="16" s="1"/>
  <c r="J205" i="16" s="1"/>
  <c r="J206" i="16" s="1"/>
  <c r="J207" i="16"/>
  <c r="J208" i="16" s="1"/>
  <c r="J209" i="16" s="1"/>
  <c r="O198" i="16"/>
  <c r="O199" i="16"/>
  <c r="O201" i="16"/>
  <c r="O202" i="16" s="1"/>
  <c r="O203" i="16"/>
  <c r="O204" i="16" s="1"/>
  <c r="O205" i="16" s="1"/>
  <c r="O206" i="16" s="1"/>
  <c r="O207" i="16" s="1"/>
  <c r="O208" i="16" s="1"/>
  <c r="O209" i="16" s="1"/>
  <c r="T198" i="16"/>
  <c r="T199" i="16"/>
  <c r="T201" i="16"/>
  <c r="T202" i="16" s="1"/>
  <c r="T203" i="16" s="1"/>
  <c r="T204" i="16" s="1"/>
  <c r="T205" i="16" s="1"/>
  <c r="T206" i="16" s="1"/>
  <c r="T207" i="16" s="1"/>
  <c r="T208" i="16" s="1"/>
  <c r="T209" i="16" s="1"/>
  <c r="J248" i="16"/>
  <c r="J249" i="16"/>
  <c r="J251" i="16"/>
  <c r="J252" i="16" s="1"/>
  <c r="J253" i="16" s="1"/>
  <c r="J254" i="16" s="1"/>
  <c r="J255" i="16" s="1"/>
  <c r="J256" i="16"/>
  <c r="J257" i="16" s="1"/>
  <c r="J258" i="16" s="1"/>
  <c r="J259" i="16" s="1"/>
  <c r="O248" i="16"/>
  <c r="O249" i="16" s="1"/>
  <c r="O251" i="16"/>
  <c r="O252" i="16" s="1"/>
  <c r="O253" i="16" s="1"/>
  <c r="O254" i="16" s="1"/>
  <c r="O255" i="16" s="1"/>
  <c r="O256" i="16" s="1"/>
  <c r="T248" i="16"/>
  <c r="T249" i="16"/>
  <c r="T251" i="16"/>
  <c r="T252" i="16"/>
  <c r="T253" i="16" s="1"/>
  <c r="T254" i="16" s="1"/>
  <c r="T255" i="16" s="1"/>
  <c r="T256" i="16" s="1"/>
  <c r="T257" i="16" s="1"/>
  <c r="T258" i="16" s="1"/>
  <c r="T259" i="16" s="1"/>
  <c r="J297" i="16"/>
  <c r="J300" i="16"/>
  <c r="J301" i="16" s="1"/>
  <c r="J302" i="16"/>
  <c r="J303" i="16" s="1"/>
  <c r="J304" i="16" s="1"/>
  <c r="J305" i="16" s="1"/>
  <c r="J306" i="16" s="1"/>
  <c r="J307" i="16" s="1"/>
  <c r="J308" i="16" s="1"/>
  <c r="O297" i="16"/>
  <c r="O298" i="16" s="1"/>
  <c r="O300" i="16"/>
  <c r="O301" i="16" s="1"/>
  <c r="O302" i="16"/>
  <c r="O303" i="16" s="1"/>
  <c r="O304" i="16" s="1"/>
  <c r="O305" i="16" s="1"/>
  <c r="O306" i="16" s="1"/>
  <c r="O307" i="16" s="1"/>
  <c r="O308" i="16" s="1"/>
  <c r="T297" i="16"/>
  <c r="T298" i="16"/>
  <c r="T300" i="16"/>
  <c r="T301" i="16"/>
  <c r="T302" i="16" s="1"/>
  <c r="T303" i="16"/>
  <c r="T304" i="16" s="1"/>
  <c r="T305" i="16" s="1"/>
  <c r="T306" i="16" s="1"/>
  <c r="T307" i="16" s="1"/>
  <c r="T308" i="16" s="1"/>
  <c r="F169" i="6"/>
  <c r="H169" i="6"/>
  <c r="H10" i="13"/>
  <c r="H16" i="13"/>
  <c r="F101" i="6" s="1"/>
  <c r="E15" i="13"/>
  <c r="K15" i="13" s="1"/>
  <c r="K16" i="13" s="1"/>
  <c r="F105" i="6" s="1"/>
  <c r="L16" i="13"/>
  <c r="H95" i="6"/>
  <c r="M95" i="6"/>
  <c r="H234" i="6"/>
  <c r="X63" i="14"/>
  <c r="I114" i="14"/>
  <c r="G23" i="14"/>
  <c r="L114" i="14"/>
  <c r="O114" i="14"/>
  <c r="G25" i="14" s="1"/>
  <c r="G150" i="14"/>
  <c r="G201" i="14"/>
  <c r="G202" i="14"/>
  <c r="G203" i="14" s="1"/>
  <c r="E46" i="20"/>
  <c r="L35" i="15"/>
  <c r="O35" i="15"/>
  <c r="L33" i="15"/>
  <c r="G9" i="15"/>
  <c r="O33" i="15"/>
  <c r="G10" i="15"/>
  <c r="F113" i="30"/>
  <c r="G113" i="30"/>
  <c r="H113" i="30"/>
  <c r="I113" i="30"/>
  <c r="J113" i="30"/>
  <c r="K113" i="30"/>
  <c r="L113" i="30"/>
  <c r="M113" i="30"/>
  <c r="N113" i="30"/>
  <c r="O113" i="30"/>
  <c r="P113" i="30"/>
  <c r="Q113" i="30"/>
  <c r="F109" i="30"/>
  <c r="G109" i="30"/>
  <c r="H109" i="30"/>
  <c r="I109" i="30"/>
  <c r="J109" i="30"/>
  <c r="K109" i="30"/>
  <c r="L109" i="30"/>
  <c r="M109" i="30"/>
  <c r="N109" i="30"/>
  <c r="O109" i="30"/>
  <c r="P109" i="30"/>
  <c r="Q109" i="30"/>
  <c r="F105" i="30"/>
  <c r="G105" i="30"/>
  <c r="H105" i="30"/>
  <c r="I105" i="30"/>
  <c r="J105" i="30"/>
  <c r="K105" i="30"/>
  <c r="L105" i="30"/>
  <c r="M105" i="30"/>
  <c r="N105" i="30"/>
  <c r="O105" i="30"/>
  <c r="P105" i="30"/>
  <c r="Q105" i="30"/>
  <c r="P101" i="30"/>
  <c r="H101" i="30"/>
  <c r="J101" i="30"/>
  <c r="L101" i="30"/>
  <c r="M101" i="30"/>
  <c r="N101" i="30"/>
  <c r="Q101" i="30"/>
  <c r="I101" i="30"/>
  <c r="K101" i="30"/>
  <c r="O101" i="30"/>
  <c r="F101" i="30"/>
  <c r="G101" i="30"/>
  <c r="F97" i="30"/>
  <c r="F116" i="30" s="1"/>
  <c r="G97" i="30"/>
  <c r="H97" i="30"/>
  <c r="I97" i="30"/>
  <c r="J97" i="30"/>
  <c r="K97" i="30"/>
  <c r="L97" i="30"/>
  <c r="M97" i="30"/>
  <c r="N97" i="30"/>
  <c r="O97" i="30"/>
  <c r="P97" i="30"/>
  <c r="Q97" i="30"/>
  <c r="Q116" i="30" s="1"/>
  <c r="M37" i="14"/>
  <c r="C61" i="14"/>
  <c r="F211" i="6"/>
  <c r="L62" i="14"/>
  <c r="R61" i="14"/>
  <c r="R62" i="14"/>
  <c r="F102" i="30"/>
  <c r="G102" i="30"/>
  <c r="H102" i="30"/>
  <c r="I102" i="30"/>
  <c r="J102" i="30"/>
  <c r="K102" i="30"/>
  <c r="L102" i="30"/>
  <c r="M102" i="30"/>
  <c r="N102" i="30"/>
  <c r="O102" i="30"/>
  <c r="P102" i="30"/>
  <c r="Q102" i="30"/>
  <c r="F98" i="30"/>
  <c r="G98" i="30"/>
  <c r="H98" i="30"/>
  <c r="I98" i="30"/>
  <c r="J98" i="30"/>
  <c r="K98" i="30"/>
  <c r="L98" i="30"/>
  <c r="M98" i="30"/>
  <c r="N98" i="30"/>
  <c r="O98" i="30"/>
  <c r="P98" i="30"/>
  <c r="Q98" i="30"/>
  <c r="F106" i="30"/>
  <c r="G106" i="30"/>
  <c r="H106" i="30"/>
  <c r="I106" i="30"/>
  <c r="J106" i="30"/>
  <c r="K106" i="30"/>
  <c r="L106" i="30"/>
  <c r="M106" i="30"/>
  <c r="N106" i="30"/>
  <c r="O106" i="30"/>
  <c r="P106" i="30"/>
  <c r="Q106" i="30"/>
  <c r="F110" i="30"/>
  <c r="G110" i="30"/>
  <c r="H110" i="30"/>
  <c r="I110" i="30"/>
  <c r="J110" i="30"/>
  <c r="K110" i="30"/>
  <c r="L110" i="30"/>
  <c r="M110" i="30"/>
  <c r="N110" i="30"/>
  <c r="O110" i="30"/>
  <c r="P110" i="30"/>
  <c r="Q110" i="30"/>
  <c r="F114" i="30"/>
  <c r="G114" i="30"/>
  <c r="H114" i="30"/>
  <c r="I114" i="30"/>
  <c r="J114" i="30"/>
  <c r="K114" i="30"/>
  <c r="L114" i="30"/>
  <c r="M114" i="30"/>
  <c r="N114" i="30"/>
  <c r="O114" i="30"/>
  <c r="P114" i="30"/>
  <c r="Q114" i="30"/>
  <c r="O59" i="12"/>
  <c r="N59" i="12"/>
  <c r="O58" i="12"/>
  <c r="N58" i="12"/>
  <c r="O57" i="12"/>
  <c r="N57" i="12"/>
  <c r="O56" i="12"/>
  <c r="N56" i="12"/>
  <c r="O21" i="12"/>
  <c r="N21" i="12"/>
  <c r="E149" i="10"/>
  <c r="G138" i="10"/>
  <c r="E79" i="10"/>
  <c r="F64" i="10"/>
  <c r="G64" i="10" s="1"/>
  <c r="J20" i="27"/>
  <c r="J21" i="27" s="1"/>
  <c r="J22" i="27" s="1"/>
  <c r="M18" i="27"/>
  <c r="M19" i="27"/>
  <c r="M35" i="27"/>
  <c r="E207" i="22"/>
  <c r="F207" i="22" s="1"/>
  <c r="E190" i="22"/>
  <c r="F190" i="22" s="1"/>
  <c r="E191" i="22"/>
  <c r="F191" i="22" s="1"/>
  <c r="E192" i="22"/>
  <c r="F192" i="22" s="1"/>
  <c r="E193" i="22"/>
  <c r="F193" i="22" s="1"/>
  <c r="E194" i="22"/>
  <c r="F194" i="22"/>
  <c r="E200" i="22"/>
  <c r="F200" i="22" s="1"/>
  <c r="K200" i="22" s="1"/>
  <c r="E202" i="22"/>
  <c r="F202" i="22" s="1"/>
  <c r="K202" i="22" s="1"/>
  <c r="E197" i="22"/>
  <c r="F197" i="22" s="1"/>
  <c r="K197" i="22" s="1"/>
  <c r="E87" i="22"/>
  <c r="E36" i="22" s="1"/>
  <c r="F36" i="22" s="1"/>
  <c r="C29" i="24"/>
  <c r="H30" i="24"/>
  <c r="M30" i="24"/>
  <c r="R30" i="24"/>
  <c r="R31" i="24" s="1"/>
  <c r="W30" i="24"/>
  <c r="AB30" i="24"/>
  <c r="AB31" i="24" s="1"/>
  <c r="AG30" i="24"/>
  <c r="AG31" i="24" s="1"/>
  <c r="AG32" i="24" s="1"/>
  <c r="AG33" i="24" s="1"/>
  <c r="AG34" i="24" s="1"/>
  <c r="AG35" i="24" s="1"/>
  <c r="M31" i="24"/>
  <c r="M32" i="24" s="1"/>
  <c r="M33" i="24" s="1"/>
  <c r="M34" i="24" s="1"/>
  <c r="M35" i="24" s="1"/>
  <c r="M36" i="24" s="1"/>
  <c r="M37" i="24" s="1"/>
  <c r="M38" i="24" s="1"/>
  <c r="M39" i="24" s="1"/>
  <c r="M40" i="24" s="1"/>
  <c r="W31" i="24"/>
  <c r="W32" i="24" s="1"/>
  <c r="W33" i="24" s="1"/>
  <c r="W34" i="24" s="1"/>
  <c r="W35" i="24" s="1"/>
  <c r="R32" i="24"/>
  <c r="R33" i="24" s="1"/>
  <c r="R34" i="24"/>
  <c r="R35" i="24" s="1"/>
  <c r="R36" i="24" s="1"/>
  <c r="R37" i="24" s="1"/>
  <c r="R38" i="24" s="1"/>
  <c r="R39" i="24"/>
  <c r="R40" i="24" s="1"/>
  <c r="W36" i="24"/>
  <c r="W37" i="24" s="1"/>
  <c r="W38" i="24"/>
  <c r="W39" i="24" s="1"/>
  <c r="W40" i="24" s="1"/>
  <c r="C41" i="24"/>
  <c r="G262" i="22"/>
  <c r="G263" i="22"/>
  <c r="K262" i="22"/>
  <c r="K263" i="22"/>
  <c r="G264" i="22"/>
  <c r="I264" i="22" s="1"/>
  <c r="K264" i="22" s="1"/>
  <c r="J13" i="24"/>
  <c r="I17" i="24"/>
  <c r="J18" i="24"/>
  <c r="J19" i="24"/>
  <c r="J20" i="24"/>
  <c r="J21" i="24"/>
  <c r="J22" i="24"/>
  <c r="J23" i="24"/>
  <c r="J24" i="24"/>
  <c r="J25" i="24"/>
  <c r="J26" i="24"/>
  <c r="J27" i="24"/>
  <c r="J28" i="24"/>
  <c r="J29" i="24"/>
  <c r="I30" i="24"/>
  <c r="J30" i="24"/>
  <c r="N29" i="24"/>
  <c r="N30" i="24" s="1"/>
  <c r="O31" i="24" s="1"/>
  <c r="N17" i="24"/>
  <c r="O18" i="24" s="1"/>
  <c r="P18" i="24" s="1"/>
  <c r="P19" i="24"/>
  <c r="P20" i="24" s="1"/>
  <c r="O19" i="24"/>
  <c r="O20" i="24"/>
  <c r="N20" i="24"/>
  <c r="N31" i="24"/>
  <c r="S29" i="24"/>
  <c r="S17" i="24"/>
  <c r="T18" i="24" s="1"/>
  <c r="U18" i="24" s="1"/>
  <c r="T19" i="24"/>
  <c r="T20" i="24"/>
  <c r="S20" i="24"/>
  <c r="T21" i="24" s="1"/>
  <c r="S21" i="24"/>
  <c r="S30" i="24"/>
  <c r="S31" i="24" s="1"/>
  <c r="T30" i="24"/>
  <c r="T31" i="24"/>
  <c r="Y13" i="24"/>
  <c r="X17" i="24"/>
  <c r="Y18" i="24" s="1"/>
  <c r="Z18" i="24"/>
  <c r="Z19" i="24" s="1"/>
  <c r="Z20" i="24" s="1"/>
  <c r="Z21" i="24" s="1"/>
  <c r="Z22" i="24" s="1"/>
  <c r="Z23" i="24" s="1"/>
  <c r="Z24" i="24" s="1"/>
  <c r="Z25" i="24" s="1"/>
  <c r="Z26" i="24" s="1"/>
  <c r="Z27" i="24" s="1"/>
  <c r="Z28" i="24" s="1"/>
  <c r="Y19" i="24"/>
  <c r="Y20" i="24"/>
  <c r="Y21" i="24"/>
  <c r="Y22" i="24"/>
  <c r="Y23" i="24"/>
  <c r="Y24" i="24"/>
  <c r="Y25" i="24"/>
  <c r="Y26" i="24"/>
  <c r="Y27" i="24"/>
  <c r="Y28" i="24"/>
  <c r="Y29" i="24"/>
  <c r="X30" i="24"/>
  <c r="Y30" i="24"/>
  <c r="AC29" i="24"/>
  <c r="AC17" i="24"/>
  <c r="AD18" i="24" s="1"/>
  <c r="AE18" i="24"/>
  <c r="AE19" i="24" s="1"/>
  <c r="AE20" i="24" s="1"/>
  <c r="AE21" i="24" s="1"/>
  <c r="AD19" i="24"/>
  <c r="AD20" i="24"/>
  <c r="AC20" i="24"/>
  <c r="AC21" i="24" s="1"/>
  <c r="AD21" i="24"/>
  <c r="AC30" i="24"/>
  <c r="AD30" i="24"/>
  <c r="AC31" i="24"/>
  <c r="AC32" i="24" s="1"/>
  <c r="AD31" i="24"/>
  <c r="AD32" i="24"/>
  <c r="AH29" i="24"/>
  <c r="AH17" i="24"/>
  <c r="AI18" i="24" s="1"/>
  <c r="AJ18" i="24"/>
  <c r="AJ19" i="24" s="1"/>
  <c r="AJ20" i="24" s="1"/>
  <c r="AJ21" i="24" s="1"/>
  <c r="AI19" i="24"/>
  <c r="AI20" i="24"/>
  <c r="AH20" i="24"/>
  <c r="AI21" i="24" s="1"/>
  <c r="AH21" i="24"/>
  <c r="AH22" i="24" s="1"/>
  <c r="AH30" i="24"/>
  <c r="AI30" i="24"/>
  <c r="E55" i="19"/>
  <c r="G98" i="14"/>
  <c r="G99" i="14"/>
  <c r="G100" i="14" s="1"/>
  <c r="J98" i="14"/>
  <c r="J99" i="14" s="1"/>
  <c r="J100" i="14" s="1"/>
  <c r="M98" i="14"/>
  <c r="M99" i="14"/>
  <c r="G59" i="27"/>
  <c r="G60" i="27" s="1"/>
  <c r="J59" i="27"/>
  <c r="J60" i="27"/>
  <c r="J61" i="27"/>
  <c r="J57" i="27"/>
  <c r="M57" i="27"/>
  <c r="M58" i="27"/>
  <c r="G100" i="27"/>
  <c r="G101" i="27" s="1"/>
  <c r="G102" i="27" s="1"/>
  <c r="J100" i="27"/>
  <c r="J101" i="27"/>
  <c r="M100" i="27"/>
  <c r="M101" i="27" s="1"/>
  <c r="M102" i="27" s="1"/>
  <c r="G143" i="27"/>
  <c r="G144" i="27" s="1"/>
  <c r="G145" i="27" s="1"/>
  <c r="J143" i="27"/>
  <c r="M143" i="27"/>
  <c r="M144" i="27" s="1"/>
  <c r="J17" i="15"/>
  <c r="M17" i="15"/>
  <c r="M18" i="15"/>
  <c r="M19" i="15" s="1"/>
  <c r="M20" i="15" s="1"/>
  <c r="M21" i="15" s="1"/>
  <c r="M22" i="15"/>
  <c r="M23" i="15" s="1"/>
  <c r="M24" i="15" s="1"/>
  <c r="M25" i="15" s="1"/>
  <c r="M26" i="15" s="1"/>
  <c r="M27" i="15" s="1"/>
  <c r="M28" i="15" s="1"/>
  <c r="E48" i="20" s="1"/>
  <c r="J16" i="28"/>
  <c r="J17" i="28" s="1"/>
  <c r="J18" i="28" s="1"/>
  <c r="J19" i="28" s="1"/>
  <c r="M16" i="28"/>
  <c r="M17" i="28" s="1"/>
  <c r="E85" i="22"/>
  <c r="F85" i="22"/>
  <c r="E86" i="22"/>
  <c r="F86" i="22" s="1"/>
  <c r="F87" i="22"/>
  <c r="K87" i="22"/>
  <c r="E104" i="22"/>
  <c r="F104" i="22" s="1"/>
  <c r="I151" i="22"/>
  <c r="F160" i="22"/>
  <c r="F79" i="6"/>
  <c r="A17" i="10"/>
  <c r="A18" i="10" s="1"/>
  <c r="D78" i="10"/>
  <c r="D79" i="10"/>
  <c r="I33" i="15"/>
  <c r="E33" i="15" s="1"/>
  <c r="D33" i="15"/>
  <c r="C33" i="15"/>
  <c r="D61" i="14"/>
  <c r="E11" i="13"/>
  <c r="J11" i="13" s="1"/>
  <c r="J14" i="13"/>
  <c r="M14" i="13" s="1"/>
  <c r="E13" i="13"/>
  <c r="J13" i="13" s="1"/>
  <c r="M13" i="13" s="1"/>
  <c r="I62" i="14"/>
  <c r="O62" i="14"/>
  <c r="U62" i="14"/>
  <c r="X62" i="14"/>
  <c r="I61" i="14"/>
  <c r="L61" i="14"/>
  <c r="O61" i="14"/>
  <c r="X61" i="14"/>
  <c r="E61" i="14" s="1"/>
  <c r="AA61" i="14"/>
  <c r="U61" i="14"/>
  <c r="C56" i="20"/>
  <c r="A91" i="10"/>
  <c r="A92" i="10" s="1"/>
  <c r="A93" i="10" s="1"/>
  <c r="A94" i="10" s="1"/>
  <c r="A95" i="10" s="1"/>
  <c r="A96" i="10" s="1"/>
  <c r="A97" i="10" s="1"/>
  <c r="A98" i="10" s="1"/>
  <c r="G136" i="10"/>
  <c r="F25" i="10"/>
  <c r="G25" i="10" s="1"/>
  <c r="F27" i="10"/>
  <c r="G27" i="10" s="1"/>
  <c r="F28" i="10"/>
  <c r="G28" i="10" s="1"/>
  <c r="F29" i="10"/>
  <c r="G29" i="10" s="1"/>
  <c r="F32" i="10"/>
  <c r="G32" i="10" s="1"/>
  <c r="F33" i="10"/>
  <c r="G33" i="10" s="1"/>
  <c r="F34" i="10"/>
  <c r="G34" i="10" s="1"/>
  <c r="F35" i="10"/>
  <c r="G35" i="10" s="1"/>
  <c r="F36" i="10"/>
  <c r="G36" i="10" s="1"/>
  <c r="F45" i="10"/>
  <c r="G45" i="10" s="1"/>
  <c r="F46" i="10"/>
  <c r="G46" i="10" s="1"/>
  <c r="F55" i="10"/>
  <c r="G55" i="10" s="1"/>
  <c r="F57" i="10"/>
  <c r="G57" i="10" s="1"/>
  <c r="F69" i="10"/>
  <c r="G69" i="10" s="1"/>
  <c r="F70" i="10"/>
  <c r="G70" i="10" s="1"/>
  <c r="F71" i="10"/>
  <c r="G71" i="10" s="1"/>
  <c r="F72" i="10"/>
  <c r="G72" i="10" s="1"/>
  <c r="F73" i="10"/>
  <c r="G73" i="10" s="1"/>
  <c r="F74" i="10"/>
  <c r="G74" i="10" s="1"/>
  <c r="F77" i="10"/>
  <c r="I77" i="10" s="1"/>
  <c r="F50" i="10"/>
  <c r="F61" i="10"/>
  <c r="F68" i="10"/>
  <c r="E78" i="10"/>
  <c r="I34" i="15"/>
  <c r="B55" i="19"/>
  <c r="B54" i="19"/>
  <c r="B53" i="19"/>
  <c r="A10" i="16"/>
  <c r="A11" i="16"/>
  <c r="A12" i="16" s="1"/>
  <c r="A15" i="16" s="1"/>
  <c r="B17" i="16"/>
  <c r="B18" i="16"/>
  <c r="B19" i="16" s="1"/>
  <c r="B20" i="16" s="1"/>
  <c r="B21" i="16" s="1"/>
  <c r="A10" i="14"/>
  <c r="A11" i="14" s="1"/>
  <c r="A12" i="14" s="1"/>
  <c r="A13" i="14" s="1"/>
  <c r="A14" i="14" s="1"/>
  <c r="A15" i="14" s="1"/>
  <c r="A19" i="14" s="1"/>
  <c r="A20" i="14" s="1"/>
  <c r="B11" i="14"/>
  <c r="B12" i="14" s="1"/>
  <c r="B13" i="14" s="1"/>
  <c r="B14" i="14" s="1"/>
  <c r="B15" i="14" s="1"/>
  <c r="C13" i="14"/>
  <c r="C12" i="14"/>
  <c r="U84" i="14"/>
  <c r="R84" i="14"/>
  <c r="U83" i="14"/>
  <c r="R83" i="14"/>
  <c r="U82" i="14"/>
  <c r="R82" i="14"/>
  <c r="U81" i="14"/>
  <c r="R81" i="14"/>
  <c r="U80" i="14"/>
  <c r="R80" i="14"/>
  <c r="U79" i="14"/>
  <c r="R79" i="14"/>
  <c r="U78" i="14"/>
  <c r="R78" i="14"/>
  <c r="U77" i="14"/>
  <c r="R77" i="14"/>
  <c r="U76" i="14"/>
  <c r="R76" i="14"/>
  <c r="U75" i="14"/>
  <c r="R75" i="14"/>
  <c r="U74" i="14"/>
  <c r="R74" i="14"/>
  <c r="U73" i="14"/>
  <c r="R73" i="14"/>
  <c r="U72" i="14"/>
  <c r="R72" i="14"/>
  <c r="U71" i="14"/>
  <c r="R71" i="14"/>
  <c r="U70" i="14"/>
  <c r="R70" i="14"/>
  <c r="U69" i="14"/>
  <c r="R69" i="14"/>
  <c r="U68" i="14"/>
  <c r="R68" i="14"/>
  <c r="U67" i="14"/>
  <c r="R67" i="14"/>
  <c r="U66" i="14"/>
  <c r="R66" i="14"/>
  <c r="A42" i="14"/>
  <c r="A43" i="14" s="1"/>
  <c r="A44" i="14" s="1"/>
  <c r="A45" i="14" s="1"/>
  <c r="D148" i="10"/>
  <c r="F146" i="10"/>
  <c r="G146" i="10"/>
  <c r="E194" i="6"/>
  <c r="A147" i="14"/>
  <c r="A148" i="14" s="1"/>
  <c r="A149" i="14" s="1"/>
  <c r="A150" i="14" s="1"/>
  <c r="A151" i="14"/>
  <c r="A152" i="14" s="1"/>
  <c r="A153" i="14" s="1"/>
  <c r="A154" i="14" s="1"/>
  <c r="A155" i="14" s="1"/>
  <c r="A156" i="14" s="1"/>
  <c r="A157" i="14" s="1"/>
  <c r="A158" i="14" s="1"/>
  <c r="A159" i="14" s="1"/>
  <c r="A160" i="14" s="1"/>
  <c r="A161" i="14" s="1"/>
  <c r="A51" i="16"/>
  <c r="A52" i="16"/>
  <c r="A53" i="16" s="1"/>
  <c r="A54" i="16" s="1"/>
  <c r="A55" i="16" s="1"/>
  <c r="A13" i="15"/>
  <c r="A14" i="15" s="1"/>
  <c r="A15" i="15" s="1"/>
  <c r="A16" i="15" s="1"/>
  <c r="A17" i="15"/>
  <c r="A18" i="15" s="1"/>
  <c r="A19" i="15" s="1"/>
  <c r="A20" i="15" s="1"/>
  <c r="A21" i="15"/>
  <c r="A22" i="15" s="1"/>
  <c r="A23" i="15" s="1"/>
  <c r="A24" i="15" s="1"/>
  <c r="A25" i="15"/>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198" i="14"/>
  <c r="A199" i="14" s="1"/>
  <c r="A200" i="14"/>
  <c r="A201" i="14" s="1"/>
  <c r="H21" i="10"/>
  <c r="H87" i="10" s="1"/>
  <c r="H101" i="10" s="1"/>
  <c r="H117" i="10" s="1"/>
  <c r="H20" i="10"/>
  <c r="H86" i="10" s="1"/>
  <c r="H100" i="10" s="1"/>
  <c r="H116" i="10" s="1"/>
  <c r="G124" i="10"/>
  <c r="G126" i="10"/>
  <c r="G127" i="10"/>
  <c r="G128" i="10"/>
  <c r="G129" i="10"/>
  <c r="G133" i="10"/>
  <c r="G134" i="10"/>
  <c r="G135" i="10"/>
  <c r="G143" i="10"/>
  <c r="G144" i="10"/>
  <c r="G149" i="10" s="1"/>
  <c r="G112" i="10"/>
  <c r="G90" i="10"/>
  <c r="G92" i="10"/>
  <c r="G93" i="10"/>
  <c r="A142" i="22"/>
  <c r="A143" i="22" s="1"/>
  <c r="D182" i="22"/>
  <c r="A25" i="22"/>
  <c r="A28" i="22"/>
  <c r="A29" i="22" s="1"/>
  <c r="A30" i="22" s="1"/>
  <c r="D19" i="22"/>
  <c r="A190" i="22"/>
  <c r="H267" i="6"/>
  <c r="H210" i="6"/>
  <c r="H208" i="6"/>
  <c r="E146" i="6"/>
  <c r="F35" i="6"/>
  <c r="H35" i="6"/>
  <c r="B80" i="6"/>
  <c r="B88" i="6"/>
  <c r="B89" i="6" s="1"/>
  <c r="B92" i="6" s="1"/>
  <c r="E17" i="7"/>
  <c r="B16" i="6"/>
  <c r="F147" i="10"/>
  <c r="F110" i="10"/>
  <c r="F94" i="10"/>
  <c r="D149" i="10"/>
  <c r="E112" i="10"/>
  <c r="D112" i="10"/>
  <c r="E95" i="10"/>
  <c r="E98" i="10" s="1"/>
  <c r="D95" i="10"/>
  <c r="D98" i="10" s="1"/>
  <c r="M44" i="24"/>
  <c r="R44" i="24"/>
  <c r="W44" i="24"/>
  <c r="AU145" i="12"/>
  <c r="AU144" i="12"/>
  <c r="Q144" i="12"/>
  <c r="P144" i="12"/>
  <c r="A90" i="12"/>
  <c r="A91" i="12" s="1"/>
  <c r="A92" i="12" s="1"/>
  <c r="A93" i="12" s="1"/>
  <c r="A94" i="12" s="1"/>
  <c r="A95" i="12" s="1"/>
  <c r="A96" i="12" s="1"/>
  <c r="A97" i="12" s="1"/>
  <c r="A98" i="12" s="1"/>
  <c r="A99" i="12" s="1"/>
  <c r="A100" i="12" s="1"/>
  <c r="A101" i="12" s="1"/>
  <c r="A102" i="12" s="1"/>
  <c r="A103" i="12" s="1"/>
  <c r="A104" i="12" s="1"/>
  <c r="A105" i="12" s="1"/>
  <c r="A106" i="12" s="1"/>
  <c r="A107" i="12" s="1"/>
  <c r="A108" i="12" s="1"/>
  <c r="A109" i="12" s="1"/>
  <c r="A110" i="12" s="1"/>
  <c r="A111" i="12" s="1"/>
  <c r="A112" i="12" s="1"/>
  <c r="A113" i="12" s="1"/>
  <c r="A114" i="12" s="1"/>
  <c r="A115" i="12" s="1"/>
  <c r="A116" i="12" s="1"/>
  <c r="A117" i="12" s="1"/>
  <c r="A118" i="12" s="1"/>
  <c r="A119" i="12" s="1"/>
  <c r="A120" i="12" s="1"/>
  <c r="A121" i="12" s="1"/>
  <c r="A122" i="12" s="1"/>
  <c r="A123" i="12" s="1"/>
  <c r="A124" i="12" s="1"/>
  <c r="A125" i="12" s="1"/>
  <c r="A126" i="12" s="1"/>
  <c r="A127" i="12" s="1"/>
  <c r="A128" i="12" s="1"/>
  <c r="A129" i="12" s="1"/>
  <c r="A130" i="12" s="1"/>
  <c r="A131" i="12" s="1"/>
  <c r="A132" i="12" s="1"/>
  <c r="A133" i="12" s="1"/>
  <c r="A134" i="12" s="1"/>
  <c r="A135" i="12" s="1"/>
  <c r="A136" i="12" s="1"/>
  <c r="A137" i="12" s="1"/>
  <c r="A138" i="12" s="1"/>
  <c r="A139" i="12" s="1"/>
  <c r="A140" i="12" s="1"/>
  <c r="A141" i="12" s="1"/>
  <c r="A142" i="12" s="1"/>
  <c r="A143" i="12" s="1"/>
  <c r="A144" i="12" s="1"/>
  <c r="AU143" i="12"/>
  <c r="Q143" i="12"/>
  <c r="P143" i="12"/>
  <c r="AU142" i="12"/>
  <c r="Q142" i="12"/>
  <c r="P142" i="12"/>
  <c r="AU141" i="12"/>
  <c r="Q141" i="12"/>
  <c r="P141" i="12"/>
  <c r="AU140" i="12"/>
  <c r="Q140" i="12"/>
  <c r="P140" i="12"/>
  <c r="AU139" i="12"/>
  <c r="Q139" i="12"/>
  <c r="P139" i="12"/>
  <c r="AU138" i="12"/>
  <c r="Q138" i="12"/>
  <c r="P138" i="12"/>
  <c r="AU137" i="12"/>
  <c r="Q137" i="12"/>
  <c r="P137" i="12"/>
  <c r="AU136" i="12"/>
  <c r="Q136" i="12"/>
  <c r="P136" i="12"/>
  <c r="AU135" i="12"/>
  <c r="Q135" i="12"/>
  <c r="P135" i="12"/>
  <c r="AU134" i="12"/>
  <c r="Q134" i="12"/>
  <c r="P134" i="12"/>
  <c r="AU133" i="12"/>
  <c r="Q133" i="12"/>
  <c r="P133" i="12"/>
  <c r="AU132" i="12"/>
  <c r="Q132" i="12"/>
  <c r="P132" i="12"/>
  <c r="AU131" i="12"/>
  <c r="Q131" i="12"/>
  <c r="P131" i="12"/>
  <c r="AU130" i="12"/>
  <c r="Q130" i="12"/>
  <c r="P130" i="12"/>
  <c r="AU129" i="12"/>
  <c r="Q129" i="12"/>
  <c r="P129" i="12"/>
  <c r="AU128" i="12"/>
  <c r="Q128" i="12"/>
  <c r="P128" i="12"/>
  <c r="AU127" i="12"/>
  <c r="Q127" i="12"/>
  <c r="P127" i="12"/>
  <c r="AU126" i="12"/>
  <c r="Q126" i="12"/>
  <c r="P126" i="12"/>
  <c r="AU125" i="12"/>
  <c r="Q125" i="12"/>
  <c r="P125" i="12"/>
  <c r="AU124" i="12"/>
  <c r="Q124" i="12"/>
  <c r="P124" i="12"/>
  <c r="AU123" i="12"/>
  <c r="Q123" i="12"/>
  <c r="P123" i="12"/>
  <c r="AU122" i="12"/>
  <c r="Q122" i="12"/>
  <c r="P122" i="12"/>
  <c r="AU121" i="12"/>
  <c r="Q121" i="12"/>
  <c r="P121" i="12"/>
  <c r="AU120" i="12"/>
  <c r="Q120" i="12"/>
  <c r="P120" i="12"/>
  <c r="AU119" i="12"/>
  <c r="Q119" i="12"/>
  <c r="P119" i="12"/>
  <c r="AU118" i="12"/>
  <c r="Q118" i="12"/>
  <c r="P118" i="12"/>
  <c r="AU117" i="12"/>
  <c r="Q117" i="12"/>
  <c r="P117" i="12"/>
  <c r="AU116" i="12"/>
  <c r="Q116" i="12"/>
  <c r="P116" i="12"/>
  <c r="AU115" i="12"/>
  <c r="Q115" i="12"/>
  <c r="P115" i="12"/>
  <c r="AU114" i="12"/>
  <c r="G114" i="12"/>
  <c r="K114" i="12"/>
  <c r="Q114" i="12" s="1"/>
  <c r="O114" i="12"/>
  <c r="P114" i="12"/>
  <c r="AU113" i="12"/>
  <c r="Q113" i="12"/>
  <c r="P113" i="12"/>
  <c r="AU112" i="12"/>
  <c r="Q112" i="12"/>
  <c r="P112" i="12"/>
  <c r="AU111" i="12"/>
  <c r="Q111" i="12"/>
  <c r="P111" i="12"/>
  <c r="AU110" i="12"/>
  <c r="Q110" i="12"/>
  <c r="P110" i="12"/>
  <c r="AU109" i="12"/>
  <c r="Q109" i="12"/>
  <c r="P109" i="12"/>
  <c r="AU108" i="12"/>
  <c r="Q108" i="12"/>
  <c r="P108" i="12"/>
  <c r="AU107" i="12"/>
  <c r="Q107" i="12"/>
  <c r="P107" i="12"/>
  <c r="AU106" i="12"/>
  <c r="Q106" i="12"/>
  <c r="P106" i="12"/>
  <c r="AU105" i="12"/>
  <c r="Q105" i="12"/>
  <c r="P105" i="12"/>
  <c r="Q104" i="12"/>
  <c r="P104" i="12"/>
  <c r="Q103" i="12"/>
  <c r="P103" i="12"/>
  <c r="H99" i="12"/>
  <c r="M99" i="12"/>
  <c r="AU102" i="12" s="1"/>
  <c r="Q102" i="12"/>
  <c r="P102" i="12"/>
  <c r="AU101" i="12"/>
  <c r="P101" i="12"/>
  <c r="AU100" i="12"/>
  <c r="P100" i="12"/>
  <c r="AU99" i="12"/>
  <c r="G99" i="12"/>
  <c r="K99" i="12"/>
  <c r="O99" i="12"/>
  <c r="AU98" i="12"/>
  <c r="Q98" i="12"/>
  <c r="P98" i="12"/>
  <c r="AU97" i="12"/>
  <c r="Q97" i="12"/>
  <c r="P97" i="12"/>
  <c r="AU96" i="12"/>
  <c r="Q96" i="12"/>
  <c r="P96" i="12"/>
  <c r="AU95" i="12"/>
  <c r="Q95" i="12"/>
  <c r="P95" i="12"/>
  <c r="H91" i="12"/>
  <c r="M91" i="12"/>
  <c r="AU94" i="12"/>
  <c r="Q94" i="12"/>
  <c r="P94" i="12"/>
  <c r="AU93" i="12"/>
  <c r="Q93" i="12"/>
  <c r="P93" i="12"/>
  <c r="AU92" i="12"/>
  <c r="Q92" i="12"/>
  <c r="P92" i="12"/>
  <c r="G91" i="12"/>
  <c r="K91" i="12"/>
  <c r="O91" i="12"/>
  <c r="P91" i="12"/>
  <c r="Q90" i="12"/>
  <c r="P90" i="12"/>
  <c r="Q89" i="12"/>
  <c r="P89" i="12"/>
  <c r="O69" i="12"/>
  <c r="N69" i="12"/>
  <c r="A9" i="12"/>
  <c r="A10" i="12" s="1"/>
  <c r="A11" i="12" s="1"/>
  <c r="A12" i="12" s="1"/>
  <c r="A13" i="12" s="1"/>
  <c r="A14" i="12" s="1"/>
  <c r="A15" i="12" s="1"/>
  <c r="A16" i="12" s="1"/>
  <c r="A17" i="12" s="1"/>
  <c r="A18" i="12" s="1"/>
  <c r="A19" i="12" s="1"/>
  <c r="A20"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60" i="12" s="1"/>
  <c r="A61" i="12" s="1"/>
  <c r="A62" i="12" s="1"/>
  <c r="A63" i="12" s="1"/>
  <c r="A64" i="12" s="1"/>
  <c r="A65" i="12" s="1"/>
  <c r="A66" i="12" s="1"/>
  <c r="A67" i="12" s="1"/>
  <c r="A68" i="12" s="1"/>
  <c r="A69" i="12" s="1"/>
  <c r="O68" i="12"/>
  <c r="N68" i="12"/>
  <c r="O67" i="12"/>
  <c r="N67" i="12"/>
  <c r="O66" i="12"/>
  <c r="N66" i="12"/>
  <c r="O65" i="12"/>
  <c r="N65" i="12"/>
  <c r="O64" i="12"/>
  <c r="N64" i="12"/>
  <c r="O63" i="12"/>
  <c r="N63" i="12"/>
  <c r="O62" i="12"/>
  <c r="N62" i="12"/>
  <c r="O61" i="12"/>
  <c r="N61" i="12"/>
  <c r="O60" i="12"/>
  <c r="N60" i="12"/>
  <c r="O55" i="12"/>
  <c r="N55" i="12"/>
  <c r="O54" i="12"/>
  <c r="N54" i="12"/>
  <c r="O53" i="12"/>
  <c r="N53" i="12"/>
  <c r="O52" i="12"/>
  <c r="N52" i="12"/>
  <c r="O51" i="12"/>
  <c r="N51" i="12"/>
  <c r="O50" i="12"/>
  <c r="N50" i="12"/>
  <c r="O49" i="12"/>
  <c r="N49" i="12"/>
  <c r="O48" i="12"/>
  <c r="N48" i="12"/>
  <c r="O47" i="12"/>
  <c r="N47" i="12"/>
  <c r="O46" i="12"/>
  <c r="N46" i="12"/>
  <c r="O45" i="12"/>
  <c r="N45" i="12"/>
  <c r="O44" i="12"/>
  <c r="N44" i="12"/>
  <c r="O43" i="12"/>
  <c r="N43" i="12"/>
  <c r="O42" i="12"/>
  <c r="N42" i="12"/>
  <c r="O41" i="12"/>
  <c r="N41" i="12"/>
  <c r="O40" i="12"/>
  <c r="N40" i="12"/>
  <c r="O39" i="12"/>
  <c r="N39" i="12"/>
  <c r="O38" i="12"/>
  <c r="N38" i="12"/>
  <c r="O37" i="12"/>
  <c r="N37" i="12"/>
  <c r="O36" i="12"/>
  <c r="N36" i="12"/>
  <c r="K35" i="12"/>
  <c r="O35" i="12" s="1"/>
  <c r="N35" i="12"/>
  <c r="O34" i="12"/>
  <c r="N34" i="12"/>
  <c r="O33" i="12"/>
  <c r="N33" i="12"/>
  <c r="O32" i="12"/>
  <c r="N32" i="12"/>
  <c r="O31" i="12"/>
  <c r="N31" i="12"/>
  <c r="O30" i="12"/>
  <c r="N30" i="12"/>
  <c r="O29" i="12"/>
  <c r="N29" i="12"/>
  <c r="O28" i="12"/>
  <c r="N28" i="12"/>
  <c r="O27" i="12"/>
  <c r="N27" i="12"/>
  <c r="O26" i="12"/>
  <c r="N26" i="12"/>
  <c r="O25" i="12"/>
  <c r="N25" i="12"/>
  <c r="O24" i="12"/>
  <c r="N24" i="12"/>
  <c r="O23" i="12"/>
  <c r="N23" i="12"/>
  <c r="O20" i="12"/>
  <c r="N20" i="12"/>
  <c r="O19" i="12"/>
  <c r="N19" i="12"/>
  <c r="O18" i="12"/>
  <c r="N18" i="12"/>
  <c r="O17" i="12"/>
  <c r="N17" i="12"/>
  <c r="O16" i="12"/>
  <c r="N16" i="12"/>
  <c r="O15" i="12"/>
  <c r="N15" i="12"/>
  <c r="O14" i="12"/>
  <c r="N14" i="12"/>
  <c r="O13" i="12"/>
  <c r="N13" i="12"/>
  <c r="O12" i="12"/>
  <c r="N12" i="12"/>
  <c r="O11" i="12"/>
  <c r="N11" i="12"/>
  <c r="K10" i="12"/>
  <c r="O10" i="12"/>
  <c r="N10" i="12"/>
  <c r="O9" i="12"/>
  <c r="N9" i="12"/>
  <c r="O8" i="12"/>
  <c r="N8" i="12"/>
  <c r="F227" i="22"/>
  <c r="F11" i="9"/>
  <c r="F12" i="9"/>
  <c r="M12" i="9"/>
  <c r="N12" i="9" s="1"/>
  <c r="F13" i="9"/>
  <c r="M13" i="9"/>
  <c r="N13" i="9" s="1"/>
  <c r="F14" i="9"/>
  <c r="M14" i="9" s="1"/>
  <c r="N14" i="9" s="1"/>
  <c r="F15" i="9"/>
  <c r="M15" i="9" s="1"/>
  <c r="N15" i="9" s="1"/>
  <c r="F16" i="9"/>
  <c r="M16" i="9" s="1"/>
  <c r="N16" i="9" s="1"/>
  <c r="F17" i="9"/>
  <c r="M17" i="9"/>
  <c r="N17" i="9" s="1"/>
  <c r="F18" i="9"/>
  <c r="M18" i="9" s="1"/>
  <c r="N18" i="9" s="1"/>
  <c r="F19" i="9"/>
  <c r="M19" i="9" s="1"/>
  <c r="D20" i="26"/>
  <c r="F20" i="9"/>
  <c r="M20" i="9" s="1"/>
  <c r="D21" i="26"/>
  <c r="F21" i="9"/>
  <c r="M21" i="9" s="1"/>
  <c r="D22" i="26"/>
  <c r="F22" i="9"/>
  <c r="M22" i="9" s="1"/>
  <c r="D23" i="26"/>
  <c r="G12" i="26"/>
  <c r="G13" i="26"/>
  <c r="G14" i="26"/>
  <c r="G15" i="26"/>
  <c r="G16" i="26"/>
  <c r="G17" i="26"/>
  <c r="G18" i="26"/>
  <c r="G19" i="26"/>
  <c r="C46" i="20"/>
  <c r="B52" i="19"/>
  <c r="C70" i="19"/>
  <c r="C69" i="19"/>
  <c r="C8" i="15"/>
  <c r="H161" i="6"/>
  <c r="C14" i="14"/>
  <c r="C11" i="14"/>
  <c r="AA84" i="14"/>
  <c r="AA83" i="14"/>
  <c r="AA82" i="14"/>
  <c r="AA81" i="14"/>
  <c r="AA80" i="14"/>
  <c r="AA79" i="14"/>
  <c r="AA78" i="14"/>
  <c r="AA77" i="14"/>
  <c r="AA76" i="14"/>
  <c r="AA75" i="14"/>
  <c r="AA74" i="14"/>
  <c r="AA73" i="14"/>
  <c r="AA72" i="14"/>
  <c r="AA71" i="14"/>
  <c r="AA70" i="14"/>
  <c r="AA69" i="14"/>
  <c r="AA68" i="14"/>
  <c r="AA67" i="14"/>
  <c r="AA66" i="14"/>
  <c r="X84" i="14"/>
  <c r="X83" i="14"/>
  <c r="X82" i="14"/>
  <c r="X81" i="14"/>
  <c r="X80" i="14"/>
  <c r="X79" i="14"/>
  <c r="X78" i="14"/>
  <c r="X77" i="14"/>
  <c r="X76" i="14"/>
  <c r="X75" i="14"/>
  <c r="X74" i="14"/>
  <c r="X73" i="14"/>
  <c r="X72" i="14"/>
  <c r="X71" i="14"/>
  <c r="X70" i="14"/>
  <c r="X69" i="14"/>
  <c r="X68" i="14"/>
  <c r="X67" i="14"/>
  <c r="X66" i="14"/>
  <c r="M10" i="13"/>
  <c r="A8" i="13"/>
  <c r="A9" i="13" s="1"/>
  <c r="A10" i="13"/>
  <c r="A11" i="13" s="1"/>
  <c r="A12" i="13" s="1"/>
  <c r="A13" i="13" s="1"/>
  <c r="A14" i="13" s="1"/>
  <c r="A15" i="13" s="1"/>
  <c r="A16" i="13" s="1"/>
  <c r="A5" i="8"/>
  <c r="A6" i="8"/>
  <c r="A7" i="8" s="1"/>
  <c r="A8" i="8" s="1"/>
  <c r="A9" i="8" s="1"/>
  <c r="A10" i="8"/>
  <c r="A11" i="8" s="1"/>
  <c r="A12" i="8" s="1"/>
  <c r="A13" i="8" s="1"/>
  <c r="A14" i="8" s="1"/>
  <c r="A15" i="8" s="1"/>
  <c r="A16" i="8" s="1"/>
  <c r="A17" i="8"/>
  <c r="A18" i="8" s="1"/>
  <c r="A19" i="8" s="1"/>
  <c r="A20" i="8" s="1"/>
  <c r="A21" i="8" s="1"/>
  <c r="A22" i="8" s="1"/>
  <c r="A23" i="8" s="1"/>
  <c r="A24" i="8" s="1"/>
  <c r="A25" i="8" s="1"/>
  <c r="A26" i="8" s="1"/>
  <c r="A27" i="8" s="1"/>
  <c r="A28" i="8" s="1"/>
  <c r="A29" i="8" s="1"/>
  <c r="A81" i="10"/>
  <c r="B82" i="10"/>
  <c r="F85" i="10"/>
  <c r="G85" i="10"/>
  <c r="H85" i="10"/>
  <c r="I85" i="10"/>
  <c r="J85" i="10"/>
  <c r="I21" i="10"/>
  <c r="I87" i="10"/>
  <c r="J21" i="10"/>
  <c r="J87" i="10"/>
  <c r="G20" i="10"/>
  <c r="G21" i="10"/>
  <c r="G22" i="10"/>
  <c r="H22" i="10"/>
  <c r="I22" i="10"/>
  <c r="I88" i="10"/>
  <c r="J22" i="10"/>
  <c r="D59" i="22"/>
  <c r="D124" i="22"/>
  <c r="D246" i="22" s="1"/>
  <c r="A51" i="8"/>
  <c r="B19" i="23"/>
  <c r="B20" i="23" s="1"/>
  <c r="B21" i="23" s="1"/>
  <c r="B22" i="23" s="1"/>
  <c r="B24" i="23" s="1"/>
  <c r="A15" i="25"/>
  <c r="A20" i="21"/>
  <c r="A23" i="21"/>
  <c r="A24" i="21" s="1"/>
  <c r="A25" i="21" s="1"/>
  <c r="A26" i="21" s="1"/>
  <c r="C69" i="21"/>
  <c r="C68" i="21"/>
  <c r="B15" i="4"/>
  <c r="B16" i="4"/>
  <c r="B17" i="4" s="1"/>
  <c r="B18" i="4" s="1"/>
  <c r="B20" i="4" s="1"/>
  <c r="C31" i="4"/>
  <c r="C30" i="4"/>
  <c r="A13" i="29"/>
  <c r="E15" i="6" s="1"/>
  <c r="A8" i="30"/>
  <c r="A9" i="30"/>
  <c r="A10" i="30" s="1"/>
  <c r="A11" i="30" s="1"/>
  <c r="A12" i="30" s="1"/>
  <c r="A13" i="30" s="1"/>
  <c r="A14" i="30" s="1"/>
  <c r="A15" i="30" s="1"/>
  <c r="A16" i="30" s="1"/>
  <c r="A17" i="30" s="1"/>
  <c r="A18" i="30" s="1"/>
  <c r="A19" i="30" s="1"/>
  <c r="A20" i="30" s="1"/>
  <c r="A21" i="30" s="1"/>
  <c r="A22" i="30"/>
  <c r="A23" i="30" s="1"/>
  <c r="A24" i="30" s="1"/>
  <c r="A25" i="30" s="1"/>
  <c r="A26" i="30" s="1"/>
  <c r="A27" i="30" s="1"/>
  <c r="A28" i="30" s="1"/>
  <c r="A29" i="30" s="1"/>
  <c r="A30" i="30" s="1"/>
  <c r="A31" i="30" s="1"/>
  <c r="A32" i="30" s="1"/>
  <c r="A33" i="30" s="1"/>
  <c r="A34" i="30" s="1"/>
  <c r="A35" i="30" s="1"/>
  <c r="A36" i="30" s="1"/>
  <c r="A8" i="24"/>
  <c r="A9" i="24"/>
  <c r="A10" i="24" s="1"/>
  <c r="A11" i="24" s="1"/>
  <c r="A12" i="24" s="1"/>
  <c r="A13" i="24" s="1"/>
  <c r="A14" i="24" s="1"/>
  <c r="A18" i="24" s="1"/>
  <c r="A19" i="24" s="1"/>
  <c r="A20" i="24" s="1"/>
  <c r="A21" i="24" s="1"/>
  <c r="A22" i="24" s="1"/>
  <c r="A23" i="24" s="1"/>
  <c r="A24" i="24" s="1"/>
  <c r="A25" i="24" s="1"/>
  <c r="A26" i="24" s="1"/>
  <c r="A27" i="24" s="1"/>
  <c r="A28" i="24" s="1"/>
  <c r="A29" i="24" s="1"/>
  <c r="A30" i="24" s="1"/>
  <c r="A31" i="24" s="1"/>
  <c r="A32" i="24" s="1"/>
  <c r="A33" i="24"/>
  <c r="A34" i="24" s="1"/>
  <c r="A35" i="24" s="1"/>
  <c r="A36" i="24" s="1"/>
  <c r="A37" i="24" s="1"/>
  <c r="A38" i="24" s="1"/>
  <c r="A39" i="24" s="1"/>
  <c r="A40" i="24" s="1"/>
  <c r="A41" i="24" s="1"/>
  <c r="A43" i="24" s="1"/>
  <c r="A44" i="24" s="1"/>
  <c r="D135" i="22"/>
  <c r="D134" i="22"/>
  <c r="B197" i="6"/>
  <c r="B198" i="6"/>
  <c r="D180" i="22"/>
  <c r="D179" i="22"/>
  <c r="D178" i="22"/>
  <c r="D177" i="22"/>
  <c r="B151" i="6"/>
  <c r="A65" i="24"/>
  <c r="A66" i="24" s="1"/>
  <c r="A67" i="24"/>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90" i="24" s="1"/>
  <c r="D79" i="22"/>
  <c r="D78" i="22"/>
  <c r="D77" i="22"/>
  <c r="D76" i="22"/>
  <c r="D75" i="22"/>
  <c r="D69" i="22"/>
  <c r="E33" i="23"/>
  <c r="A7" i="18"/>
  <c r="D73" i="21"/>
  <c r="A67" i="22"/>
  <c r="A68" i="22"/>
  <c r="A70" i="22" s="1"/>
  <c r="I23" i="20"/>
  <c r="A12" i="9"/>
  <c r="A13" i="9"/>
  <c r="A14" i="9" s="1"/>
  <c r="A15" i="9"/>
  <c r="A16" i="9" s="1"/>
  <c r="A17" i="9" s="1"/>
  <c r="A18" i="9" s="1"/>
  <c r="A19" i="9" s="1"/>
  <c r="A20" i="9" s="1"/>
  <c r="A21" i="9"/>
  <c r="A22" i="9" s="1"/>
  <c r="A23" i="9" s="1"/>
  <c r="A24" i="9" s="1"/>
  <c r="E28" i="7" s="1"/>
  <c r="F96" i="6"/>
  <c r="D37" i="4"/>
  <c r="D23" i="4"/>
  <c r="E43" i="6"/>
  <c r="A53" i="8"/>
  <c r="A54" i="8" s="1"/>
  <c r="A55" i="8"/>
  <c r="A56" i="8" s="1"/>
  <c r="A57" i="8" s="1"/>
  <c r="A58" i="8" s="1"/>
  <c r="A59" i="8"/>
  <c r="B17" i="5"/>
  <c r="B18" i="5" s="1"/>
  <c r="B19" i="5" s="1"/>
  <c r="B20" i="5" s="1"/>
  <c r="D21" i="5"/>
  <c r="A9" i="15"/>
  <c r="A10" i="15"/>
  <c r="A11" i="15" s="1"/>
  <c r="D20" i="5" s="1"/>
  <c r="E151" i="6"/>
  <c r="B18" i="7"/>
  <c r="E21" i="7" s="1"/>
  <c r="B19" i="7"/>
  <c r="B20" i="7" s="1"/>
  <c r="B21" i="7" s="1"/>
  <c r="B23" i="7" s="1"/>
  <c r="D30" i="22"/>
  <c r="A19" i="22"/>
  <c r="A22" i="22"/>
  <c r="D28" i="22" s="1"/>
  <c r="G232" i="22"/>
  <c r="G233" i="22"/>
  <c r="J24" i="19"/>
  <c r="G234" i="22"/>
  <c r="G235" i="22"/>
  <c r="G236" i="22"/>
  <c r="G61" i="29"/>
  <c r="L11" i="19"/>
  <c r="K11" i="19"/>
  <c r="J11" i="19"/>
  <c r="I11" i="19"/>
  <c r="I10" i="20"/>
  <c r="E203" i="22"/>
  <c r="F203" i="22" s="1"/>
  <c r="D29" i="24"/>
  <c r="D30" i="24"/>
  <c r="D181" i="22"/>
  <c r="F193" i="6"/>
  <c r="E160" i="22"/>
  <c r="F60" i="29"/>
  <c r="F90" i="29"/>
  <c r="F92" i="29"/>
  <c r="F94" i="29"/>
  <c r="F96" i="29"/>
  <c r="E97" i="29"/>
  <c r="D97" i="29"/>
  <c r="O31" i="29"/>
  <c r="N31" i="29"/>
  <c r="M31" i="29"/>
  <c r="L31" i="29"/>
  <c r="K31" i="29"/>
  <c r="J31" i="29"/>
  <c r="I31" i="29"/>
  <c r="H31" i="29"/>
  <c r="G31" i="29"/>
  <c r="F31" i="29"/>
  <c r="E31" i="29"/>
  <c r="D31" i="29"/>
  <c r="C31" i="29"/>
  <c r="O18" i="29"/>
  <c r="N18" i="29"/>
  <c r="M18" i="29"/>
  <c r="L18" i="29"/>
  <c r="K18" i="29"/>
  <c r="J18" i="29"/>
  <c r="I18" i="29"/>
  <c r="H18" i="29"/>
  <c r="G18" i="29"/>
  <c r="F18" i="29"/>
  <c r="E18" i="29"/>
  <c r="D18" i="29"/>
  <c r="C18" i="29"/>
  <c r="O24" i="29"/>
  <c r="O37" i="29" s="1"/>
  <c r="O72" i="29" s="1"/>
  <c r="N24" i="29"/>
  <c r="N37" i="29" s="1"/>
  <c r="N72" i="29" s="1"/>
  <c r="M24" i="29"/>
  <c r="M37" i="29" s="1"/>
  <c r="M72" i="29" s="1"/>
  <c r="L24" i="29"/>
  <c r="L37" i="29" s="1"/>
  <c r="L72" i="29" s="1"/>
  <c r="K24" i="29"/>
  <c r="K37" i="29" s="1"/>
  <c r="K72" i="29" s="1"/>
  <c r="J24" i="29"/>
  <c r="J37" i="29" s="1"/>
  <c r="J72" i="29" s="1"/>
  <c r="I24" i="29"/>
  <c r="I37" i="29" s="1"/>
  <c r="I72" i="29" s="1"/>
  <c r="H24" i="29"/>
  <c r="H37" i="29" s="1"/>
  <c r="H72" i="29" s="1"/>
  <c r="G24" i="29"/>
  <c r="G37" i="29" s="1"/>
  <c r="G72" i="29" s="1"/>
  <c r="F24" i="29"/>
  <c r="F37" i="29" s="1"/>
  <c r="F72" i="29" s="1"/>
  <c r="E24" i="29"/>
  <c r="E37" i="29" s="1"/>
  <c r="E72" i="29" s="1"/>
  <c r="D24" i="29"/>
  <c r="D37" i="29" s="1"/>
  <c r="D72" i="29" s="1"/>
  <c r="C24" i="29"/>
  <c r="C37" i="29" s="1"/>
  <c r="C72" i="29" s="1"/>
  <c r="C313" i="16"/>
  <c r="C167" i="16"/>
  <c r="C119" i="16"/>
  <c r="D114" i="14"/>
  <c r="Q69" i="30"/>
  <c r="Q95" i="30" s="1"/>
  <c r="P69" i="30"/>
  <c r="P95" i="30"/>
  <c r="O69" i="30"/>
  <c r="O95" i="30" s="1"/>
  <c r="N69" i="30"/>
  <c r="N95" i="30" s="1"/>
  <c r="M69" i="30"/>
  <c r="M95" i="30" s="1"/>
  <c r="L69" i="30"/>
  <c r="L95" i="30" s="1"/>
  <c r="K69" i="30"/>
  <c r="K95" i="30" s="1"/>
  <c r="J69" i="30"/>
  <c r="I69" i="30"/>
  <c r="I95" i="30"/>
  <c r="H69" i="30"/>
  <c r="G69" i="30"/>
  <c r="G95" i="30" s="1"/>
  <c r="F69" i="30"/>
  <c r="F95" i="30" s="1"/>
  <c r="E95" i="30"/>
  <c r="J95" i="30"/>
  <c r="H95" i="30"/>
  <c r="Q90" i="30"/>
  <c r="P90" i="30"/>
  <c r="O90" i="30"/>
  <c r="N90" i="30"/>
  <c r="M90" i="30"/>
  <c r="L90" i="30"/>
  <c r="K90" i="30"/>
  <c r="J90" i="30"/>
  <c r="I90" i="30"/>
  <c r="H90" i="30"/>
  <c r="G90" i="30"/>
  <c r="F90" i="30"/>
  <c r="E90" i="30"/>
  <c r="Q63" i="30"/>
  <c r="P63" i="30"/>
  <c r="O63" i="30"/>
  <c r="N63" i="30"/>
  <c r="M63" i="30"/>
  <c r="L63" i="30"/>
  <c r="K63" i="30"/>
  <c r="J63" i="30"/>
  <c r="I63" i="30"/>
  <c r="H63" i="30"/>
  <c r="G63" i="30"/>
  <c r="F63" i="30"/>
  <c r="E63" i="30"/>
  <c r="H18" i="30"/>
  <c r="A149" i="10"/>
  <c r="A150" i="10" s="1"/>
  <c r="A151" i="10" s="1"/>
  <c r="G23" i="9"/>
  <c r="G24" i="9" s="1"/>
  <c r="D23" i="9"/>
  <c r="D24" i="9" s="1"/>
  <c r="E79" i="6"/>
  <c r="E89" i="6"/>
  <c r="E61" i="29"/>
  <c r="D61" i="29"/>
  <c r="C264" i="16"/>
  <c r="C214" i="16"/>
  <c r="O38" i="29"/>
  <c r="O39" i="29"/>
  <c r="O40" i="29"/>
  <c r="O41" i="29"/>
  <c r="O42" i="29"/>
  <c r="O43" i="29"/>
  <c r="N38" i="29"/>
  <c r="N39" i="29"/>
  <c r="N40" i="29"/>
  <c r="N41" i="29"/>
  <c r="N42" i="29"/>
  <c r="N43" i="29"/>
  <c r="M38" i="29"/>
  <c r="M39" i="29"/>
  <c r="M40" i="29"/>
  <c r="M41" i="29"/>
  <c r="M42" i="29"/>
  <c r="M43" i="29"/>
  <c r="L38" i="29"/>
  <c r="L39" i="29"/>
  <c r="L40" i="29"/>
  <c r="L41" i="29"/>
  <c r="L42" i="29"/>
  <c r="L43" i="29"/>
  <c r="K38" i="29"/>
  <c r="K39" i="29"/>
  <c r="K40" i="29"/>
  <c r="K41" i="29"/>
  <c r="K42" i="29"/>
  <c r="K43" i="29"/>
  <c r="J38" i="29"/>
  <c r="J39" i="29"/>
  <c r="J40" i="29"/>
  <c r="J41" i="29"/>
  <c r="J42" i="29"/>
  <c r="J43" i="29"/>
  <c r="I38" i="29"/>
  <c r="I39" i="29"/>
  <c r="I40" i="29"/>
  <c r="I41" i="29"/>
  <c r="I42" i="29"/>
  <c r="I43" i="29"/>
  <c r="H38" i="29"/>
  <c r="H39" i="29"/>
  <c r="H40" i="29"/>
  <c r="H41" i="29"/>
  <c r="H42" i="29"/>
  <c r="H43" i="29"/>
  <c r="G38" i="29"/>
  <c r="G39" i="29"/>
  <c r="G40" i="29"/>
  <c r="G41" i="29"/>
  <c r="G42" i="29"/>
  <c r="G43" i="29"/>
  <c r="F38" i="29"/>
  <c r="F39" i="29"/>
  <c r="F40" i="29"/>
  <c r="F41" i="29"/>
  <c r="F42" i="29"/>
  <c r="F43" i="29"/>
  <c r="E38" i="29"/>
  <c r="E40" i="29"/>
  <c r="E41" i="29"/>
  <c r="E42" i="29"/>
  <c r="E43" i="29"/>
  <c r="D38" i="29"/>
  <c r="D40" i="29"/>
  <c r="D41" i="29"/>
  <c r="D42" i="29"/>
  <c r="D43" i="29"/>
  <c r="C38" i="29"/>
  <c r="C39" i="29"/>
  <c r="C40" i="29"/>
  <c r="C41" i="29"/>
  <c r="C42" i="29"/>
  <c r="C43" i="29"/>
  <c r="E18" i="24"/>
  <c r="C18" i="24"/>
  <c r="A271" i="22"/>
  <c r="A272" i="22" s="1"/>
  <c r="A273" i="22" s="1"/>
  <c r="A274" i="22" s="1"/>
  <c r="A275" i="22" s="1"/>
  <c r="A276" i="22" s="1"/>
  <c r="C114" i="14"/>
  <c r="I23" i="9"/>
  <c r="I24" i="9" s="1"/>
  <c r="J23" i="9"/>
  <c r="K23" i="9"/>
  <c r="L23" i="9"/>
  <c r="A10" i="17"/>
  <c r="A11" i="17"/>
  <c r="A12" i="17" s="1"/>
  <c r="A13" i="17" s="1"/>
  <c r="A14" i="17" s="1"/>
  <c r="A15" i="17" s="1"/>
  <c r="A16" i="17" s="1"/>
  <c r="A17" i="17" s="1"/>
  <c r="A18" i="17" s="1"/>
  <c r="A19" i="17" s="1"/>
  <c r="A20" i="17" s="1"/>
  <c r="A21" i="17" s="1"/>
  <c r="A22" i="17" s="1"/>
  <c r="A23" i="17" s="1"/>
  <c r="A24" i="17" s="1"/>
  <c r="A25" i="17" s="1"/>
  <c r="A26" i="17" s="1"/>
  <c r="A27" i="17" s="1"/>
  <c r="A28" i="17" s="1"/>
  <c r="A31" i="17" s="1"/>
  <c r="A32" i="17" s="1"/>
  <c r="A33" i="17" s="1"/>
  <c r="A34" i="17" s="1"/>
  <c r="A35" i="17" s="1"/>
  <c r="A36" i="17" s="1"/>
  <c r="A37" i="17" s="1"/>
  <c r="A38" i="17" s="1"/>
  <c r="A39" i="17" s="1"/>
  <c r="A40" i="17" s="1"/>
  <c r="A41" i="17" s="1"/>
  <c r="A42" i="17" s="1"/>
  <c r="A43" i="17" s="1"/>
  <c r="A44" i="17" s="1"/>
  <c r="C16" i="13"/>
  <c r="C24" i="13" s="1"/>
  <c r="D34" i="7"/>
  <c r="D33" i="7"/>
  <c r="D32" i="7"/>
  <c r="D31" i="7"/>
  <c r="D39" i="23"/>
  <c r="D38" i="23"/>
  <c r="D37" i="23"/>
  <c r="D36" i="23"/>
  <c r="E22" i="23"/>
  <c r="C43" i="4"/>
  <c r="C42" i="4"/>
  <c r="C41" i="4"/>
  <c r="C40" i="4"/>
  <c r="A11" i="10"/>
  <c r="V60" i="20"/>
  <c r="V62" i="20" s="1"/>
  <c r="V50" i="20"/>
  <c r="T60" i="20"/>
  <c r="O60" i="20"/>
  <c r="O50" i="20"/>
  <c r="V171" i="19"/>
  <c r="T171" i="19"/>
  <c r="P170" i="19"/>
  <c r="O171" i="19"/>
  <c r="O173" i="19" s="1"/>
  <c r="F171" i="19"/>
  <c r="V138" i="19"/>
  <c r="T138" i="19"/>
  <c r="O138" i="19"/>
  <c r="O140" i="19"/>
  <c r="O127" i="19"/>
  <c r="F138" i="19"/>
  <c r="V105" i="19"/>
  <c r="T105" i="19"/>
  <c r="O105" i="19"/>
  <c r="O107" i="19"/>
  <c r="O94" i="19"/>
  <c r="F105" i="19"/>
  <c r="V72" i="19"/>
  <c r="T72" i="19"/>
  <c r="O72" i="19"/>
  <c r="O74" i="19" s="1"/>
  <c r="F72" i="19"/>
  <c r="E116" i="30"/>
  <c r="B3" i="28"/>
  <c r="A9" i="28"/>
  <c r="A10" i="28"/>
  <c r="A11" i="28" s="1"/>
  <c r="A12" i="28"/>
  <c r="A13" i="28" s="1"/>
  <c r="A16" i="28" s="1"/>
  <c r="A17" i="28" s="1"/>
  <c r="A18" i="28"/>
  <c r="A19" i="28" s="1"/>
  <c r="A20" i="28" s="1"/>
  <c r="A21" i="28" s="1"/>
  <c r="A22" i="28" s="1"/>
  <c r="A23" i="28" s="1"/>
  <c r="A24" i="28" s="1"/>
  <c r="A25" i="28" s="1"/>
  <c r="A26" i="28" s="1"/>
  <c r="A27" i="28" s="1"/>
  <c r="A28" i="28" s="1"/>
  <c r="A29" i="28" s="1"/>
  <c r="A30" i="28" s="1"/>
  <c r="A31" i="28" s="1"/>
  <c r="A32" i="28" s="1"/>
  <c r="A33" i="28" s="1"/>
  <c r="A34" i="28" s="1"/>
  <c r="A35" i="28" s="1"/>
  <c r="A36" i="28" s="1"/>
  <c r="A37" i="28" s="1"/>
  <c r="A38" i="28" s="1"/>
  <c r="A39" i="28" s="1"/>
  <c r="A40" i="28" s="1"/>
  <c r="A42" i="28" s="1"/>
  <c r="A43" i="28" s="1"/>
  <c r="C17" i="28"/>
  <c r="F17" i="28"/>
  <c r="F18" i="28"/>
  <c r="F19" i="28"/>
  <c r="F20" i="28"/>
  <c r="F21" i="28"/>
  <c r="F22" i="28"/>
  <c r="F23" i="28"/>
  <c r="F24" i="28"/>
  <c r="F25" i="28"/>
  <c r="F26" i="28"/>
  <c r="F27" i="28"/>
  <c r="F28" i="28"/>
  <c r="F29" i="28"/>
  <c r="F30" i="28"/>
  <c r="F31" i="28"/>
  <c r="F32" i="28"/>
  <c r="F33" i="28"/>
  <c r="F34" i="28"/>
  <c r="F35" i="28"/>
  <c r="F36" i="28"/>
  <c r="F37" i="28"/>
  <c r="F38" i="28"/>
  <c r="F39" i="28"/>
  <c r="F40" i="28"/>
  <c r="B3" i="27"/>
  <c r="A9" i="27"/>
  <c r="A10" i="27"/>
  <c r="A11" i="27" s="1"/>
  <c r="A12" i="27" s="1"/>
  <c r="A13" i="27" s="1"/>
  <c r="A16" i="27"/>
  <c r="A17" i="27" s="1"/>
  <c r="A18" i="27" s="1"/>
  <c r="A19" i="27" s="1"/>
  <c r="A20" i="27"/>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2" i="27" s="1"/>
  <c r="A43" i="27" s="1"/>
  <c r="F17" i="27"/>
  <c r="C18" i="27"/>
  <c r="F18" i="27"/>
  <c r="F19" i="27"/>
  <c r="F20" i="27"/>
  <c r="F21" i="27"/>
  <c r="F22" i="27"/>
  <c r="F23" i="27"/>
  <c r="F24" i="27"/>
  <c r="F25" i="27"/>
  <c r="F26" i="27"/>
  <c r="F27" i="27"/>
  <c r="F28" i="27"/>
  <c r="F29" i="27"/>
  <c r="F30" i="27"/>
  <c r="F31" i="27"/>
  <c r="F32" i="27"/>
  <c r="F33" i="27"/>
  <c r="F34" i="27"/>
  <c r="F35" i="27"/>
  <c r="F36" i="27"/>
  <c r="F37" i="27"/>
  <c r="F38" i="27"/>
  <c r="F39" i="27"/>
  <c r="F40" i="27"/>
  <c r="A50" i="27"/>
  <c r="A51" i="27" s="1"/>
  <c r="A52" i="27" s="1"/>
  <c r="A53" i="27" s="1"/>
  <c r="A54" i="27"/>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3" i="27" s="1"/>
  <c r="A84" i="27" s="1"/>
  <c r="C58" i="27"/>
  <c r="F58" i="27"/>
  <c r="F59" i="27"/>
  <c r="F60" i="27"/>
  <c r="F61" i="27"/>
  <c r="F62" i="27"/>
  <c r="F63" i="27"/>
  <c r="F64" i="27"/>
  <c r="F65" i="27"/>
  <c r="F66" i="27"/>
  <c r="F67" i="27"/>
  <c r="F68" i="27"/>
  <c r="F69" i="27"/>
  <c r="F70" i="27"/>
  <c r="F71" i="27"/>
  <c r="F72" i="27"/>
  <c r="F73" i="27"/>
  <c r="F74" i="27"/>
  <c r="F75" i="27"/>
  <c r="F76" i="27"/>
  <c r="F77" i="27"/>
  <c r="F78" i="27"/>
  <c r="F79" i="27"/>
  <c r="F80" i="27"/>
  <c r="F81" i="27"/>
  <c r="A93" i="27"/>
  <c r="A94" i="27"/>
  <c r="A95" i="27" s="1"/>
  <c r="A96" i="27" s="1"/>
  <c r="A97" i="27" s="1"/>
  <c r="A100" i="27" s="1"/>
  <c r="A101" i="27" s="1"/>
  <c r="A102" i="27" s="1"/>
  <c r="A103" i="27" s="1"/>
  <c r="A104" i="27" s="1"/>
  <c r="A105" i="27" s="1"/>
  <c r="A106" i="27" s="1"/>
  <c r="A107" i="27" s="1"/>
  <c r="A108" i="27" s="1"/>
  <c r="A109" i="27" s="1"/>
  <c r="A110" i="27" s="1"/>
  <c r="A111" i="27" s="1"/>
  <c r="A112" i="27" s="1"/>
  <c r="A113" i="27" s="1"/>
  <c r="A114" i="27" s="1"/>
  <c r="A115" i="27" s="1"/>
  <c r="A116" i="27" s="1"/>
  <c r="A117" i="27" s="1"/>
  <c r="A118" i="27" s="1"/>
  <c r="A119" i="27" s="1"/>
  <c r="A120" i="27" s="1"/>
  <c r="A121" i="27" s="1"/>
  <c r="A122" i="27" s="1"/>
  <c r="A123" i="27" s="1"/>
  <c r="A124" i="27" s="1"/>
  <c r="A126" i="27" s="1"/>
  <c r="A127" i="27" s="1"/>
  <c r="C101" i="27"/>
  <c r="F101" i="27"/>
  <c r="F102" i="27"/>
  <c r="F103" i="27"/>
  <c r="F104" i="27"/>
  <c r="F105" i="27"/>
  <c r="F106" i="27"/>
  <c r="F107" i="27"/>
  <c r="F108" i="27"/>
  <c r="F109" i="27"/>
  <c r="F110" i="27"/>
  <c r="F111" i="27"/>
  <c r="F112" i="27"/>
  <c r="F113" i="27"/>
  <c r="F114" i="27"/>
  <c r="F115" i="27"/>
  <c r="F116" i="27"/>
  <c r="F117" i="27"/>
  <c r="F118" i="27"/>
  <c r="F119" i="27"/>
  <c r="F120" i="27"/>
  <c r="F121" i="27"/>
  <c r="F122" i="27"/>
  <c r="F123" i="27"/>
  <c r="F124" i="27"/>
  <c r="A136" i="27"/>
  <c r="A137" i="27" s="1"/>
  <c r="A138" i="27"/>
  <c r="A139" i="27" s="1"/>
  <c r="A140" i="27" s="1"/>
  <c r="A143" i="27" s="1"/>
  <c r="A144" i="27"/>
  <c r="A145" i="27" s="1"/>
  <c r="A146" i="27" s="1"/>
  <c r="A147" i="27" s="1"/>
  <c r="A148" i="27" s="1"/>
  <c r="A149" i="27" s="1"/>
  <c r="A150" i="27" s="1"/>
  <c r="A151" i="27" s="1"/>
  <c r="A152" i="27" s="1"/>
  <c r="A153" i="27" s="1"/>
  <c r="A154" i="27" s="1"/>
  <c r="A155" i="27" s="1"/>
  <c r="A156" i="27" s="1"/>
  <c r="A157" i="27" s="1"/>
  <c r="A158" i="27" s="1"/>
  <c r="A159" i="27" s="1"/>
  <c r="A160" i="27"/>
  <c r="A161" i="27" s="1"/>
  <c r="A162" i="27" s="1"/>
  <c r="A163" i="27" s="1"/>
  <c r="A164" i="27" s="1"/>
  <c r="A165" i="27" s="1"/>
  <c r="A166" i="27" s="1"/>
  <c r="A167" i="27" s="1"/>
  <c r="A169" i="27" s="1"/>
  <c r="A170" i="27" s="1"/>
  <c r="F144" i="27"/>
  <c r="F145" i="27"/>
  <c r="F146" i="27"/>
  <c r="F147" i="27"/>
  <c r="F148" i="27"/>
  <c r="F149" i="27"/>
  <c r="F150" i="27"/>
  <c r="F151" i="27"/>
  <c r="F152" i="27"/>
  <c r="F153" i="27"/>
  <c r="F154" i="27"/>
  <c r="F155" i="27"/>
  <c r="F156" i="27"/>
  <c r="F157" i="27"/>
  <c r="F158" i="27"/>
  <c r="F159" i="27"/>
  <c r="F160" i="27"/>
  <c r="F161" i="27"/>
  <c r="F162" i="27"/>
  <c r="F163" i="27"/>
  <c r="F164" i="27"/>
  <c r="F165" i="27"/>
  <c r="F166" i="27"/>
  <c r="F167" i="27"/>
  <c r="G18" i="24"/>
  <c r="Q18" i="24"/>
  <c r="V18" i="24"/>
  <c r="AA18" i="24"/>
  <c r="AF18" i="24"/>
  <c r="AK18" i="24"/>
  <c r="C19" i="24"/>
  <c r="D19" i="24"/>
  <c r="E19" i="24"/>
  <c r="G19" i="24"/>
  <c r="Q19" i="24"/>
  <c r="AA19" i="24"/>
  <c r="AF19" i="24"/>
  <c r="AK19" i="24"/>
  <c r="C20" i="24"/>
  <c r="D20" i="24"/>
  <c r="E20" i="24"/>
  <c r="G20" i="24"/>
  <c r="Q20" i="24"/>
  <c r="AA20" i="24"/>
  <c r="AF20" i="24"/>
  <c r="AK20" i="24"/>
  <c r="C21" i="24"/>
  <c r="G21" i="24"/>
  <c r="AA21" i="24"/>
  <c r="AF21" i="24"/>
  <c r="AK21" i="24"/>
  <c r="C22" i="24"/>
  <c r="G22" i="24"/>
  <c r="AA22" i="24"/>
  <c r="C23" i="24"/>
  <c r="G23" i="24"/>
  <c r="AA23" i="24"/>
  <c r="C24" i="24"/>
  <c r="G24" i="24"/>
  <c r="AA24" i="24"/>
  <c r="C25" i="24"/>
  <c r="G25" i="24"/>
  <c r="AA25" i="24"/>
  <c r="C26" i="24"/>
  <c r="G26" i="24"/>
  <c r="AA26" i="24"/>
  <c r="C27" i="24"/>
  <c r="G27" i="24"/>
  <c r="AA27" i="24"/>
  <c r="C28" i="24"/>
  <c r="G28" i="24"/>
  <c r="G29" i="24"/>
  <c r="G30" i="24"/>
  <c r="G31" i="24"/>
  <c r="G32" i="24"/>
  <c r="G33" i="24"/>
  <c r="G34" i="24"/>
  <c r="G35" i="24"/>
  <c r="G36" i="24"/>
  <c r="G37" i="24"/>
  <c r="G38" i="24"/>
  <c r="G39" i="24"/>
  <c r="G40" i="24"/>
  <c r="G41" i="24"/>
  <c r="B49" i="24"/>
  <c r="G65" i="24"/>
  <c r="G66" i="24"/>
  <c r="G67" i="24"/>
  <c r="G68" i="24"/>
  <c r="G69" i="24"/>
  <c r="G70" i="24"/>
  <c r="G71" i="24"/>
  <c r="G72" i="24"/>
  <c r="G73" i="24"/>
  <c r="G74" i="24"/>
  <c r="G75" i="24"/>
  <c r="G76" i="24"/>
  <c r="G77" i="24"/>
  <c r="G78" i="24"/>
  <c r="G79" i="24"/>
  <c r="G80" i="24"/>
  <c r="G81" i="24"/>
  <c r="G82" i="24"/>
  <c r="G83" i="24"/>
  <c r="G84" i="24"/>
  <c r="G85" i="24"/>
  <c r="G86" i="24"/>
  <c r="G87" i="24"/>
  <c r="G88" i="24"/>
  <c r="D35" i="23"/>
  <c r="C22" i="22"/>
  <c r="H23" i="22"/>
  <c r="C24" i="22"/>
  <c r="C30" i="22" s="1"/>
  <c r="H24" i="22"/>
  <c r="C28" i="22"/>
  <c r="D53" i="22"/>
  <c r="K56" i="22"/>
  <c r="D54" i="22"/>
  <c r="D55" i="22"/>
  <c r="D56" i="22"/>
  <c r="D6" i="23" s="1"/>
  <c r="D58" i="22"/>
  <c r="E63" i="22"/>
  <c r="E130" i="22"/>
  <c r="E174" i="22" s="1"/>
  <c r="F63" i="22"/>
  <c r="H93" i="22"/>
  <c r="D118" i="22"/>
  <c r="K122" i="22"/>
  <c r="D119" i="22"/>
  <c r="D120" i="22"/>
  <c r="D121" i="22"/>
  <c r="D123" i="22"/>
  <c r="F130" i="22"/>
  <c r="F174" i="22"/>
  <c r="F206" i="22" s="1"/>
  <c r="D136" i="22"/>
  <c r="C150" i="22"/>
  <c r="C158" i="22" s="1"/>
  <c r="H150" i="22"/>
  <c r="C151" i="22"/>
  <c r="C159" i="22"/>
  <c r="H151" i="22"/>
  <c r="C153" i="22"/>
  <c r="H153" i="22"/>
  <c r="C154" i="22"/>
  <c r="C162" i="22" s="1"/>
  <c r="H154" i="22"/>
  <c r="C161" i="22"/>
  <c r="D165" i="22"/>
  <c r="K168" i="22"/>
  <c r="D166" i="22"/>
  <c r="D167" i="22"/>
  <c r="D168" i="22"/>
  <c r="D170" i="22"/>
  <c r="E201" i="22"/>
  <c r="E206" i="22"/>
  <c r="E237" i="22"/>
  <c r="F237" i="22"/>
  <c r="D240" i="22"/>
  <c r="K243" i="22"/>
  <c r="D241" i="22"/>
  <c r="D242" i="22"/>
  <c r="D243" i="22"/>
  <c r="D245" i="22"/>
  <c r="A13" i="21"/>
  <c r="D32" i="21" s="1"/>
  <c r="D20" i="21"/>
  <c r="C71" i="16"/>
  <c r="C63" i="21"/>
  <c r="C64" i="21"/>
  <c r="C65" i="21"/>
  <c r="C66" i="21"/>
  <c r="C67" i="21"/>
  <c r="A9" i="20"/>
  <c r="A10" i="20"/>
  <c r="A11" i="20" s="1"/>
  <c r="A13" i="20" s="1"/>
  <c r="A14" i="20" s="1"/>
  <c r="A15" i="20" s="1"/>
  <c r="A16" i="20" s="1"/>
  <c r="A17" i="20" s="1"/>
  <c r="A18" i="20" s="1"/>
  <c r="A19" i="20" s="1"/>
  <c r="A20" i="20" s="1"/>
  <c r="A21" i="20" s="1"/>
  <c r="A22" i="20" s="1"/>
  <c r="A23" i="20" s="1"/>
  <c r="A24" i="20" s="1"/>
  <c r="A25" i="20"/>
  <c r="A26" i="20" s="1"/>
  <c r="A27" i="20" s="1"/>
  <c r="A28" i="20" s="1"/>
  <c r="A29" i="20" s="1"/>
  <c r="A30" i="20" s="1"/>
  <c r="A31" i="20" s="1"/>
  <c r="A32" i="20" s="1"/>
  <c r="B34" i="20"/>
  <c r="B35" i="20"/>
  <c r="B36" i="20"/>
  <c r="A10" i="19"/>
  <c r="A11" i="19" s="1"/>
  <c r="A12"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K24" i="19"/>
  <c r="L24" i="19"/>
  <c r="B37" i="19"/>
  <c r="B78" i="19" s="1"/>
  <c r="B111" i="19" s="1"/>
  <c r="B144" i="19" s="1"/>
  <c r="B50" i="19"/>
  <c r="B51" i="19"/>
  <c r="C68" i="19"/>
  <c r="C10" i="18"/>
  <c r="C30" i="18" s="1"/>
  <c r="A22" i="18"/>
  <c r="C22" i="18"/>
  <c r="D22" i="18"/>
  <c r="C24" i="18"/>
  <c r="D24" i="18"/>
  <c r="B26" i="18"/>
  <c r="C26" i="18"/>
  <c r="D26" i="18"/>
  <c r="B28" i="18"/>
  <c r="C28" i="18"/>
  <c r="D28" i="18"/>
  <c r="B30" i="18"/>
  <c r="D30" i="18"/>
  <c r="B32" i="18"/>
  <c r="C32" i="18"/>
  <c r="D32" i="18"/>
  <c r="B34" i="18"/>
  <c r="C34" i="18"/>
  <c r="D34" i="18"/>
  <c r="B36" i="18"/>
  <c r="C36" i="18"/>
  <c r="D36" i="18"/>
  <c r="B44" i="18"/>
  <c r="C44" i="18"/>
  <c r="D44" i="18"/>
  <c r="B46" i="18"/>
  <c r="C46" i="18"/>
  <c r="D46" i="18"/>
  <c r="A50" i="29"/>
  <c r="A52" i="29"/>
  <c r="A3" i="16"/>
  <c r="H71" i="16"/>
  <c r="B72" i="16"/>
  <c r="A99" i="16"/>
  <c r="A100" i="16"/>
  <c r="A101" i="16" s="1"/>
  <c r="A102" i="16" s="1"/>
  <c r="A103" i="16" s="1"/>
  <c r="H119" i="16"/>
  <c r="B120" i="16"/>
  <c r="B121" i="16" s="1"/>
  <c r="C120" i="16"/>
  <c r="H121" i="16"/>
  <c r="B122" i="16"/>
  <c r="A147" i="16"/>
  <c r="A148" i="16" s="1"/>
  <c r="A149" i="16"/>
  <c r="A150" i="16"/>
  <c r="A151" i="16" s="1"/>
  <c r="A152" i="16" s="1"/>
  <c r="A153" i="16" s="1"/>
  <c r="A154" i="16" s="1"/>
  <c r="A155" i="16"/>
  <c r="A156" i="16" s="1"/>
  <c r="A157" i="16" s="1"/>
  <c r="A158" i="16" s="1"/>
  <c r="A159" i="16" s="1"/>
  <c r="A160" i="16" s="1"/>
  <c r="A161" i="16"/>
  <c r="A162" i="16" s="1"/>
  <c r="H167" i="16"/>
  <c r="B168" i="16"/>
  <c r="H168" i="16"/>
  <c r="B169" i="16"/>
  <c r="B170" i="16"/>
  <c r="H170" i="16" s="1"/>
  <c r="A194" i="16"/>
  <c r="A195" i="16" s="1"/>
  <c r="A196" i="16" s="1"/>
  <c r="A197" i="16" s="1"/>
  <c r="A198" i="16" s="1"/>
  <c r="H214" i="16"/>
  <c r="B215" i="16"/>
  <c r="H215" i="16" s="1"/>
  <c r="A244" i="16"/>
  <c r="A245" i="16"/>
  <c r="A246" i="16" s="1"/>
  <c r="A247" i="16" s="1"/>
  <c r="A248" i="16" s="1"/>
  <c r="A249" i="16" s="1"/>
  <c r="H264" i="16"/>
  <c r="B265" i="16"/>
  <c r="H265" i="16"/>
  <c r="B266" i="16"/>
  <c r="B267" i="16"/>
  <c r="H267" i="16" s="1"/>
  <c r="B268" i="16"/>
  <c r="A293" i="16"/>
  <c r="A294" i="16" s="1"/>
  <c r="A295" i="16" s="1"/>
  <c r="A296" i="16" s="1"/>
  <c r="A297" i="16"/>
  <c r="H313" i="16"/>
  <c r="B314" i="16"/>
  <c r="H314" i="16"/>
  <c r="B315" i="16"/>
  <c r="H315" i="16" s="1"/>
  <c r="A3" i="15"/>
  <c r="F10" i="15"/>
  <c r="F33" i="15"/>
  <c r="F34" i="15"/>
  <c r="B35" i="15"/>
  <c r="F35" i="15" s="1"/>
  <c r="C35" i="15"/>
  <c r="D35" i="15"/>
  <c r="B36" i="15"/>
  <c r="L36" i="15"/>
  <c r="O36" i="15"/>
  <c r="C37" i="15"/>
  <c r="L37" i="15"/>
  <c r="O37" i="15"/>
  <c r="C38" i="15"/>
  <c r="D38" i="15"/>
  <c r="I38" i="15"/>
  <c r="L38" i="15"/>
  <c r="O38" i="15"/>
  <c r="E38" i="15"/>
  <c r="C39" i="15"/>
  <c r="D39" i="15"/>
  <c r="I39" i="15"/>
  <c r="E39" i="15" s="1"/>
  <c r="L39" i="15"/>
  <c r="O39" i="15"/>
  <c r="C40" i="15"/>
  <c r="D40" i="15"/>
  <c r="I40" i="15"/>
  <c r="E40" i="15" s="1"/>
  <c r="L40" i="15"/>
  <c r="O40" i="15"/>
  <c r="C41" i="15"/>
  <c r="D41" i="15"/>
  <c r="I41" i="15"/>
  <c r="L41" i="15"/>
  <c r="O41" i="15"/>
  <c r="E41" i="15" s="1"/>
  <c r="C42" i="15"/>
  <c r="D42" i="15"/>
  <c r="I42" i="15"/>
  <c r="L42" i="15"/>
  <c r="O42" i="15"/>
  <c r="E42" i="15"/>
  <c r="C43" i="15"/>
  <c r="D43" i="15"/>
  <c r="I43" i="15"/>
  <c r="E43" i="15" s="1"/>
  <c r="L43" i="15"/>
  <c r="O43" i="15"/>
  <c r="C44" i="15"/>
  <c r="D44" i="15"/>
  <c r="I44" i="15"/>
  <c r="E44" i="15" s="1"/>
  <c r="L44" i="15"/>
  <c r="O44" i="15"/>
  <c r="C45" i="15"/>
  <c r="D45" i="15"/>
  <c r="I45" i="15"/>
  <c r="L45" i="15"/>
  <c r="O45" i="15"/>
  <c r="E45" i="15" s="1"/>
  <c r="C46" i="15"/>
  <c r="D46" i="15"/>
  <c r="I46" i="15"/>
  <c r="L46" i="15"/>
  <c r="O46" i="15"/>
  <c r="E46" i="15"/>
  <c r="C47" i="15"/>
  <c r="D47" i="15"/>
  <c r="I47" i="15"/>
  <c r="E47" i="15" s="1"/>
  <c r="L47" i="15"/>
  <c r="O47" i="15"/>
  <c r="C48" i="15"/>
  <c r="D48" i="15"/>
  <c r="I48" i="15"/>
  <c r="E48" i="15" s="1"/>
  <c r="L48" i="15"/>
  <c r="O48" i="15"/>
  <c r="C49" i="15"/>
  <c r="D49" i="15"/>
  <c r="I49" i="15"/>
  <c r="E49" i="15" s="1"/>
  <c r="L49" i="15"/>
  <c r="O49" i="15"/>
  <c r="C50" i="15"/>
  <c r="D50" i="15"/>
  <c r="I50" i="15"/>
  <c r="E50" i="15" s="1"/>
  <c r="L50" i="15"/>
  <c r="O50" i="15"/>
  <c r="C51" i="15"/>
  <c r="D51" i="15"/>
  <c r="I51" i="15"/>
  <c r="E51" i="15" s="1"/>
  <c r="L51" i="15"/>
  <c r="O51" i="15"/>
  <c r="C52" i="15"/>
  <c r="D52" i="15"/>
  <c r="I52" i="15"/>
  <c r="E52" i="15" s="1"/>
  <c r="L52" i="15"/>
  <c r="O52" i="15"/>
  <c r="C53" i="15"/>
  <c r="D53" i="15"/>
  <c r="I53" i="15"/>
  <c r="E53" i="15" s="1"/>
  <c r="L53" i="15"/>
  <c r="O53" i="15"/>
  <c r="C54" i="15"/>
  <c r="D54" i="15"/>
  <c r="I54" i="15"/>
  <c r="E54" i="15" s="1"/>
  <c r="L54" i="15"/>
  <c r="O54" i="15"/>
  <c r="C55" i="15"/>
  <c r="D55" i="15"/>
  <c r="I55" i="15"/>
  <c r="E55" i="15" s="1"/>
  <c r="L55" i="15"/>
  <c r="O55" i="15"/>
  <c r="C56" i="15"/>
  <c r="D56" i="15"/>
  <c r="I56" i="15"/>
  <c r="E56" i="15" s="1"/>
  <c r="L56" i="15"/>
  <c r="O56" i="15"/>
  <c r="A3" i="14"/>
  <c r="C9" i="14"/>
  <c r="C10" i="14"/>
  <c r="F61" i="14"/>
  <c r="F62" i="14"/>
  <c r="B63" i="14"/>
  <c r="F63" i="14"/>
  <c r="B64" i="14"/>
  <c r="C66" i="14"/>
  <c r="D66" i="14"/>
  <c r="I66" i="14"/>
  <c r="E66" i="14" s="1"/>
  <c r="L66" i="14"/>
  <c r="O66" i="14"/>
  <c r="C67" i="14"/>
  <c r="D67" i="14"/>
  <c r="I67" i="14"/>
  <c r="L67" i="14"/>
  <c r="O67" i="14"/>
  <c r="C68" i="14"/>
  <c r="D68" i="14"/>
  <c r="I68" i="14"/>
  <c r="L68" i="14"/>
  <c r="O68" i="14"/>
  <c r="C69" i="14"/>
  <c r="D69" i="14"/>
  <c r="I69" i="14"/>
  <c r="E69" i="14" s="1"/>
  <c r="L69" i="14"/>
  <c r="O69" i="14"/>
  <c r="C70" i="14"/>
  <c r="D70" i="14"/>
  <c r="I70" i="14"/>
  <c r="L70" i="14"/>
  <c r="O70" i="14"/>
  <c r="C71" i="14"/>
  <c r="D71" i="14"/>
  <c r="I71" i="14"/>
  <c r="L71" i="14"/>
  <c r="O71" i="14"/>
  <c r="C72" i="14"/>
  <c r="D72" i="14"/>
  <c r="I72" i="14"/>
  <c r="L72" i="14"/>
  <c r="O72" i="14"/>
  <c r="E72" i="14" s="1"/>
  <c r="C73" i="14"/>
  <c r="D73" i="14"/>
  <c r="I73" i="14"/>
  <c r="L73" i="14"/>
  <c r="O73" i="14"/>
  <c r="C74" i="14"/>
  <c r="D74" i="14"/>
  <c r="I74" i="14"/>
  <c r="L74" i="14"/>
  <c r="E74" i="14" s="1"/>
  <c r="O74" i="14"/>
  <c r="C75" i="14"/>
  <c r="D75" i="14"/>
  <c r="I75" i="14"/>
  <c r="L75" i="14"/>
  <c r="E75" i="14" s="1"/>
  <c r="O75" i="14"/>
  <c r="C76" i="14"/>
  <c r="D76" i="14"/>
  <c r="I76" i="14"/>
  <c r="L76" i="14"/>
  <c r="O76" i="14"/>
  <c r="C77" i="14"/>
  <c r="D77" i="14"/>
  <c r="I77" i="14"/>
  <c r="E77" i="14"/>
  <c r="L77" i="14"/>
  <c r="O77" i="14"/>
  <c r="C78" i="14"/>
  <c r="D78" i="14"/>
  <c r="I78" i="14"/>
  <c r="L78" i="14"/>
  <c r="E78" i="14" s="1"/>
  <c r="O78" i="14"/>
  <c r="C79" i="14"/>
  <c r="D79" i="14"/>
  <c r="I79" i="14"/>
  <c r="E79" i="14"/>
  <c r="L79" i="14"/>
  <c r="O79" i="14"/>
  <c r="C80" i="14"/>
  <c r="D80" i="14"/>
  <c r="I80" i="14"/>
  <c r="L80" i="14"/>
  <c r="O80" i="14"/>
  <c r="E80" i="14" s="1"/>
  <c r="C81" i="14"/>
  <c r="D81" i="14"/>
  <c r="I81" i="14"/>
  <c r="E81" i="14" s="1"/>
  <c r="L81" i="14"/>
  <c r="O81" i="14"/>
  <c r="C82" i="14"/>
  <c r="D82" i="14"/>
  <c r="I82" i="14"/>
  <c r="L82" i="14"/>
  <c r="O82" i="14"/>
  <c r="C83" i="14"/>
  <c r="D83" i="14"/>
  <c r="I83" i="14"/>
  <c r="L83" i="14"/>
  <c r="O83" i="14"/>
  <c r="E83" i="14" s="1"/>
  <c r="C84" i="14"/>
  <c r="D84" i="14"/>
  <c r="I84" i="14"/>
  <c r="L84" i="14"/>
  <c r="O84" i="14"/>
  <c r="A95" i="14"/>
  <c r="A96" i="14"/>
  <c r="A97" i="14"/>
  <c r="A98" i="14" s="1"/>
  <c r="A99" i="14" s="1"/>
  <c r="A100" i="14" s="1"/>
  <c r="A101" i="14" s="1"/>
  <c r="A102" i="14" s="1"/>
  <c r="A103" i="14" s="1"/>
  <c r="A104" i="14" s="1"/>
  <c r="A105" i="14" s="1"/>
  <c r="A106" i="14" s="1"/>
  <c r="A107" i="14" s="1"/>
  <c r="A108" i="14" s="1"/>
  <c r="A109" i="14" s="1"/>
  <c r="F114" i="14"/>
  <c r="F115" i="14"/>
  <c r="B116" i="14"/>
  <c r="B117" i="14" s="1"/>
  <c r="C116" i="14"/>
  <c r="D116" i="14"/>
  <c r="I116" i="14"/>
  <c r="L116" i="14"/>
  <c r="O116" i="14"/>
  <c r="C117" i="14"/>
  <c r="D117" i="14"/>
  <c r="I117" i="14"/>
  <c r="E117" i="14" s="1"/>
  <c r="L117" i="14"/>
  <c r="O117" i="14"/>
  <c r="C118" i="14"/>
  <c r="D118" i="14"/>
  <c r="I118" i="14"/>
  <c r="E118" i="14" s="1"/>
  <c r="L118" i="14"/>
  <c r="O118" i="14"/>
  <c r="C119" i="14"/>
  <c r="D119" i="14"/>
  <c r="I119" i="14"/>
  <c r="E119" i="14" s="1"/>
  <c r="L119" i="14"/>
  <c r="O119" i="14"/>
  <c r="C120" i="14"/>
  <c r="D120" i="14"/>
  <c r="I120" i="14"/>
  <c r="L120" i="14"/>
  <c r="O120" i="14"/>
  <c r="E120" i="14" s="1"/>
  <c r="C121" i="14"/>
  <c r="D121" i="14"/>
  <c r="I121" i="14"/>
  <c r="L121" i="14"/>
  <c r="O121" i="14"/>
  <c r="C122" i="14"/>
  <c r="D122" i="14"/>
  <c r="I122" i="14"/>
  <c r="L122" i="14"/>
  <c r="E122" i="14" s="1"/>
  <c r="O122" i="14"/>
  <c r="C123" i="14"/>
  <c r="D123" i="14"/>
  <c r="I123" i="14"/>
  <c r="L123" i="14"/>
  <c r="O123" i="14"/>
  <c r="C124" i="14"/>
  <c r="D124" i="14"/>
  <c r="I124" i="14"/>
  <c r="L124" i="14"/>
  <c r="O124" i="14"/>
  <c r="C125" i="14"/>
  <c r="D125" i="14"/>
  <c r="I125" i="14"/>
  <c r="L125" i="14"/>
  <c r="E125" i="14" s="1"/>
  <c r="O125" i="14"/>
  <c r="C126" i="14"/>
  <c r="D126" i="14"/>
  <c r="I126" i="14"/>
  <c r="E126" i="14"/>
  <c r="L126" i="14"/>
  <c r="O126" i="14"/>
  <c r="C127" i="14"/>
  <c r="D127" i="14"/>
  <c r="I127" i="14"/>
  <c r="L127" i="14"/>
  <c r="O127" i="14"/>
  <c r="C128" i="14"/>
  <c r="D128" i="14"/>
  <c r="I128" i="14"/>
  <c r="L128" i="14"/>
  <c r="E128" i="14"/>
  <c r="O128" i="14"/>
  <c r="C129" i="14"/>
  <c r="D129" i="14"/>
  <c r="I129" i="14"/>
  <c r="E129" i="14" s="1"/>
  <c r="L129" i="14"/>
  <c r="O129" i="14"/>
  <c r="C130" i="14"/>
  <c r="D130" i="14"/>
  <c r="I130" i="14"/>
  <c r="L130" i="14"/>
  <c r="O130" i="14"/>
  <c r="C131" i="14"/>
  <c r="D131" i="14"/>
  <c r="I131" i="14"/>
  <c r="E131" i="14" s="1"/>
  <c r="L131" i="14"/>
  <c r="O131" i="14"/>
  <c r="C132" i="14"/>
  <c r="D132" i="14"/>
  <c r="I132" i="14"/>
  <c r="L132" i="14"/>
  <c r="E132" i="14" s="1"/>
  <c r="O132" i="14"/>
  <c r="C133" i="14"/>
  <c r="D133" i="14"/>
  <c r="I133" i="14"/>
  <c r="E133" i="14" s="1"/>
  <c r="L133" i="14"/>
  <c r="O133" i="14"/>
  <c r="C134" i="14"/>
  <c r="D134" i="14"/>
  <c r="I134" i="14"/>
  <c r="L134" i="14"/>
  <c r="E134" i="14" s="1"/>
  <c r="O134" i="14"/>
  <c r="C135" i="14"/>
  <c r="D135" i="14"/>
  <c r="I135" i="14"/>
  <c r="L135" i="14"/>
  <c r="O135" i="14"/>
  <c r="C136" i="14"/>
  <c r="D136" i="14"/>
  <c r="I136" i="14"/>
  <c r="L136" i="14"/>
  <c r="E136" i="14" s="1"/>
  <c r="O136" i="14"/>
  <c r="C137" i="14"/>
  <c r="D137" i="14"/>
  <c r="I137" i="14"/>
  <c r="E137" i="14" s="1"/>
  <c r="L137" i="14"/>
  <c r="O137" i="14"/>
  <c r="F166" i="14"/>
  <c r="C167" i="14"/>
  <c r="D167" i="14"/>
  <c r="I167" i="14"/>
  <c r="L167" i="14"/>
  <c r="O167" i="14"/>
  <c r="F167" i="14"/>
  <c r="B168" i="14"/>
  <c r="F168" i="14"/>
  <c r="C168" i="14"/>
  <c r="D168" i="14"/>
  <c r="I168" i="14"/>
  <c r="L168" i="14"/>
  <c r="E168" i="14" s="1"/>
  <c r="O168" i="14"/>
  <c r="B169" i="14"/>
  <c r="F169" i="14"/>
  <c r="C169" i="14"/>
  <c r="D169" i="14"/>
  <c r="I169" i="14"/>
  <c r="L169" i="14"/>
  <c r="E169" i="14" s="1"/>
  <c r="O169" i="14"/>
  <c r="C170" i="14"/>
  <c r="D170" i="14"/>
  <c r="I170" i="14"/>
  <c r="E170" i="14" s="1"/>
  <c r="L170" i="14"/>
  <c r="O170" i="14"/>
  <c r="C171" i="14"/>
  <c r="D171" i="14"/>
  <c r="I171" i="14"/>
  <c r="E171" i="14" s="1"/>
  <c r="L171" i="14"/>
  <c r="O171" i="14"/>
  <c r="C172" i="14"/>
  <c r="D172" i="14"/>
  <c r="I172" i="14"/>
  <c r="E172" i="14" s="1"/>
  <c r="L172" i="14"/>
  <c r="O172" i="14"/>
  <c r="C173" i="14"/>
  <c r="D173" i="14"/>
  <c r="I173" i="14"/>
  <c r="L173" i="14"/>
  <c r="O173" i="14"/>
  <c r="C174" i="14"/>
  <c r="D174" i="14"/>
  <c r="I174" i="14"/>
  <c r="L174" i="14"/>
  <c r="O174" i="14"/>
  <c r="C175" i="14"/>
  <c r="D175" i="14"/>
  <c r="I175" i="14"/>
  <c r="L175" i="14"/>
  <c r="E175" i="14" s="1"/>
  <c r="O175" i="14"/>
  <c r="C176" i="14"/>
  <c r="D176" i="14"/>
  <c r="I176" i="14"/>
  <c r="L176" i="14"/>
  <c r="E176" i="14" s="1"/>
  <c r="O176" i="14"/>
  <c r="C177" i="14"/>
  <c r="D177" i="14"/>
  <c r="I177" i="14"/>
  <c r="L177" i="14"/>
  <c r="O177" i="14"/>
  <c r="C178" i="14"/>
  <c r="D178" i="14"/>
  <c r="I178" i="14"/>
  <c r="L178" i="14"/>
  <c r="O178" i="14"/>
  <c r="C179" i="14"/>
  <c r="D179" i="14"/>
  <c r="I179" i="14"/>
  <c r="L179" i="14"/>
  <c r="E179" i="14" s="1"/>
  <c r="O179" i="14"/>
  <c r="C180" i="14"/>
  <c r="D180" i="14"/>
  <c r="I180" i="14"/>
  <c r="E180" i="14" s="1"/>
  <c r="L180" i="14"/>
  <c r="O180" i="14"/>
  <c r="C181" i="14"/>
  <c r="D181" i="14"/>
  <c r="I181" i="14"/>
  <c r="L181" i="14"/>
  <c r="O181" i="14"/>
  <c r="C182" i="14"/>
  <c r="D182" i="14"/>
  <c r="I182" i="14"/>
  <c r="L182" i="14"/>
  <c r="E182" i="14"/>
  <c r="O182" i="14"/>
  <c r="C183" i="14"/>
  <c r="D183" i="14"/>
  <c r="I183" i="14"/>
  <c r="E183" i="14" s="1"/>
  <c r="L183" i="14"/>
  <c r="O183" i="14"/>
  <c r="C184" i="14"/>
  <c r="D184" i="14"/>
  <c r="I184" i="14"/>
  <c r="L184" i="14"/>
  <c r="O184" i="14"/>
  <c r="C185" i="14"/>
  <c r="D185" i="14"/>
  <c r="I185" i="14"/>
  <c r="E185" i="14" s="1"/>
  <c r="L185" i="14"/>
  <c r="O185" i="14"/>
  <c r="C186" i="14"/>
  <c r="D186" i="14"/>
  <c r="I186" i="14"/>
  <c r="E186" i="14" s="1"/>
  <c r="L186" i="14"/>
  <c r="O186" i="14"/>
  <c r="C187" i="14"/>
  <c r="D187" i="14"/>
  <c r="I187" i="14"/>
  <c r="L187" i="14"/>
  <c r="O187" i="14"/>
  <c r="C188" i="14"/>
  <c r="D188" i="14"/>
  <c r="I188" i="14"/>
  <c r="L188" i="14"/>
  <c r="O188" i="14"/>
  <c r="E188" i="14"/>
  <c r="C189" i="14"/>
  <c r="D189" i="14"/>
  <c r="I189" i="14"/>
  <c r="L189" i="14"/>
  <c r="O189" i="14"/>
  <c r="F217" i="14"/>
  <c r="C218" i="14"/>
  <c r="D218" i="14"/>
  <c r="I218" i="14"/>
  <c r="L218" i="14"/>
  <c r="O218" i="14"/>
  <c r="E218" i="14" s="1"/>
  <c r="F218" i="14"/>
  <c r="B219" i="14"/>
  <c r="B220" i="14" s="1"/>
  <c r="B221" i="14" s="1"/>
  <c r="B222" i="14" s="1"/>
  <c r="F222" i="14" s="1"/>
  <c r="C219" i="14"/>
  <c r="D219" i="14"/>
  <c r="I219" i="14"/>
  <c r="L219" i="14"/>
  <c r="O219" i="14"/>
  <c r="F219" i="14"/>
  <c r="C220" i="14"/>
  <c r="D220" i="14"/>
  <c r="I220" i="14"/>
  <c r="E220" i="14" s="1"/>
  <c r="L220" i="14"/>
  <c r="O220" i="14"/>
  <c r="F220" i="14"/>
  <c r="C221" i="14"/>
  <c r="D221" i="14"/>
  <c r="I221" i="14"/>
  <c r="E221" i="14" s="1"/>
  <c r="L221" i="14"/>
  <c r="O221" i="14"/>
  <c r="F221" i="14"/>
  <c r="C222" i="14"/>
  <c r="D222" i="14"/>
  <c r="I222" i="14"/>
  <c r="L222" i="14"/>
  <c r="O222" i="14"/>
  <c r="B223" i="14"/>
  <c r="C223" i="14"/>
  <c r="D223" i="14"/>
  <c r="I223" i="14"/>
  <c r="L223" i="14"/>
  <c r="O223" i="14"/>
  <c r="C224" i="14"/>
  <c r="D224" i="14"/>
  <c r="I224" i="14"/>
  <c r="L224" i="14"/>
  <c r="E224" i="14" s="1"/>
  <c r="O224" i="14"/>
  <c r="C225" i="14"/>
  <c r="D225" i="14"/>
  <c r="I225" i="14"/>
  <c r="L225" i="14"/>
  <c r="E225" i="14" s="1"/>
  <c r="O225" i="14"/>
  <c r="C226" i="14"/>
  <c r="D226" i="14"/>
  <c r="I226" i="14"/>
  <c r="L226" i="14"/>
  <c r="O226" i="14"/>
  <c r="C227" i="14"/>
  <c r="D227" i="14"/>
  <c r="I227" i="14"/>
  <c r="L227" i="14"/>
  <c r="O227" i="14"/>
  <c r="C228" i="14"/>
  <c r="D228" i="14"/>
  <c r="I228" i="14"/>
  <c r="E228" i="14" s="1"/>
  <c r="L228" i="14"/>
  <c r="O228" i="14"/>
  <c r="C229" i="14"/>
  <c r="D229" i="14"/>
  <c r="I229" i="14"/>
  <c r="E229" i="14" s="1"/>
  <c r="L229" i="14"/>
  <c r="O229" i="14"/>
  <c r="C230" i="14"/>
  <c r="D230" i="14"/>
  <c r="I230" i="14"/>
  <c r="L230" i="14"/>
  <c r="O230" i="14"/>
  <c r="C231" i="14"/>
  <c r="D231" i="14"/>
  <c r="I231" i="14"/>
  <c r="L231" i="14"/>
  <c r="O231" i="14"/>
  <c r="C232" i="14"/>
  <c r="D232" i="14"/>
  <c r="I232" i="14"/>
  <c r="L232" i="14"/>
  <c r="O232" i="14"/>
  <c r="C233" i="14"/>
  <c r="D233" i="14"/>
  <c r="I233" i="14"/>
  <c r="L233" i="14"/>
  <c r="E233" i="14"/>
  <c r="O233" i="14"/>
  <c r="C234" i="14"/>
  <c r="D234" i="14"/>
  <c r="I234" i="14"/>
  <c r="L234" i="14"/>
  <c r="O234" i="14"/>
  <c r="C235" i="14"/>
  <c r="D235" i="14"/>
  <c r="I235" i="14"/>
  <c r="L235" i="14"/>
  <c r="O235" i="14"/>
  <c r="C236" i="14"/>
  <c r="D236" i="14"/>
  <c r="I236" i="14"/>
  <c r="E236" i="14" s="1"/>
  <c r="L236" i="14"/>
  <c r="O236" i="14"/>
  <c r="C237" i="14"/>
  <c r="D237" i="14"/>
  <c r="I237" i="14"/>
  <c r="E237" i="14" s="1"/>
  <c r="L237" i="14"/>
  <c r="O237" i="14"/>
  <c r="C238" i="14"/>
  <c r="D238" i="14"/>
  <c r="I238" i="14"/>
  <c r="L238" i="14"/>
  <c r="O238" i="14"/>
  <c r="C239" i="14"/>
  <c r="D239" i="14"/>
  <c r="I239" i="14"/>
  <c r="L239" i="14"/>
  <c r="O239" i="14"/>
  <c r="C240" i="14"/>
  <c r="D240" i="14"/>
  <c r="I240" i="14"/>
  <c r="L240" i="14"/>
  <c r="O240" i="14"/>
  <c r="E7" i="13"/>
  <c r="M7" i="13"/>
  <c r="E10" i="13"/>
  <c r="M12" i="13"/>
  <c r="E14" i="13"/>
  <c r="M15" i="13"/>
  <c r="D16" i="13"/>
  <c r="J88" i="10"/>
  <c r="I102" i="10"/>
  <c r="I118" i="10" s="1"/>
  <c r="J102" i="10"/>
  <c r="J118" i="10"/>
  <c r="H23" i="9"/>
  <c r="H24" i="9" s="1"/>
  <c r="J24" i="9"/>
  <c r="K24" i="9"/>
  <c r="L24" i="9"/>
  <c r="K66" i="8"/>
  <c r="E25" i="7"/>
  <c r="D30" i="7"/>
  <c r="E4" i="6"/>
  <c r="E177" i="6" s="1"/>
  <c r="D24" i="6"/>
  <c r="D33" i="6"/>
  <c r="D25" i="6"/>
  <c r="D27" i="6"/>
  <c r="D36" i="6" s="1"/>
  <c r="D28" i="6"/>
  <c r="D34" i="6"/>
  <c r="D37" i="6"/>
  <c r="E61" i="6"/>
  <c r="M66" i="6"/>
  <c r="E62" i="6"/>
  <c r="E63" i="6"/>
  <c r="E66" i="6"/>
  <c r="E67" i="6"/>
  <c r="F71" i="6"/>
  <c r="F138" i="6" s="1"/>
  <c r="F185" i="6" s="1"/>
  <c r="H71" i="6"/>
  <c r="M72" i="6"/>
  <c r="J101" i="6"/>
  <c r="E127" i="6"/>
  <c r="M132" i="6"/>
  <c r="E128" i="6"/>
  <c r="E129" i="6"/>
  <c r="E132" i="6"/>
  <c r="E133" i="6"/>
  <c r="H138" i="6"/>
  <c r="M139" i="6"/>
  <c r="E147" i="6"/>
  <c r="D159" i="6"/>
  <c r="J159" i="6"/>
  <c r="K159" i="6"/>
  <c r="D160" i="6"/>
  <c r="D162" i="6"/>
  <c r="D163" i="6"/>
  <c r="D171" i="6"/>
  <c r="J163" i="6"/>
  <c r="D167" i="6"/>
  <c r="D168" i="6"/>
  <c r="D170" i="6"/>
  <c r="E174" i="6"/>
  <c r="M179" i="6"/>
  <c r="E175" i="6"/>
  <c r="E176" i="6"/>
  <c r="E179" i="6"/>
  <c r="E180" i="6"/>
  <c r="H185" i="6"/>
  <c r="M186" i="6"/>
  <c r="E193" i="6"/>
  <c r="F202" i="6"/>
  <c r="E238" i="6"/>
  <c r="M243" i="6"/>
  <c r="E239" i="6"/>
  <c r="E240" i="6"/>
  <c r="E243" i="6"/>
  <c r="E244" i="6"/>
  <c r="B288" i="6"/>
  <c r="B289" i="6"/>
  <c r="B290" i="6" s="1"/>
  <c r="B291" i="6" s="1"/>
  <c r="B292" i="6" s="1"/>
  <c r="B21" i="5"/>
  <c r="D18" i="4"/>
  <c r="C25" i="4"/>
  <c r="C26" i="4"/>
  <c r="C27" i="4"/>
  <c r="C28" i="4"/>
  <c r="C29" i="4"/>
  <c r="C39" i="4"/>
  <c r="D76" i="3"/>
  <c r="D77" i="3"/>
  <c r="D78" i="3"/>
  <c r="D79" i="3"/>
  <c r="D80" i="3"/>
  <c r="D86" i="3"/>
  <c r="D118" i="3"/>
  <c r="D119" i="3"/>
  <c r="A45" i="24"/>
  <c r="A46" i="24" s="1"/>
  <c r="A43" i="30"/>
  <c r="A44" i="30" s="1"/>
  <c r="A45" i="30" s="1"/>
  <c r="A46" i="30" s="1"/>
  <c r="A47" i="30" s="1"/>
  <c r="A48" i="30" s="1"/>
  <c r="A49" i="30" s="1"/>
  <c r="A50" i="30" s="1"/>
  <c r="A51" i="30" s="1"/>
  <c r="A52" i="30" s="1"/>
  <c r="A53" i="30" s="1"/>
  <c r="A54" i="30" s="1"/>
  <c r="A55" i="30" s="1"/>
  <c r="A56" i="30" s="1"/>
  <c r="A57" i="30" s="1"/>
  <c r="A58" i="30" s="1"/>
  <c r="A59" i="30" s="1"/>
  <c r="A60" i="30" s="1"/>
  <c r="A61" i="30" s="1"/>
  <c r="A62" i="30" s="1"/>
  <c r="A63" i="30" s="1"/>
  <c r="A70" i="30" s="1"/>
  <c r="A71" i="30" s="1"/>
  <c r="A72" i="30" s="1"/>
  <c r="A73" i="30" s="1"/>
  <c r="A74" i="30" s="1"/>
  <c r="A75" i="30" s="1"/>
  <c r="A76" i="30" s="1"/>
  <c r="A77" i="30" s="1"/>
  <c r="A78" i="30" s="1"/>
  <c r="A79" i="30" s="1"/>
  <c r="A80" i="30" s="1"/>
  <c r="A81" i="30" s="1"/>
  <c r="A82" i="30" s="1"/>
  <c r="A83" i="30" s="1"/>
  <c r="A84" i="30" s="1"/>
  <c r="A85" i="30" s="1"/>
  <c r="A86" i="30" s="1"/>
  <c r="A87" i="30" s="1"/>
  <c r="A88" i="30" s="1"/>
  <c r="A89" i="30" s="1"/>
  <c r="A90" i="30" s="1"/>
  <c r="A96" i="30" s="1"/>
  <c r="A97" i="30" s="1"/>
  <c r="A98" i="30" s="1"/>
  <c r="A99" i="30" s="1"/>
  <c r="A100" i="30" s="1"/>
  <c r="A101" i="30" s="1"/>
  <c r="A102" i="30" s="1"/>
  <c r="A103" i="30" s="1"/>
  <c r="A104" i="30" s="1"/>
  <c r="A105" i="30" s="1"/>
  <c r="A106" i="30" s="1"/>
  <c r="A107" i="30" s="1"/>
  <c r="A108" i="30" s="1"/>
  <c r="A109" i="30" s="1"/>
  <c r="A110" i="30" s="1"/>
  <c r="A111" i="30" s="1"/>
  <c r="A112" i="30" s="1"/>
  <c r="A113" i="30" s="1"/>
  <c r="A114" i="30" s="1"/>
  <c r="A115" i="30" s="1"/>
  <c r="A116" i="30" s="1"/>
  <c r="A250" i="16"/>
  <c r="A251" i="16" s="1"/>
  <c r="A252" i="16" s="1"/>
  <c r="A253" i="16" s="1"/>
  <c r="A254" i="16" s="1"/>
  <c r="A255" i="16" s="1"/>
  <c r="A256" i="16" s="1"/>
  <c r="A257" i="16" s="1"/>
  <c r="A258" i="16" s="1"/>
  <c r="A259" i="16" s="1"/>
  <c r="A30" i="8"/>
  <c r="A31" i="8" s="1"/>
  <c r="A32" i="8"/>
  <c r="E23" i="7"/>
  <c r="B170" i="14"/>
  <c r="B171" i="14" s="1"/>
  <c r="B172" i="14"/>
  <c r="B173" i="14"/>
  <c r="B174" i="14"/>
  <c r="A14" i="21"/>
  <c r="E24" i="23"/>
  <c r="B25" i="7"/>
  <c r="E101" i="6"/>
  <c r="E100" i="6"/>
  <c r="E104" i="6"/>
  <c r="E103" i="6"/>
  <c r="P99" i="12"/>
  <c r="Q99" i="12"/>
  <c r="J20" i="28"/>
  <c r="M145" i="27"/>
  <c r="M146" i="27" s="1"/>
  <c r="M147" i="27" s="1"/>
  <c r="E135" i="14"/>
  <c r="F116" i="14"/>
  <c r="E67" i="14"/>
  <c r="B316" i="16"/>
  <c r="A72" i="22"/>
  <c r="A80" i="22"/>
  <c r="A81" i="22" s="1"/>
  <c r="A31" i="22"/>
  <c r="D31" i="22"/>
  <c r="A56" i="16"/>
  <c r="A57" i="16"/>
  <c r="A58" i="16"/>
  <c r="A59" i="16" s="1"/>
  <c r="A60" i="16"/>
  <c r="A61" i="16" s="1"/>
  <c r="A62" i="16" s="1"/>
  <c r="A63" i="16" s="1"/>
  <c r="A64" i="16" s="1"/>
  <c r="A65" i="16" s="1"/>
  <c r="A66" i="16" s="1"/>
  <c r="AG36" i="24"/>
  <c r="AG37" i="24"/>
  <c r="AG38" i="24" s="1"/>
  <c r="AG39" i="24" s="1"/>
  <c r="AG40" i="24" s="1"/>
  <c r="H268" i="16"/>
  <c r="B269" i="16"/>
  <c r="B93" i="6"/>
  <c r="B94" i="6" s="1"/>
  <c r="E124" i="14"/>
  <c r="E116" i="14"/>
  <c r="A298" i="16"/>
  <c r="A299" i="16"/>
  <c r="A300" i="16" s="1"/>
  <c r="A301" i="16" s="1"/>
  <c r="A302" i="16" s="1"/>
  <c r="A303" i="16" s="1"/>
  <c r="A304" i="16"/>
  <c r="A305" i="16" s="1"/>
  <c r="A306" i="16" s="1"/>
  <c r="A307" i="16" s="1"/>
  <c r="A308" i="16" s="1"/>
  <c r="A199" i="16"/>
  <c r="A200" i="16"/>
  <c r="A201" i="16" s="1"/>
  <c r="A202" i="16"/>
  <c r="A203" i="16" s="1"/>
  <c r="A204" i="16" s="1"/>
  <c r="A205" i="16" s="1"/>
  <c r="A206" i="16"/>
  <c r="A207" i="16" s="1"/>
  <c r="A208" i="16" s="1"/>
  <c r="A209" i="16" s="1"/>
  <c r="B171" i="16"/>
  <c r="P163" i="16"/>
  <c r="H122" i="16"/>
  <c r="B123" i="16"/>
  <c r="B26" i="23"/>
  <c r="E26" i="23"/>
  <c r="H266" i="16"/>
  <c r="H169" i="16"/>
  <c r="A144" i="22"/>
  <c r="A145" i="22" s="1"/>
  <c r="D133" i="22"/>
  <c r="J144" i="27"/>
  <c r="A23" i="22"/>
  <c r="D29" i="22"/>
  <c r="D25" i="22"/>
  <c r="D191" i="22"/>
  <c r="B199" i="6"/>
  <c r="J18" i="15"/>
  <c r="J19" i="15" s="1"/>
  <c r="J20" i="15" s="1"/>
  <c r="J21" i="15" s="1"/>
  <c r="J22" i="15" s="1"/>
  <c r="J23" i="15" s="1"/>
  <c r="J24" i="15" s="1"/>
  <c r="J25" i="15" s="1"/>
  <c r="J26" i="15" s="1"/>
  <c r="J27" i="15" s="1"/>
  <c r="J28" i="15" s="1"/>
  <c r="E47" i="20" s="1"/>
  <c r="E50" i="20" s="1"/>
  <c r="G103" i="27"/>
  <c r="M100" i="14"/>
  <c r="M101" i="14"/>
  <c r="M102" i="14"/>
  <c r="M103" i="14" s="1"/>
  <c r="M104" i="14" s="1"/>
  <c r="M105" i="14" s="1"/>
  <c r="M106" i="14"/>
  <c r="M107" i="14" s="1"/>
  <c r="M108" i="14" s="1"/>
  <c r="M109" i="14" s="1"/>
  <c r="E92" i="19" s="1"/>
  <c r="J64" i="16"/>
  <c r="J65" i="16"/>
  <c r="J66" i="16"/>
  <c r="D190" i="22"/>
  <c r="M18" i="28"/>
  <c r="H105" i="6"/>
  <c r="D35" i="25"/>
  <c r="A16" i="16"/>
  <c r="A17" i="16"/>
  <c r="A18" i="16"/>
  <c r="A19" i="16" s="1"/>
  <c r="A20" i="16" s="1"/>
  <c r="A21" i="16" s="1"/>
  <c r="A22" i="16"/>
  <c r="A25" i="16" s="1"/>
  <c r="A26" i="16" s="1"/>
  <c r="A27" i="16" s="1"/>
  <c r="A28" i="16" s="1"/>
  <c r="M34" i="15"/>
  <c r="M103" i="27"/>
  <c r="T22" i="24"/>
  <c r="S22" i="24"/>
  <c r="R98" i="30"/>
  <c r="J102" i="27"/>
  <c r="J62" i="27"/>
  <c r="J63" i="27" s="1"/>
  <c r="J64" i="27" s="1"/>
  <c r="J65" i="27" s="1"/>
  <c r="J66" i="27" s="1"/>
  <c r="Y31" i="24"/>
  <c r="K18" i="24"/>
  <c r="I12" i="16"/>
  <c r="M59" i="27"/>
  <c r="C59" i="27" s="1"/>
  <c r="AC22" i="24"/>
  <c r="AD22" i="24"/>
  <c r="AE22" i="24"/>
  <c r="AE23" i="24" s="1"/>
  <c r="G146" i="27"/>
  <c r="X31" i="24"/>
  <c r="AI22" i="24"/>
  <c r="AJ22" i="24" s="1"/>
  <c r="C30" i="24"/>
  <c r="H31" i="24"/>
  <c r="N18" i="16"/>
  <c r="O18" i="16"/>
  <c r="J13" i="14"/>
  <c r="O119" i="16"/>
  <c r="D119" i="16" s="1"/>
  <c r="T71" i="16"/>
  <c r="I40" i="16"/>
  <c r="I34" i="16"/>
  <c r="J23" i="27"/>
  <c r="H101" i="6"/>
  <c r="D31" i="25"/>
  <c r="F84" i="6"/>
  <c r="H84" i="6" s="1"/>
  <c r="I25" i="17"/>
  <c r="D21" i="25"/>
  <c r="I28" i="16"/>
  <c r="I47" i="16" s="1"/>
  <c r="M152" i="14"/>
  <c r="M153" i="14"/>
  <c r="M154" i="14"/>
  <c r="M155" i="14"/>
  <c r="M156" i="14" s="1"/>
  <c r="M157" i="14" s="1"/>
  <c r="M158" i="14" s="1"/>
  <c r="M159" i="14"/>
  <c r="M160" i="14" s="1"/>
  <c r="M161" i="14" s="1"/>
  <c r="E125" i="19" s="1"/>
  <c r="M36" i="27"/>
  <c r="M20" i="27"/>
  <c r="C19" i="27"/>
  <c r="R110" i="30"/>
  <c r="O313" i="16"/>
  <c r="T264" i="16"/>
  <c r="J264" i="16"/>
  <c r="O214" i="16"/>
  <c r="T167" i="16"/>
  <c r="J167" i="16"/>
  <c r="T104" i="16"/>
  <c r="T119" i="16"/>
  <c r="J119" i="16"/>
  <c r="O71" i="16"/>
  <c r="D71" i="16" s="1"/>
  <c r="I35" i="15"/>
  <c r="G19" i="28"/>
  <c r="M44" i="6"/>
  <c r="F232" i="6"/>
  <c r="J152" i="14"/>
  <c r="J153" i="14" s="1"/>
  <c r="J154" i="14" s="1"/>
  <c r="J155" i="14" s="1"/>
  <c r="J156" i="14" s="1"/>
  <c r="J157" i="14" s="1"/>
  <c r="J158" i="14" s="1"/>
  <c r="J159" i="14" s="1"/>
  <c r="J160" i="14" s="1"/>
  <c r="J161" i="14" s="1"/>
  <c r="E124" i="19" s="1"/>
  <c r="J47" i="14"/>
  <c r="G20" i="28"/>
  <c r="G147" i="27"/>
  <c r="M60" i="27"/>
  <c r="K19" i="24"/>
  <c r="L18" i="24"/>
  <c r="F18" i="24"/>
  <c r="B200" i="6"/>
  <c r="D192" i="22"/>
  <c r="J21" i="28"/>
  <c r="M21" i="27"/>
  <c r="C20" i="27"/>
  <c r="J24" i="27"/>
  <c r="J25" i="27" s="1"/>
  <c r="J26" i="27" s="1"/>
  <c r="J27" i="27" s="1"/>
  <c r="Y32" i="24"/>
  <c r="X32" i="24"/>
  <c r="AD23" i="24"/>
  <c r="AC23" i="24"/>
  <c r="AF22" i="24"/>
  <c r="S23" i="24"/>
  <c r="T23" i="24"/>
  <c r="B270" i="16"/>
  <c r="H269" i="16"/>
  <c r="AG44" i="24"/>
  <c r="D81" i="22"/>
  <c r="E43" i="23"/>
  <c r="B28" i="7"/>
  <c r="D33" i="21"/>
  <c r="A15" i="21"/>
  <c r="D222" i="22"/>
  <c r="A47" i="24"/>
  <c r="M104" i="27"/>
  <c r="C36" i="15"/>
  <c r="J71" i="16"/>
  <c r="B124" i="16"/>
  <c r="H123" i="16"/>
  <c r="A84" i="22"/>
  <c r="B118" i="14"/>
  <c r="F118" i="14" s="1"/>
  <c r="B119" i="14"/>
  <c r="F117" i="14"/>
  <c r="M37" i="27"/>
  <c r="M38" i="27" s="1"/>
  <c r="J103" i="27"/>
  <c r="C103" i="27" s="1"/>
  <c r="C102" i="27"/>
  <c r="E22" i="20"/>
  <c r="A31" i="16"/>
  <c r="A32" i="16" s="1"/>
  <c r="A33" i="16" s="1"/>
  <c r="M19" i="28"/>
  <c r="C19" i="28"/>
  <c r="C18" i="28"/>
  <c r="G104" i="27"/>
  <c r="J145" i="27"/>
  <c r="C144" i="27"/>
  <c r="H171" i="16"/>
  <c r="B172" i="16"/>
  <c r="B173" i="16" s="1"/>
  <c r="D85" i="22"/>
  <c r="A34" i="22"/>
  <c r="B317" i="16"/>
  <c r="H316" i="16"/>
  <c r="A33" i="8"/>
  <c r="A34" i="8"/>
  <c r="A35" i="8" s="1"/>
  <c r="H172" i="16"/>
  <c r="A146" i="22"/>
  <c r="S24" i="24"/>
  <c r="T24" i="24"/>
  <c r="M22" i="27"/>
  <c r="J22" i="28"/>
  <c r="A35" i="22"/>
  <c r="A36" i="22"/>
  <c r="A37" i="22" s="1"/>
  <c r="J104" i="27"/>
  <c r="J105" i="27" s="1"/>
  <c r="J106" i="27" s="1"/>
  <c r="D217" i="22"/>
  <c r="D239" i="22"/>
  <c r="AD24" i="24"/>
  <c r="AC24" i="24"/>
  <c r="Y33" i="24"/>
  <c r="X33" i="24"/>
  <c r="Y34" i="24" s="1"/>
  <c r="K20" i="24"/>
  <c r="K21" i="24" s="1"/>
  <c r="L19" i="24"/>
  <c r="G148" i="27"/>
  <c r="G149" i="27" s="1"/>
  <c r="J146" i="27"/>
  <c r="M20" i="28"/>
  <c r="M21" i="28" s="1"/>
  <c r="M105" i="27"/>
  <c r="B201" i="6"/>
  <c r="D193" i="22"/>
  <c r="B318" i="16"/>
  <c r="H317" i="16"/>
  <c r="B125" i="16"/>
  <c r="B126" i="16" s="1"/>
  <c r="B127" i="16" s="1"/>
  <c r="H124" i="16"/>
  <c r="B271" i="16"/>
  <c r="H271" i="16" s="1"/>
  <c r="H270" i="16"/>
  <c r="E202" i="6"/>
  <c r="G21" i="28"/>
  <c r="T25" i="24"/>
  <c r="S25" i="24"/>
  <c r="A147" i="22"/>
  <c r="A150" i="22" s="1"/>
  <c r="L20" i="24"/>
  <c r="J23" i="28"/>
  <c r="M148" i="27"/>
  <c r="M149" i="27" s="1"/>
  <c r="M150" i="27" s="1"/>
  <c r="M151" i="27" s="1"/>
  <c r="M152" i="27" s="1"/>
  <c r="M153" i="27" s="1"/>
  <c r="M154" i="27" s="1"/>
  <c r="M155" i="27" s="1"/>
  <c r="B272" i="16"/>
  <c r="B273" i="16" s="1"/>
  <c r="A37" i="16"/>
  <c r="A38" i="16" s="1"/>
  <c r="A39" i="16" s="1"/>
  <c r="A40" i="16" s="1"/>
  <c r="A43" i="16" s="1"/>
  <c r="E23" i="19" s="1"/>
  <c r="A34" i="16"/>
  <c r="B202" i="6"/>
  <c r="B204" i="6" s="1"/>
  <c r="D194" i="22"/>
  <c r="M106" i="27"/>
  <c r="M39" i="27"/>
  <c r="M40" i="27" s="1"/>
  <c r="D147" i="22"/>
  <c r="H125" i="16"/>
  <c r="AC25" i="24"/>
  <c r="AC26" i="24" s="1"/>
  <c r="AC27" i="24" s="1"/>
  <c r="AD25" i="24"/>
  <c r="A38" i="22"/>
  <c r="A39" i="22" s="1"/>
  <c r="D225" i="22"/>
  <c r="M23" i="27"/>
  <c r="H126" i="16"/>
  <c r="J24" i="28"/>
  <c r="G150" i="27"/>
  <c r="M24" i="27"/>
  <c r="D197" i="22"/>
  <c r="B207" i="6"/>
  <c r="AD26" i="24"/>
  <c r="D221" i="22"/>
  <c r="D39" i="22"/>
  <c r="M107" i="27"/>
  <c r="M108" i="27" s="1"/>
  <c r="M109" i="27" s="1"/>
  <c r="A44" i="16"/>
  <c r="A45" i="16" s="1"/>
  <c r="A46" i="16" s="1"/>
  <c r="A47" i="16" s="1"/>
  <c r="H272" i="16"/>
  <c r="A151" i="22"/>
  <c r="D158" i="22"/>
  <c r="T26" i="24"/>
  <c r="S26" i="24"/>
  <c r="M22" i="28"/>
  <c r="J67" i="27"/>
  <c r="AD27" i="24"/>
  <c r="M25" i="27"/>
  <c r="E224" i="6"/>
  <c r="B128" i="16"/>
  <c r="B129" i="16" s="1"/>
  <c r="H127" i="16"/>
  <c r="B274" i="16"/>
  <c r="H273" i="16"/>
  <c r="J107" i="27"/>
  <c r="M23" i="28"/>
  <c r="S27" i="24"/>
  <c r="T27" i="24"/>
  <c r="G151" i="27"/>
  <c r="J25" i="28"/>
  <c r="J26" i="28" s="1"/>
  <c r="J27" i="28" s="1"/>
  <c r="J28" i="28" s="1"/>
  <c r="M26" i="27"/>
  <c r="AD28" i="24"/>
  <c r="AC28" i="24"/>
  <c r="H128" i="16"/>
  <c r="J68" i="27"/>
  <c r="J69" i="27" s="1"/>
  <c r="J70" i="27" s="1"/>
  <c r="J71" i="27" s="1"/>
  <c r="J108" i="27"/>
  <c r="J109" i="27" s="1"/>
  <c r="G152" i="27"/>
  <c r="S28" i="24"/>
  <c r="T28" i="24"/>
  <c r="M24" i="28"/>
  <c r="B275" i="16"/>
  <c r="H274" i="16"/>
  <c r="M110" i="27"/>
  <c r="M111" i="27" s="1"/>
  <c r="M112" i="27" s="1"/>
  <c r="M25" i="28"/>
  <c r="G153" i="27"/>
  <c r="H275" i="16"/>
  <c r="B276" i="16"/>
  <c r="T29" i="24"/>
  <c r="AD29" i="24"/>
  <c r="M27" i="27"/>
  <c r="M26" i="28"/>
  <c r="J110" i="27"/>
  <c r="J111" i="27" s="1"/>
  <c r="J112" i="27" s="1"/>
  <c r="H276" i="16"/>
  <c r="B277" i="16"/>
  <c r="G154" i="27"/>
  <c r="M28" i="27"/>
  <c r="M29" i="27" s="1"/>
  <c r="M30" i="27" s="1"/>
  <c r="G155" i="27"/>
  <c r="M27" i="28"/>
  <c r="M28" i="28" s="1"/>
  <c r="M29" i="28" s="1"/>
  <c r="M30" i="28" s="1"/>
  <c r="M31" i="28" s="1"/>
  <c r="B278" i="16"/>
  <c r="H278" i="16" s="1"/>
  <c r="H277" i="16"/>
  <c r="B279" i="16"/>
  <c r="J72" i="27"/>
  <c r="J73" i="27" s="1"/>
  <c r="G156" i="27"/>
  <c r="G157" i="27"/>
  <c r="G158" i="27" s="1"/>
  <c r="M31" i="27"/>
  <c r="M32" i="28"/>
  <c r="M33" i="28" s="1"/>
  <c r="M34" i="28"/>
  <c r="M35" i="28"/>
  <c r="M36" i="28"/>
  <c r="M37" i="28" s="1"/>
  <c r="M38" i="28" s="1"/>
  <c r="M39" i="28" s="1"/>
  <c r="M40" i="28" s="1"/>
  <c r="M42" i="28"/>
  <c r="E58" i="20" s="1"/>
  <c r="F87" i="6"/>
  <c r="H87" i="6" s="1"/>
  <c r="M11" i="13"/>
  <c r="I101" i="10"/>
  <c r="I117" i="10" s="1"/>
  <c r="E42" i="6"/>
  <c r="A24" i="10"/>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8" i="10" s="1"/>
  <c r="A69" i="10" s="1"/>
  <c r="A70" i="10" s="1"/>
  <c r="A71" i="10" s="1"/>
  <c r="A72" i="10" s="1"/>
  <c r="A73" i="10" s="1"/>
  <c r="A78" i="10" s="1"/>
  <c r="A79" i="10" s="1"/>
  <c r="A80" i="10" s="1"/>
  <c r="J101" i="10"/>
  <c r="J117" i="10"/>
  <c r="D151" i="10"/>
  <c r="K269" i="6"/>
  <c r="F16" i="6"/>
  <c r="H16" i="6" s="1"/>
  <c r="E39" i="29"/>
  <c r="H55" i="6"/>
  <c r="R106" i="30"/>
  <c r="H110" i="14"/>
  <c r="K110" i="14"/>
  <c r="N110" i="14"/>
  <c r="A110" i="14"/>
  <c r="A111" i="14" s="1"/>
  <c r="A112" i="14" s="1"/>
  <c r="A113" i="14" s="1"/>
  <c r="A114" i="14" s="1"/>
  <c r="A115" i="14" s="1"/>
  <c r="A116" i="14" s="1"/>
  <c r="A117" i="14" s="1"/>
  <c r="A118" i="14" s="1"/>
  <c r="A119" i="14" s="1"/>
  <c r="A120" i="14" s="1"/>
  <c r="A121" i="14" s="1"/>
  <c r="A122" i="14" s="1"/>
  <c r="A123" i="14" s="1"/>
  <c r="A124" i="14" s="1"/>
  <c r="A125" i="14" s="1"/>
  <c r="A126" i="14" s="1"/>
  <c r="A127" i="14" s="1"/>
  <c r="A128" i="14" s="1"/>
  <c r="A129" i="14" s="1"/>
  <c r="A130" i="14" s="1"/>
  <c r="A131" i="14" s="1"/>
  <c r="A132" i="14" s="1"/>
  <c r="A133" i="14" s="1"/>
  <c r="A134" i="14" s="1"/>
  <c r="A135" i="14" s="1"/>
  <c r="A136" i="14" s="1"/>
  <c r="A137" i="14" s="1"/>
  <c r="A138" i="14" s="1"/>
  <c r="A139" i="14" s="1"/>
  <c r="A140" i="14" s="1"/>
  <c r="A141" i="14" s="1"/>
  <c r="A142" i="14" s="1"/>
  <c r="A143" i="14" s="1"/>
  <c r="G101" i="14"/>
  <c r="G102" i="14"/>
  <c r="G103" i="14" s="1"/>
  <c r="G104" i="14" s="1"/>
  <c r="G105" i="14" s="1"/>
  <c r="G106" i="14"/>
  <c r="G107" i="14" s="1"/>
  <c r="G108" i="14" s="1"/>
  <c r="G109" i="14" s="1"/>
  <c r="E90" i="19" s="1"/>
  <c r="J166" i="14"/>
  <c r="F174" i="14"/>
  <c r="B175" i="14"/>
  <c r="J101" i="14"/>
  <c r="F173" i="14"/>
  <c r="F172" i="14"/>
  <c r="J48" i="14"/>
  <c r="A46" i="14"/>
  <c r="A47" i="14" s="1"/>
  <c r="A48" i="14" s="1"/>
  <c r="A49" i="14" s="1"/>
  <c r="A50" i="14" s="1"/>
  <c r="A51" i="14" s="1"/>
  <c r="A52" i="14" s="1"/>
  <c r="A53" i="14" s="1"/>
  <c r="A54" i="14" s="1"/>
  <c r="A55" i="14" s="1"/>
  <c r="A56" i="14" s="1"/>
  <c r="G204" i="14"/>
  <c r="G205" i="14"/>
  <c r="G206" i="14"/>
  <c r="G24" i="14"/>
  <c r="E114" i="14"/>
  <c r="M204" i="14"/>
  <c r="M205" i="14"/>
  <c r="F119" i="14"/>
  <c r="B120" i="14"/>
  <c r="A162" i="14"/>
  <c r="A163" i="14" s="1"/>
  <c r="A164" i="14" s="1"/>
  <c r="A165" i="14" s="1"/>
  <c r="A166" i="14"/>
  <c r="A167" i="14" s="1"/>
  <c r="A168" i="14" s="1"/>
  <c r="A169" i="14" s="1"/>
  <c r="A170" i="14" s="1"/>
  <c r="A171" i="14" s="1"/>
  <c r="A172" i="14" s="1"/>
  <c r="A173" i="14" s="1"/>
  <c r="A174" i="14" s="1"/>
  <c r="A175" i="14" s="1"/>
  <c r="A176" i="14" s="1"/>
  <c r="A177" i="14" s="1"/>
  <c r="A178" i="14" s="1"/>
  <c r="A179" i="14" s="1"/>
  <c r="A180" i="14" s="1"/>
  <c r="A181" i="14" s="1"/>
  <c r="A182" i="14" s="1"/>
  <c r="A183" i="14" s="1"/>
  <c r="A184" i="14" s="1"/>
  <c r="A185" i="14" s="1"/>
  <c r="A186" i="14" s="1"/>
  <c r="A187" i="14" s="1"/>
  <c r="A188" i="14" s="1"/>
  <c r="A189" i="14" s="1"/>
  <c r="A190" i="14" s="1"/>
  <c r="A191" i="14" s="1"/>
  <c r="A192" i="14" s="1"/>
  <c r="A193" i="14" s="1"/>
  <c r="A194" i="14" s="1"/>
  <c r="A195" i="14" s="1"/>
  <c r="N162" i="14"/>
  <c r="F171" i="14"/>
  <c r="F170" i="14"/>
  <c r="J217" i="14"/>
  <c r="M166" i="14"/>
  <c r="E187" i="14"/>
  <c r="E82" i="14"/>
  <c r="A202" i="14"/>
  <c r="A203" i="14" s="1"/>
  <c r="A204" i="14" s="1"/>
  <c r="A205" i="14"/>
  <c r="A206" i="14" s="1"/>
  <c r="A207" i="14" s="1"/>
  <c r="A208" i="14" s="1"/>
  <c r="A209" i="14"/>
  <c r="A210" i="14" s="1"/>
  <c r="A211" i="14" s="1"/>
  <c r="A212" i="14" s="1"/>
  <c r="G151" i="14"/>
  <c r="G152" i="14" s="1"/>
  <c r="G153" i="14" s="1"/>
  <c r="G154" i="14" s="1"/>
  <c r="G155" i="14"/>
  <c r="G156" i="14" s="1"/>
  <c r="G157" i="14" s="1"/>
  <c r="G158" i="14" s="1"/>
  <c r="G159" i="14"/>
  <c r="G160" i="14" s="1"/>
  <c r="G161" i="14" s="1"/>
  <c r="E123" i="19" s="1"/>
  <c r="M115" i="14"/>
  <c r="E238" i="14"/>
  <c r="E234" i="14"/>
  <c r="E230" i="14"/>
  <c r="E226" i="14"/>
  <c r="E222" i="14"/>
  <c r="E189" i="14"/>
  <c r="E181" i="14"/>
  <c r="E173" i="14"/>
  <c r="E123" i="14"/>
  <c r="E71" i="14"/>
  <c r="H162" i="14"/>
  <c r="K162" i="14"/>
  <c r="E239" i="14"/>
  <c r="E235" i="14"/>
  <c r="E231" i="14"/>
  <c r="E227" i="14"/>
  <c r="E223" i="14"/>
  <c r="E219" i="14"/>
  <c r="E167" i="14"/>
  <c r="E127" i="14"/>
  <c r="E84" i="14"/>
  <c r="E68" i="14"/>
  <c r="F64" i="14"/>
  <c r="B65" i="14"/>
  <c r="J49" i="14"/>
  <c r="B176" i="14"/>
  <c r="F175" i="14"/>
  <c r="B66" i="14"/>
  <c r="B67" i="14" s="1"/>
  <c r="F65" i="14"/>
  <c r="F120" i="14"/>
  <c r="B121" i="14"/>
  <c r="G26" i="14"/>
  <c r="F66" i="14"/>
  <c r="J50" i="14"/>
  <c r="F121" i="14"/>
  <c r="B122" i="14"/>
  <c r="B177" i="14"/>
  <c r="F176" i="14"/>
  <c r="F177" i="14"/>
  <c r="B178" i="14"/>
  <c r="F178" i="14" s="1"/>
  <c r="F122" i="14"/>
  <c r="B123" i="14"/>
  <c r="J51" i="14"/>
  <c r="D62" i="14"/>
  <c r="F123" i="14"/>
  <c r="B124" i="14"/>
  <c r="B125" i="14" s="1"/>
  <c r="B179" i="14"/>
  <c r="J52" i="14"/>
  <c r="C62" i="14"/>
  <c r="AA62" i="14"/>
  <c r="D63" i="14"/>
  <c r="AA63" i="14"/>
  <c r="J53" i="14"/>
  <c r="F124" i="14"/>
  <c r="E62" i="14"/>
  <c r="G19" i="14"/>
  <c r="J54" i="14"/>
  <c r="J55" i="14"/>
  <c r="J56" i="14"/>
  <c r="E51" i="19"/>
  <c r="M46" i="6" l="1"/>
  <c r="E37" i="22"/>
  <c r="F37" i="22" s="1"/>
  <c r="K37" i="22" s="1"/>
  <c r="C44" i="29"/>
  <c r="F61" i="29"/>
  <c r="H66" i="29"/>
  <c r="A14" i="29"/>
  <c r="M44" i="29"/>
  <c r="U297" i="16"/>
  <c r="U298" i="16" s="1"/>
  <c r="AL45" i="14"/>
  <c r="AI45" i="14"/>
  <c r="AE65" i="14"/>
  <c r="C65" i="14" s="1"/>
  <c r="A23" i="14"/>
  <c r="A24" i="14" s="1"/>
  <c r="A25" i="14" s="1"/>
  <c r="A26" i="14" s="1"/>
  <c r="D17" i="5" s="1"/>
  <c r="D16" i="5"/>
  <c r="AB55" i="14"/>
  <c r="P116" i="30"/>
  <c r="H22" i="30"/>
  <c r="H24" i="30" s="1"/>
  <c r="K116" i="30"/>
  <c r="F29" i="30"/>
  <c r="H268" i="6"/>
  <c r="H109" i="6" s="1"/>
  <c r="H111" i="6" s="1"/>
  <c r="H115" i="6" s="1"/>
  <c r="I32" i="17"/>
  <c r="D22" i="25" s="1"/>
  <c r="D19" i="25"/>
  <c r="J59" i="29"/>
  <c r="J61" i="29" s="1"/>
  <c r="J16" i="13"/>
  <c r="F104" i="6" s="1"/>
  <c r="H100" i="6"/>
  <c r="D30" i="25"/>
  <c r="A107" i="10"/>
  <c r="A108" i="10" s="1"/>
  <c r="A109" i="10" s="1"/>
  <c r="A110" i="10" s="1"/>
  <c r="A111" i="10" s="1"/>
  <c r="A112" i="10" s="1"/>
  <c r="A113" i="10" s="1"/>
  <c r="A114" i="10" s="1"/>
  <c r="A121" i="10" s="1"/>
  <c r="A122" i="10" s="1"/>
  <c r="A123" i="10" s="1"/>
  <c r="A124" i="10" s="1"/>
  <c r="A125" i="10" s="1"/>
  <c r="A126" i="10" s="1"/>
  <c r="A127" i="10" s="1"/>
  <c r="A128" i="10" s="1"/>
  <c r="A129" i="10" s="1"/>
  <c r="A130" i="10" s="1"/>
  <c r="A131" i="10" s="1"/>
  <c r="A132" i="10" s="1"/>
  <c r="A133" i="10" s="1"/>
  <c r="A134" i="10" s="1"/>
  <c r="A135" i="10" s="1"/>
  <c r="A143" i="10" s="1"/>
  <c r="A144" i="10" s="1"/>
  <c r="A145" i="10" s="1"/>
  <c r="G95" i="10"/>
  <c r="G98" i="10" s="1"/>
  <c r="G10" i="10" s="1"/>
  <c r="E80" i="10"/>
  <c r="F79" i="10"/>
  <c r="G79" i="10" s="1"/>
  <c r="L58" i="8"/>
  <c r="I25" i="7"/>
  <c r="G43" i="23" s="1"/>
  <c r="G45" i="23" s="1"/>
  <c r="F195" i="22"/>
  <c r="K195" i="22" s="1"/>
  <c r="E195" i="22"/>
  <c r="E204" i="22"/>
  <c r="E208" i="22"/>
  <c r="F208" i="22" s="1"/>
  <c r="K201" i="22" s="1"/>
  <c r="K204" i="22" s="1"/>
  <c r="E209" i="22" s="1"/>
  <c r="M211" i="6"/>
  <c r="F216" i="6" s="1"/>
  <c r="F217" i="6" s="1"/>
  <c r="F201" i="22"/>
  <c r="F204" i="22" s="1"/>
  <c r="K215" i="6"/>
  <c r="M202" i="6"/>
  <c r="F181" i="22"/>
  <c r="E181" i="22"/>
  <c r="H193" i="6"/>
  <c r="H79" i="6"/>
  <c r="M16" i="13"/>
  <c r="I16" i="13"/>
  <c r="F103" i="6" s="1"/>
  <c r="F106" i="6" s="1"/>
  <c r="E16" i="13"/>
  <c r="O116" i="30"/>
  <c r="M116" i="30"/>
  <c r="L116" i="30"/>
  <c r="R85" i="30"/>
  <c r="I116" i="30"/>
  <c r="R97" i="30"/>
  <c r="R99" i="30" s="1"/>
  <c r="H116" i="30"/>
  <c r="R109" i="30"/>
  <c r="R111" i="30" s="1"/>
  <c r="R73" i="30"/>
  <c r="G116" i="30"/>
  <c r="R105" i="30"/>
  <c r="R107" i="30" s="1"/>
  <c r="R101" i="30"/>
  <c r="R58" i="30"/>
  <c r="R50" i="30"/>
  <c r="H27" i="30"/>
  <c r="G29" i="30"/>
  <c r="G19" i="30"/>
  <c r="H17" i="30"/>
  <c r="H19" i="30" s="1"/>
  <c r="H12" i="30"/>
  <c r="R81" i="30"/>
  <c r="G33" i="30"/>
  <c r="R89" i="30"/>
  <c r="R77" i="30"/>
  <c r="H31" i="30"/>
  <c r="G13" i="30"/>
  <c r="F24" i="30"/>
  <c r="H28" i="30"/>
  <c r="R54" i="30"/>
  <c r="F149" i="10"/>
  <c r="D114" i="10"/>
  <c r="J78" i="10"/>
  <c r="M11" i="9"/>
  <c r="N11" i="9" s="1"/>
  <c r="N23" i="9" s="1"/>
  <c r="O21" i="9" s="1"/>
  <c r="C22" i="26" s="1"/>
  <c r="E22" i="26" s="1"/>
  <c r="G22" i="26" s="1"/>
  <c r="F23" i="9"/>
  <c r="F24" i="9" s="1"/>
  <c r="L60" i="8"/>
  <c r="N60" i="8" s="1"/>
  <c r="N68" i="8" s="1"/>
  <c r="L59" i="8"/>
  <c r="N59" i="8" s="1"/>
  <c r="N67" i="8" s="1"/>
  <c r="G50" i="23"/>
  <c r="I28" i="23" s="1"/>
  <c r="G48" i="23"/>
  <c r="N61" i="8"/>
  <c r="N69" i="8" s="1"/>
  <c r="E29" i="5" s="1"/>
  <c r="N58" i="8"/>
  <c r="N66" i="8" s="1"/>
  <c r="N42" i="8"/>
  <c r="E64" i="6"/>
  <c r="E130" i="6"/>
  <c r="E241" i="6"/>
  <c r="I37" i="17"/>
  <c r="D23" i="25" s="1"/>
  <c r="O44" i="29"/>
  <c r="N44" i="29"/>
  <c r="L44" i="29"/>
  <c r="K44" i="29"/>
  <c r="J44" i="29"/>
  <c r="P40" i="29"/>
  <c r="I44" i="29"/>
  <c r="F25" i="6"/>
  <c r="H25" i="6" s="1"/>
  <c r="M25" i="6" s="1"/>
  <c r="H18" i="6"/>
  <c r="E145" i="22"/>
  <c r="F145" i="22" s="1"/>
  <c r="F44" i="29"/>
  <c r="H20" i="6"/>
  <c r="F155" i="6"/>
  <c r="H155" i="6" s="1"/>
  <c r="E18" i="22"/>
  <c r="F18" i="22" s="1"/>
  <c r="P43" i="29"/>
  <c r="E17" i="22"/>
  <c r="F17" i="22" s="1"/>
  <c r="P41" i="29"/>
  <c r="E44" i="29"/>
  <c r="F53" i="6"/>
  <c r="F56" i="6" s="1"/>
  <c r="F27" i="6"/>
  <c r="F36" i="6" s="1"/>
  <c r="H36" i="6" s="1"/>
  <c r="F29" i="6"/>
  <c r="F163" i="6" s="1"/>
  <c r="F152" i="6"/>
  <c r="F143" i="6" s="1"/>
  <c r="N45" i="14"/>
  <c r="O45" i="14" s="1"/>
  <c r="H86" i="6"/>
  <c r="F89" i="6"/>
  <c r="F44" i="17"/>
  <c r="G265" i="22"/>
  <c r="E258" i="22" s="1"/>
  <c r="C21" i="27"/>
  <c r="D65" i="24"/>
  <c r="B50" i="24"/>
  <c r="B3" i="25" s="1"/>
  <c r="A3" i="26"/>
  <c r="Q91" i="12"/>
  <c r="E35" i="15"/>
  <c r="I68" i="24"/>
  <c r="I69" i="24" s="1"/>
  <c r="I70" i="24" s="1"/>
  <c r="D67" i="24"/>
  <c r="K55" i="16"/>
  <c r="D66" i="24"/>
  <c r="F37" i="6"/>
  <c r="H37" i="6" s="1"/>
  <c r="E41" i="22"/>
  <c r="F41" i="22" s="1"/>
  <c r="K41" i="22" s="1"/>
  <c r="T45" i="14"/>
  <c r="T46" i="14" s="1"/>
  <c r="G44" i="29"/>
  <c r="E23" i="22"/>
  <c r="F23" i="22" s="1"/>
  <c r="F24" i="6"/>
  <c r="P31" i="29"/>
  <c r="P42" i="29"/>
  <c r="G148" i="10"/>
  <c r="G151" i="10" s="1"/>
  <c r="G12" i="10" s="1"/>
  <c r="D80" i="10"/>
  <c r="J80" i="10"/>
  <c r="J13" i="10" s="1"/>
  <c r="H14" i="10"/>
  <c r="H18" i="10" s="1"/>
  <c r="G78" i="10"/>
  <c r="G80" i="10" s="1"/>
  <c r="G13" i="10" s="1"/>
  <c r="I78" i="10"/>
  <c r="I80" i="10" s="1"/>
  <c r="I13" i="10" s="1"/>
  <c r="F78" i="10"/>
  <c r="F80" i="10" s="1"/>
  <c r="I148" i="10"/>
  <c r="I151" i="10" s="1"/>
  <c r="I12" i="10" s="1"/>
  <c r="J148" i="10"/>
  <c r="J151" i="10" s="1"/>
  <c r="J12" i="10" s="1"/>
  <c r="F148" i="10"/>
  <c r="F95" i="10"/>
  <c r="F98" i="10" s="1"/>
  <c r="G109" i="10"/>
  <c r="G111" i="10" s="1"/>
  <c r="G114" i="10" s="1"/>
  <c r="G11" i="10" s="1"/>
  <c r="I111" i="10"/>
  <c r="I114" i="10" s="1"/>
  <c r="I11" i="10" s="1"/>
  <c r="H57" i="14"/>
  <c r="K57" i="14"/>
  <c r="T57" i="14"/>
  <c r="N57" i="14"/>
  <c r="W57" i="14"/>
  <c r="Z57" i="14"/>
  <c r="Q57" i="14"/>
  <c r="A57" i="14"/>
  <c r="A58" i="14" s="1"/>
  <c r="A59" i="14" s="1"/>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B126" i="14"/>
  <c r="F125" i="14"/>
  <c r="U63" i="14"/>
  <c r="S56" i="14"/>
  <c r="E54" i="19" s="1"/>
  <c r="J102" i="14"/>
  <c r="J103" i="14" s="1"/>
  <c r="J104" i="14" s="1"/>
  <c r="J105" i="14" s="1"/>
  <c r="J106" i="14" s="1"/>
  <c r="J107" i="14" s="1"/>
  <c r="J108" i="14" s="1"/>
  <c r="J109" i="14" s="1"/>
  <c r="E91" i="19" s="1"/>
  <c r="E94" i="19" s="1"/>
  <c r="L63" i="14"/>
  <c r="F67" i="14"/>
  <c r="B68" i="14"/>
  <c r="M206" i="14"/>
  <c r="M207" i="14" s="1"/>
  <c r="M208" i="14" s="1"/>
  <c r="M209" i="14" s="1"/>
  <c r="M210" i="14" s="1"/>
  <c r="M211" i="14" s="1"/>
  <c r="M212" i="14" s="1"/>
  <c r="E158" i="19" s="1"/>
  <c r="M217" i="14"/>
  <c r="H213" i="14"/>
  <c r="K213" i="14"/>
  <c r="F145" i="6"/>
  <c r="B180" i="14"/>
  <c r="F179" i="14"/>
  <c r="E52" i="19"/>
  <c r="N213" i="14"/>
  <c r="E127" i="19"/>
  <c r="G166" i="14"/>
  <c r="A213" i="14"/>
  <c r="A214" i="14" s="1"/>
  <c r="A215" i="14" s="1"/>
  <c r="A216" i="14" s="1"/>
  <c r="A217" i="14" s="1"/>
  <c r="A218" i="14" s="1"/>
  <c r="A219" i="14" s="1"/>
  <c r="A220" i="14" s="1"/>
  <c r="A221" i="14" s="1"/>
  <c r="A222" i="14" s="1"/>
  <c r="A223" i="14" s="1"/>
  <c r="A224" i="14" s="1"/>
  <c r="A225" i="14" s="1"/>
  <c r="A226" i="14" s="1"/>
  <c r="A227" i="14" s="1"/>
  <c r="A228" i="14" s="1"/>
  <c r="A229" i="14" s="1"/>
  <c r="A230" i="14" s="1"/>
  <c r="A231" i="14" s="1"/>
  <c r="A232" i="14" s="1"/>
  <c r="A233" i="14" s="1"/>
  <c r="A234" i="14" s="1"/>
  <c r="A235" i="14" s="1"/>
  <c r="A236" i="14" s="1"/>
  <c r="A237" i="14" s="1"/>
  <c r="A238" i="14" s="1"/>
  <c r="A239" i="14" s="1"/>
  <c r="A240" i="14" s="1"/>
  <c r="A241" i="14" s="1"/>
  <c r="A242" i="14" s="1"/>
  <c r="A243" i="14" s="1"/>
  <c r="A244" i="14" s="1"/>
  <c r="A245" i="14" s="1"/>
  <c r="A246" i="14" s="1"/>
  <c r="G207" i="14"/>
  <c r="G208" i="14" s="1"/>
  <c r="G209" i="14" s="1"/>
  <c r="G210" i="14" s="1"/>
  <c r="G211" i="14" s="1"/>
  <c r="G212" i="14" s="1"/>
  <c r="E156" i="19" s="1"/>
  <c r="G217" i="14"/>
  <c r="G115" i="14"/>
  <c r="H11" i="30"/>
  <c r="H13" i="30" s="1"/>
  <c r="G58" i="20"/>
  <c r="M32" i="27"/>
  <c r="AF45" i="14"/>
  <c r="AC45" i="14"/>
  <c r="H45" i="14"/>
  <c r="H201" i="14"/>
  <c r="K98" i="14"/>
  <c r="P103" i="16"/>
  <c r="Q45" i="14"/>
  <c r="N98" i="14"/>
  <c r="K150" i="14"/>
  <c r="H98" i="14"/>
  <c r="K248" i="16"/>
  <c r="N17" i="15"/>
  <c r="U103" i="16"/>
  <c r="P198" i="16"/>
  <c r="H17" i="15"/>
  <c r="I17" i="15" s="1"/>
  <c r="P151" i="16"/>
  <c r="N150" i="14"/>
  <c r="K103" i="16"/>
  <c r="W45" i="14"/>
  <c r="J65" i="24"/>
  <c r="N201" i="14"/>
  <c r="K45" i="14"/>
  <c r="M16" i="6"/>
  <c r="K297" i="16"/>
  <c r="P55" i="16"/>
  <c r="K201" i="14"/>
  <c r="K17" i="15"/>
  <c r="U198" i="16"/>
  <c r="K151" i="16"/>
  <c r="U151" i="16"/>
  <c r="K198" i="16"/>
  <c r="J29" i="28"/>
  <c r="M156" i="27"/>
  <c r="G62" i="27"/>
  <c r="A16" i="21"/>
  <c r="D34" i="21"/>
  <c r="H150" i="14"/>
  <c r="P297" i="16"/>
  <c r="Z45" i="14"/>
  <c r="J113" i="27"/>
  <c r="M113" i="27"/>
  <c r="U55" i="16"/>
  <c r="U248" i="16"/>
  <c r="P248" i="16"/>
  <c r="D34" i="25"/>
  <c r="H104" i="6"/>
  <c r="B280" i="16"/>
  <c r="H279" i="16"/>
  <c r="D159" i="22"/>
  <c r="A152" i="22"/>
  <c r="J29" i="27"/>
  <c r="G159" i="27"/>
  <c r="B130" i="16"/>
  <c r="H129" i="16"/>
  <c r="D200" i="22"/>
  <c r="B208" i="6"/>
  <c r="G22" i="28"/>
  <c r="C21" i="28"/>
  <c r="B174" i="16"/>
  <c r="H173" i="16"/>
  <c r="P67" i="16"/>
  <c r="A67" i="16"/>
  <c r="A68" i="16" s="1"/>
  <c r="A69" i="16" s="1"/>
  <c r="A70" i="16" s="1"/>
  <c r="A71" i="16" s="1"/>
  <c r="U67" i="16"/>
  <c r="K67" i="16"/>
  <c r="A41" i="22"/>
  <c r="A44" i="22" s="1"/>
  <c r="A45" i="22" s="1"/>
  <c r="K22" i="24"/>
  <c r="L21" i="24"/>
  <c r="K53" i="8"/>
  <c r="A36" i="8"/>
  <c r="A37" i="8" s="1"/>
  <c r="A38" i="8" s="1"/>
  <c r="A39" i="8" s="1"/>
  <c r="A40" i="8" s="1"/>
  <c r="A41" i="8" s="1"/>
  <c r="A42" i="8" s="1"/>
  <c r="A85" i="22"/>
  <c r="A86" i="22" s="1"/>
  <c r="A87" i="22" s="1"/>
  <c r="D88" i="22" s="1"/>
  <c r="J74" i="27"/>
  <c r="E228" i="6"/>
  <c r="E45" i="6"/>
  <c r="E229" i="6"/>
  <c r="J147" i="27"/>
  <c r="C146" i="27"/>
  <c r="G23" i="27"/>
  <c r="C22" i="27"/>
  <c r="C31" i="24"/>
  <c r="H32" i="24"/>
  <c r="P210" i="16"/>
  <c r="U210" i="16"/>
  <c r="K210" i="16"/>
  <c r="A210" i="16"/>
  <c r="A211" i="16" s="1"/>
  <c r="A212" i="16" s="1"/>
  <c r="A213" i="16" s="1"/>
  <c r="A214" i="16" s="1"/>
  <c r="A215" i="16" s="1"/>
  <c r="A216" i="16" s="1"/>
  <c r="A217" i="16" s="1"/>
  <c r="A218" i="16" s="1"/>
  <c r="A219" i="16" s="1"/>
  <c r="A220" i="16" s="1"/>
  <c r="A221" i="16" s="1"/>
  <c r="A222" i="16" s="1"/>
  <c r="A223" i="16" s="1"/>
  <c r="A224" i="16" s="1"/>
  <c r="A225" i="16" s="1"/>
  <c r="A226" i="16" s="1"/>
  <c r="A227" i="16" s="1"/>
  <c r="A228" i="16" s="1"/>
  <c r="A229" i="16" s="1"/>
  <c r="A230" i="16" s="1"/>
  <c r="A231" i="16" s="1"/>
  <c r="A232" i="16" s="1"/>
  <c r="A233" i="16" s="1"/>
  <c r="A234" i="16" s="1"/>
  <c r="A235" i="16" s="1"/>
  <c r="A236" i="16" s="1"/>
  <c r="A237" i="16" s="1"/>
  <c r="A238" i="16" s="1"/>
  <c r="A239" i="16" s="1"/>
  <c r="K115" i="16"/>
  <c r="A104" i="16"/>
  <c r="A105" i="16" s="1"/>
  <c r="A106" i="16" s="1"/>
  <c r="A107" i="16" s="1"/>
  <c r="A108" i="16" s="1"/>
  <c r="A109" i="16" s="1"/>
  <c r="A110" i="16" s="1"/>
  <c r="A111" i="16" s="1"/>
  <c r="A112" i="16" s="1"/>
  <c r="A113" i="16" s="1"/>
  <c r="A114" i="16" s="1"/>
  <c r="A115" i="16" s="1"/>
  <c r="A116" i="16" s="1"/>
  <c r="A117" i="16" s="1"/>
  <c r="A118" i="16" s="1"/>
  <c r="A119" i="16" s="1"/>
  <c r="A120" i="16" s="1"/>
  <c r="A121" i="16" s="1"/>
  <c r="A122" i="16" s="1"/>
  <c r="A123" i="16" s="1"/>
  <c r="A124" i="16" s="1"/>
  <c r="A125" i="16" s="1"/>
  <c r="A126" i="16" s="1"/>
  <c r="A127" i="16" s="1"/>
  <c r="A128" i="16" s="1"/>
  <c r="A129" i="16" s="1"/>
  <c r="A130" i="16" s="1"/>
  <c r="A131" i="16" s="1"/>
  <c r="A132" i="16" s="1"/>
  <c r="A133" i="16" s="1"/>
  <c r="A134" i="16" s="1"/>
  <c r="A135" i="16" s="1"/>
  <c r="A136" i="16" s="1"/>
  <c r="A137" i="16" s="1"/>
  <c r="A138" i="16" s="1"/>
  <c r="A139" i="16" s="1"/>
  <c r="A140" i="16" s="1"/>
  <c r="A141" i="16" s="1"/>
  <c r="A142" i="16" s="1"/>
  <c r="A143" i="16" s="1"/>
  <c r="U115" i="16"/>
  <c r="H318" i="16"/>
  <c r="B319" i="16"/>
  <c r="J34" i="15"/>
  <c r="B28" i="23"/>
  <c r="B30" i="23" s="1"/>
  <c r="D84" i="22"/>
  <c r="A91" i="24"/>
  <c r="C145" i="27"/>
  <c r="F228" i="6"/>
  <c r="H228" i="6" s="1"/>
  <c r="F45" i="6"/>
  <c r="H45" i="6" s="1"/>
  <c r="M45" i="6" s="1"/>
  <c r="B95" i="6"/>
  <c r="D86" i="22"/>
  <c r="E26" i="6"/>
  <c r="E17" i="6"/>
  <c r="G105" i="27"/>
  <c r="C104" i="27"/>
  <c r="B30" i="7"/>
  <c r="E30" i="7"/>
  <c r="C60" i="27"/>
  <c r="M61" i="27"/>
  <c r="C20" i="28"/>
  <c r="AJ23" i="24"/>
  <c r="AK22" i="24"/>
  <c r="AE24" i="24"/>
  <c r="AF23" i="24"/>
  <c r="A309" i="16"/>
  <c r="A310" i="16" s="1"/>
  <c r="A311" i="16" s="1"/>
  <c r="A312" i="16" s="1"/>
  <c r="A313" i="16" s="1"/>
  <c r="A314" i="16" s="1"/>
  <c r="A315" i="16" s="1"/>
  <c r="A316" i="16" s="1"/>
  <c r="A317" i="16" s="1"/>
  <c r="A318" i="16" s="1"/>
  <c r="A319" i="16" s="1"/>
  <c r="A320" i="16" s="1"/>
  <c r="A321" i="16" s="1"/>
  <c r="A322" i="16" s="1"/>
  <c r="A323" i="16" s="1"/>
  <c r="A324" i="16" s="1"/>
  <c r="A325" i="16" s="1"/>
  <c r="A326" i="16" s="1"/>
  <c r="A327" i="16" s="1"/>
  <c r="A328" i="16" s="1"/>
  <c r="A329" i="16" s="1"/>
  <c r="A330" i="16" s="1"/>
  <c r="A331" i="16" s="1"/>
  <c r="A332" i="16" s="1"/>
  <c r="A333" i="16" s="1"/>
  <c r="A334" i="16" s="1"/>
  <c r="A335" i="16" s="1"/>
  <c r="A336" i="16" s="1"/>
  <c r="A337" i="16" s="1"/>
  <c r="A338" i="16" s="1"/>
  <c r="P309" i="16"/>
  <c r="K309" i="16"/>
  <c r="A260" i="16"/>
  <c r="A261" i="16" s="1"/>
  <c r="A262" i="16" s="1"/>
  <c r="A263" i="16" s="1"/>
  <c r="A264" i="16" s="1"/>
  <c r="A265" i="16" s="1"/>
  <c r="A266" i="16" s="1"/>
  <c r="A267" i="16" s="1"/>
  <c r="A268" i="16" s="1"/>
  <c r="A269" i="16" s="1"/>
  <c r="A270" i="16" s="1"/>
  <c r="A271" i="16" s="1"/>
  <c r="A272" i="16" s="1"/>
  <c r="A273" i="16" s="1"/>
  <c r="A274" i="16" s="1"/>
  <c r="A275" i="16" s="1"/>
  <c r="A276" i="16" s="1"/>
  <c r="A277" i="16" s="1"/>
  <c r="A278" i="16" s="1"/>
  <c r="A279" i="16" s="1"/>
  <c r="A280" i="16" s="1"/>
  <c r="A281" i="16" s="1"/>
  <c r="A282" i="16" s="1"/>
  <c r="A283" i="16" s="1"/>
  <c r="A284" i="16" s="1"/>
  <c r="A285" i="16" s="1"/>
  <c r="A286" i="16" s="1"/>
  <c r="A287" i="16" s="1"/>
  <c r="A288" i="16" s="1"/>
  <c r="A289" i="16" s="1"/>
  <c r="U260" i="16"/>
  <c r="P260" i="16"/>
  <c r="K260" i="16"/>
  <c r="A163" i="16"/>
  <c r="A164" i="16" s="1"/>
  <c r="A165" i="16" s="1"/>
  <c r="A166" i="16" s="1"/>
  <c r="A167" i="16" s="1"/>
  <c r="A168" i="16" s="1"/>
  <c r="A169" i="16" s="1"/>
  <c r="A170" i="16" s="1"/>
  <c r="A171" i="16" s="1"/>
  <c r="A172" i="16" s="1"/>
  <c r="A173" i="16" s="1"/>
  <c r="A174" i="16" s="1"/>
  <c r="A175" i="16" s="1"/>
  <c r="A176" i="16" s="1"/>
  <c r="A177" i="16" s="1"/>
  <c r="A178" i="16" s="1"/>
  <c r="A179" i="16" s="1"/>
  <c r="A180" i="16" s="1"/>
  <c r="A181" i="16" s="1"/>
  <c r="A182" i="16" s="1"/>
  <c r="A183" i="16" s="1"/>
  <c r="A184" i="16" s="1"/>
  <c r="A185" i="16" s="1"/>
  <c r="A186" i="16" s="1"/>
  <c r="A187" i="16" s="1"/>
  <c r="A188" i="16" s="1"/>
  <c r="A189" i="16" s="1"/>
  <c r="A190" i="16" s="1"/>
  <c r="U163" i="16"/>
  <c r="K163" i="16"/>
  <c r="E240" i="14"/>
  <c r="E178" i="14"/>
  <c r="E177" i="14"/>
  <c r="E174" i="14"/>
  <c r="E121" i="14"/>
  <c r="E70" i="14"/>
  <c r="F36" i="15"/>
  <c r="B37" i="15"/>
  <c r="U309" i="16"/>
  <c r="A60" i="8"/>
  <c r="K67" i="8"/>
  <c r="A8" i="18"/>
  <c r="A24" i="18"/>
  <c r="D215" i="22"/>
  <c r="D214" i="22"/>
  <c r="A17" i="13"/>
  <c r="A18" i="13" s="1"/>
  <c r="A19" i="13" s="1"/>
  <c r="A20" i="13" s="1"/>
  <c r="A21" i="13" s="1"/>
  <c r="A22" i="13" s="1"/>
  <c r="A23" i="13" s="1"/>
  <c r="A24" i="13" s="1"/>
  <c r="E105" i="6"/>
  <c r="B23" i="5"/>
  <c r="D23" i="5"/>
  <c r="E232" i="14"/>
  <c r="F223" i="14"/>
  <c r="B224" i="14"/>
  <c r="E184" i="14"/>
  <c r="E130" i="14"/>
  <c r="E76" i="14"/>
  <c r="E73" i="14"/>
  <c r="B73" i="16"/>
  <c r="H72" i="16"/>
  <c r="X34" i="24"/>
  <c r="B23" i="4"/>
  <c r="B25" i="4" s="1"/>
  <c r="D25" i="4"/>
  <c r="A27" i="21"/>
  <c r="A29" i="21" s="1"/>
  <c r="D27" i="21"/>
  <c r="H120" i="16"/>
  <c r="H44" i="29"/>
  <c r="F97" i="29"/>
  <c r="B17" i="6"/>
  <c r="E152" i="6"/>
  <c r="AB32" i="24"/>
  <c r="AB33" i="24" s="1"/>
  <c r="AB34" i="24" s="1"/>
  <c r="AB35" i="24" s="1"/>
  <c r="AB36" i="24" s="1"/>
  <c r="AB37" i="24" s="1"/>
  <c r="AB38" i="24" s="1"/>
  <c r="AB39" i="24" s="1"/>
  <c r="AB40" i="24" s="1"/>
  <c r="B216" i="16"/>
  <c r="D142" i="22"/>
  <c r="B152" i="6"/>
  <c r="A16" i="25"/>
  <c r="D66" i="22"/>
  <c r="Z29" i="24"/>
  <c r="AA28" i="24"/>
  <c r="O62" i="20"/>
  <c r="G237" i="22"/>
  <c r="I24" i="19"/>
  <c r="A191" i="22"/>
  <c r="A192" i="22" s="1"/>
  <c r="A193" i="22" s="1"/>
  <c r="A194" i="22" s="1"/>
  <c r="A195" i="22" s="1"/>
  <c r="A197" i="22" s="1"/>
  <c r="A200" i="22" s="1"/>
  <c r="D70" i="22"/>
  <c r="AC33" i="24"/>
  <c r="AD33" i="24"/>
  <c r="K266" i="22"/>
  <c r="E259" i="22" s="1"/>
  <c r="F101" i="22" s="1"/>
  <c r="K36" i="22"/>
  <c r="E225" i="22"/>
  <c r="T32" i="24"/>
  <c r="S32" i="24"/>
  <c r="O32" i="24"/>
  <c r="N32" i="24"/>
  <c r="E46" i="22"/>
  <c r="F46" i="22" s="1"/>
  <c r="H54" i="6"/>
  <c r="R62" i="30"/>
  <c r="F32" i="30"/>
  <c r="AC57" i="14"/>
  <c r="AF57" i="14"/>
  <c r="U19" i="24"/>
  <c r="I31" i="24"/>
  <c r="J31" i="24"/>
  <c r="O257" i="16"/>
  <c r="O258" i="16" s="1"/>
  <c r="O259" i="16" s="1"/>
  <c r="O264" i="16"/>
  <c r="H211" i="6"/>
  <c r="AH31" i="24"/>
  <c r="AI31" i="24"/>
  <c r="N21" i="24"/>
  <c r="O21" i="24"/>
  <c r="E21" i="24" s="1"/>
  <c r="AI23" i="24"/>
  <c r="AH23" i="24"/>
  <c r="I207" i="22"/>
  <c r="R113" i="30"/>
  <c r="G24" i="30"/>
  <c r="E114" i="10"/>
  <c r="O30" i="24"/>
  <c r="R114" i="30"/>
  <c r="T313" i="16"/>
  <c r="R102" i="30"/>
  <c r="N116" i="30"/>
  <c r="J116" i="30"/>
  <c r="J298" i="16"/>
  <c r="J313" i="16" s="1"/>
  <c r="P13" i="29"/>
  <c r="D39" i="29"/>
  <c r="D44" i="29" s="1"/>
  <c r="T214" i="16"/>
  <c r="N19" i="16"/>
  <c r="O19" i="16" s="1"/>
  <c r="J14" i="14" s="1"/>
  <c r="F111" i="10"/>
  <c r="F114" i="10" s="1"/>
  <c r="P38" i="29"/>
  <c r="H202" i="6"/>
  <c r="R46" i="30"/>
  <c r="J214" i="16"/>
  <c r="O167" i="16"/>
  <c r="K214" i="6"/>
  <c r="V297" i="16" l="1"/>
  <c r="E16" i="6"/>
  <c r="A15" i="29"/>
  <c r="AJ45" i="14"/>
  <c r="AI46" i="14"/>
  <c r="AM45" i="14"/>
  <c r="AL46" i="14"/>
  <c r="A29" i="14"/>
  <c r="A30" i="14" s="1"/>
  <c r="A31" i="14" s="1"/>
  <c r="A32" i="14" s="1"/>
  <c r="A35" i="14" s="1"/>
  <c r="A36" i="14" s="1"/>
  <c r="A37" i="14" s="1"/>
  <c r="A38" i="14" s="1"/>
  <c r="D19" i="5" s="1"/>
  <c r="AB56" i="14"/>
  <c r="R103" i="30"/>
  <c r="D26" i="25"/>
  <c r="H103" i="6"/>
  <c r="D33" i="25"/>
  <c r="F151" i="10"/>
  <c r="L62" i="8"/>
  <c r="H216" i="6"/>
  <c r="H217" i="6" s="1"/>
  <c r="F209" i="22"/>
  <c r="F210" i="22" s="1"/>
  <c r="G209" i="22" s="1"/>
  <c r="E210" i="22"/>
  <c r="I208" i="22"/>
  <c r="H106" i="6"/>
  <c r="D36" i="25"/>
  <c r="H29" i="30"/>
  <c r="G34" i="30"/>
  <c r="G36" i="30" s="1"/>
  <c r="M26" i="6" s="1"/>
  <c r="M161" i="6" s="1"/>
  <c r="R90" i="30"/>
  <c r="R63" i="30"/>
  <c r="J14" i="10"/>
  <c r="M23" i="9"/>
  <c r="M24" i="9" s="1"/>
  <c r="I28" i="7" s="1"/>
  <c r="I30" i="7" s="1"/>
  <c r="I32" i="7" s="1"/>
  <c r="O22" i="9"/>
  <c r="C23" i="26" s="1"/>
  <c r="E23" i="26" s="1"/>
  <c r="G23" i="26" s="1"/>
  <c r="F44" i="25"/>
  <c r="E24" i="21" s="1"/>
  <c r="J19" i="19" s="1"/>
  <c r="E27" i="5"/>
  <c r="F46" i="25"/>
  <c r="E26" i="21" s="1"/>
  <c r="L19" i="19" s="1"/>
  <c r="E26" i="5"/>
  <c r="F43" i="25"/>
  <c r="E23" i="21" s="1"/>
  <c r="I19" i="19" s="1"/>
  <c r="N62" i="8"/>
  <c r="H32" i="5"/>
  <c r="F40" i="25"/>
  <c r="G29" i="21" s="1"/>
  <c r="F160" i="6"/>
  <c r="E151" i="22" s="1"/>
  <c r="F151" i="22" s="1"/>
  <c r="K151" i="22" s="1"/>
  <c r="E146" i="22"/>
  <c r="F146" i="22" s="1"/>
  <c r="F34" i="6"/>
  <c r="H34" i="6" s="1"/>
  <c r="F171" i="6"/>
  <c r="H171" i="6" s="1"/>
  <c r="E29" i="22"/>
  <c r="F29" i="22" s="1"/>
  <c r="H152" i="6"/>
  <c r="M152" i="6" s="1"/>
  <c r="E154" i="22"/>
  <c r="U45" i="14"/>
  <c r="E45" i="22"/>
  <c r="H53" i="6"/>
  <c r="H56" i="6" s="1"/>
  <c r="H29" i="6"/>
  <c r="F38" i="6"/>
  <c r="H38" i="6" s="1"/>
  <c r="E24" i="22"/>
  <c r="H27" i="6"/>
  <c r="F162" i="6"/>
  <c r="E143" i="22"/>
  <c r="F143" i="22" s="1"/>
  <c r="N46" i="14"/>
  <c r="O46" i="14" s="1"/>
  <c r="H89" i="6"/>
  <c r="O20" i="9"/>
  <c r="C21" i="26" s="1"/>
  <c r="E21" i="26" s="1"/>
  <c r="G21" i="26" s="1"/>
  <c r="O19" i="9"/>
  <c r="C20" i="26" s="1"/>
  <c r="E20" i="26" s="1"/>
  <c r="G20" i="26" s="1"/>
  <c r="E50" i="19"/>
  <c r="K56" i="16"/>
  <c r="L55" i="16"/>
  <c r="H163" i="6"/>
  <c r="H24" i="6"/>
  <c r="F30" i="6"/>
  <c r="F159" i="6"/>
  <c r="G14" i="10"/>
  <c r="G18" i="10" s="1"/>
  <c r="I14" i="10"/>
  <c r="D313" i="16"/>
  <c r="D214" i="16"/>
  <c r="P18" i="29"/>
  <c r="F15" i="6"/>
  <c r="P39" i="29"/>
  <c r="P44" i="29" s="1"/>
  <c r="E30" i="24"/>
  <c r="P21" i="24"/>
  <c r="A201" i="22"/>
  <c r="A202" i="22" s="1"/>
  <c r="A203" i="22" s="1"/>
  <c r="A204" i="22" s="1"/>
  <c r="H73" i="16"/>
  <c r="B74" i="16"/>
  <c r="A26" i="18"/>
  <c r="A9" i="18"/>
  <c r="F37" i="15"/>
  <c r="B38" i="15"/>
  <c r="C105" i="27"/>
  <c r="G106" i="27"/>
  <c r="J148" i="27"/>
  <c r="C147" i="27"/>
  <c r="B209" i="6"/>
  <c r="D201" i="22"/>
  <c r="Q248" i="16"/>
  <c r="P249" i="16"/>
  <c r="P298" i="16"/>
  <c r="Q297" i="16"/>
  <c r="K202" i="14"/>
  <c r="L201" i="14"/>
  <c r="K46" i="14"/>
  <c r="L45" i="14"/>
  <c r="P199" i="16"/>
  <c r="Q198" i="16"/>
  <c r="H99" i="14"/>
  <c r="I98" i="14"/>
  <c r="AC46" i="14"/>
  <c r="AD45" i="14"/>
  <c r="T47" i="14"/>
  <c r="U46" i="14"/>
  <c r="U20" i="24"/>
  <c r="V19" i="24"/>
  <c r="F19" i="24"/>
  <c r="AD34" i="24"/>
  <c r="AC34" i="24"/>
  <c r="AI24" i="24"/>
  <c r="AH24" i="24"/>
  <c r="AK23" i="24"/>
  <c r="X35" i="24"/>
  <c r="Y35" i="24"/>
  <c r="B26" i="5"/>
  <c r="A61" i="8"/>
  <c r="K68" i="8"/>
  <c r="B31" i="7"/>
  <c r="B32" i="7" s="1"/>
  <c r="B33" i="7" s="1"/>
  <c r="B34" i="7" s="1"/>
  <c r="E31" i="7"/>
  <c r="E33" i="7"/>
  <c r="E34" i="7"/>
  <c r="E32" i="7"/>
  <c r="D167" i="16"/>
  <c r="R115" i="30"/>
  <c r="AI32" i="24"/>
  <c r="AH32" i="24"/>
  <c r="E31" i="24"/>
  <c r="S33" i="24"/>
  <c r="T33" i="24"/>
  <c r="AK11" i="24"/>
  <c r="V11" i="24"/>
  <c r="Q11" i="24"/>
  <c r="AA11" i="24"/>
  <c r="L11" i="24"/>
  <c r="F103" i="22"/>
  <c r="F107" i="22" s="1"/>
  <c r="AF11" i="24"/>
  <c r="D195" i="22"/>
  <c r="D67" i="22"/>
  <c r="A17" i="25"/>
  <c r="E18" i="23"/>
  <c r="AB44" i="24"/>
  <c r="A32" i="21"/>
  <c r="D38" i="21"/>
  <c r="AF24" i="24"/>
  <c r="AE25" i="24"/>
  <c r="M62" i="27"/>
  <c r="D22" i="22"/>
  <c r="D16" i="22"/>
  <c r="P115" i="16"/>
  <c r="G23" i="28"/>
  <c r="C22" i="28"/>
  <c r="B131" i="16"/>
  <c r="H130" i="16"/>
  <c r="A153" i="22"/>
  <c r="D160" i="22"/>
  <c r="J114" i="27"/>
  <c r="AA45" i="14"/>
  <c r="Z46" i="14"/>
  <c r="D35" i="21"/>
  <c r="A17" i="21"/>
  <c r="D18" i="21" s="1"/>
  <c r="L198" i="16"/>
  <c r="K199" i="16"/>
  <c r="K18" i="15"/>
  <c r="L17" i="15"/>
  <c r="M34" i="6"/>
  <c r="W46" i="14"/>
  <c r="X45" i="14"/>
  <c r="H18" i="15"/>
  <c r="K249" i="16"/>
  <c r="L248" i="16"/>
  <c r="Q46" i="14"/>
  <c r="R45" i="14"/>
  <c r="H46" i="14"/>
  <c r="I45" i="14"/>
  <c r="M33" i="27"/>
  <c r="I216" i="6"/>
  <c r="I214" i="6"/>
  <c r="M214" i="6" s="1"/>
  <c r="I215" i="6"/>
  <c r="M215" i="6" s="1"/>
  <c r="E160" i="19"/>
  <c r="J115" i="14"/>
  <c r="O63" i="14"/>
  <c r="F33" i="30"/>
  <c r="F34" i="30" s="1"/>
  <c r="H32" i="30"/>
  <c r="H33" i="30" s="1"/>
  <c r="H34" i="30" s="1"/>
  <c r="H36" i="30" s="1"/>
  <c r="B153" i="6"/>
  <c r="E143" i="6"/>
  <c r="D143" i="22"/>
  <c r="B96" i="6"/>
  <c r="E234" i="6"/>
  <c r="E96" i="6"/>
  <c r="D87" i="22"/>
  <c r="A43" i="8"/>
  <c r="A44" i="8" s="1"/>
  <c r="A45" i="8" s="1"/>
  <c r="A46" i="8" s="1"/>
  <c r="A47" i="8" s="1"/>
  <c r="A48" i="8" s="1"/>
  <c r="D32" i="5"/>
  <c r="K23" i="24"/>
  <c r="L22" i="24"/>
  <c r="D264" i="16"/>
  <c r="Z30" i="24"/>
  <c r="AA29" i="24"/>
  <c r="B26" i="4"/>
  <c r="B27" i="4" s="1"/>
  <c r="B28" i="4" s="1"/>
  <c r="D27" i="4"/>
  <c r="D29" i="4"/>
  <c r="D28" i="4"/>
  <c r="D26" i="4"/>
  <c r="AJ24" i="24"/>
  <c r="E28" i="5"/>
  <c r="F45" i="25"/>
  <c r="N70" i="8"/>
  <c r="E30" i="23"/>
  <c r="G24" i="27"/>
  <c r="C23" i="27"/>
  <c r="H174" i="16"/>
  <c r="B175" i="16"/>
  <c r="G160" i="27"/>
  <c r="J42" i="27"/>
  <c r="E69" i="19" s="1"/>
  <c r="U249" i="16"/>
  <c r="V248" i="16"/>
  <c r="M114" i="27"/>
  <c r="H151" i="14"/>
  <c r="I150" i="14"/>
  <c r="C61" i="27"/>
  <c r="J30" i="28"/>
  <c r="L151" i="16"/>
  <c r="K152" i="16"/>
  <c r="Q55" i="16"/>
  <c r="P56" i="16"/>
  <c r="O201" i="14"/>
  <c r="N202" i="14"/>
  <c r="O150" i="14"/>
  <c r="N151" i="14"/>
  <c r="V103" i="16"/>
  <c r="U104" i="16"/>
  <c r="L150" i="14"/>
  <c r="K151" i="14"/>
  <c r="L98" i="14"/>
  <c r="K99" i="14"/>
  <c r="AF46" i="14"/>
  <c r="AG45" i="14"/>
  <c r="C115" i="14"/>
  <c r="C166" i="14"/>
  <c r="H145" i="6"/>
  <c r="M145" i="6" s="1"/>
  <c r="E135" i="22"/>
  <c r="F135" i="22" s="1"/>
  <c r="K135" i="22" s="1"/>
  <c r="B127" i="14"/>
  <c r="F126" i="14"/>
  <c r="I32" i="24"/>
  <c r="J32" i="24"/>
  <c r="E32" i="24" s="1"/>
  <c r="D31" i="24"/>
  <c r="J75" i="27"/>
  <c r="G63" i="27"/>
  <c r="U152" i="16"/>
  <c r="V151" i="16"/>
  <c r="K104" i="16"/>
  <c r="L103" i="16"/>
  <c r="Q103" i="16"/>
  <c r="P104" i="16"/>
  <c r="F68" i="14"/>
  <c r="B69" i="14"/>
  <c r="D21" i="24"/>
  <c r="D68" i="24" s="1"/>
  <c r="Q21" i="24"/>
  <c r="N22" i="24"/>
  <c r="O22" i="24"/>
  <c r="E22" i="24" s="1"/>
  <c r="O33" i="24"/>
  <c r="N33" i="24"/>
  <c r="H216" i="16"/>
  <c r="B217" i="16"/>
  <c r="E153" i="6"/>
  <c r="B18" i="6"/>
  <c r="F224" i="14"/>
  <c r="B225" i="14"/>
  <c r="B33" i="23"/>
  <c r="B35" i="23" s="1"/>
  <c r="D34" i="4"/>
  <c r="E35" i="23"/>
  <c r="C34" i="15"/>
  <c r="B320" i="16"/>
  <c r="H319" i="16"/>
  <c r="H33" i="24"/>
  <c r="C32" i="24"/>
  <c r="A88" i="22"/>
  <c r="D227" i="22"/>
  <c r="A46" i="22"/>
  <c r="A47" i="22" s="1"/>
  <c r="A48" i="22" s="1"/>
  <c r="A51" i="22" s="1"/>
  <c r="A72" i="16"/>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E222" i="6"/>
  <c r="E221" i="6"/>
  <c r="H280" i="16"/>
  <c r="B281" i="16"/>
  <c r="V55" i="16"/>
  <c r="U56" i="16"/>
  <c r="I71" i="24"/>
  <c r="J72" i="24" s="1"/>
  <c r="M157" i="27"/>
  <c r="V198" i="16"/>
  <c r="U199" i="16"/>
  <c r="L297" i="16"/>
  <c r="K298" i="16"/>
  <c r="J68" i="24"/>
  <c r="E68" i="24" s="1"/>
  <c r="J71" i="24"/>
  <c r="J66" i="24"/>
  <c r="E66" i="24" s="1"/>
  <c r="J67" i="24"/>
  <c r="E67" i="24" s="1"/>
  <c r="J69" i="24"/>
  <c r="J70" i="24"/>
  <c r="P152" i="16"/>
  <c r="Q151" i="16"/>
  <c r="O17" i="15"/>
  <c r="N18" i="15"/>
  <c r="O98" i="14"/>
  <c r="N99" i="14"/>
  <c r="H202" i="14"/>
  <c r="I201" i="14"/>
  <c r="H143" i="6"/>
  <c r="U299" i="16"/>
  <c r="V298" i="16"/>
  <c r="C217" i="14"/>
  <c r="F180" i="14"/>
  <c r="B181" i="14"/>
  <c r="R116" i="30" l="1"/>
  <c r="F168" i="6"/>
  <c r="H168" i="6" s="1"/>
  <c r="D18" i="5"/>
  <c r="H160" i="6"/>
  <c r="M160" i="6" s="1"/>
  <c r="M168" i="6" s="1"/>
  <c r="E18" i="6"/>
  <c r="A16" i="29"/>
  <c r="AL47" i="14"/>
  <c r="AM46" i="14"/>
  <c r="AI47" i="14"/>
  <c r="AJ46" i="14"/>
  <c r="E57" i="19"/>
  <c r="AB65" i="14"/>
  <c r="G208" i="22"/>
  <c r="G207" i="22"/>
  <c r="K208" i="22"/>
  <c r="I22" i="22"/>
  <c r="I34" i="7"/>
  <c r="I31" i="7"/>
  <c r="I33" i="7"/>
  <c r="F30" i="5"/>
  <c r="E159" i="22"/>
  <c r="E162" i="22"/>
  <c r="F154" i="22"/>
  <c r="F162" i="22" s="1"/>
  <c r="E133" i="22"/>
  <c r="N47" i="14"/>
  <c r="N48" i="14" s="1"/>
  <c r="H30" i="6"/>
  <c r="E48" i="22"/>
  <c r="F45" i="22"/>
  <c r="F48" i="22" s="1"/>
  <c r="F24" i="22"/>
  <c r="E30" i="22"/>
  <c r="F30" i="22" s="1"/>
  <c r="E153" i="22"/>
  <c r="H162" i="6"/>
  <c r="F170" i="6"/>
  <c r="H170" i="6" s="1"/>
  <c r="G24" i="26"/>
  <c r="G25" i="26" s="1"/>
  <c r="G23" i="4" s="1"/>
  <c r="L56" i="16"/>
  <c r="K57" i="16"/>
  <c r="H159" i="6"/>
  <c r="E150" i="22"/>
  <c r="F164" i="6"/>
  <c r="N100" i="14"/>
  <c r="O99" i="14"/>
  <c r="M158" i="27"/>
  <c r="AG46" i="14"/>
  <c r="AF47" i="14"/>
  <c r="B100" i="6"/>
  <c r="F144" i="6"/>
  <c r="F36" i="30"/>
  <c r="M17" i="6" s="1"/>
  <c r="K143" i="22"/>
  <c r="F133" i="22"/>
  <c r="K133" i="22"/>
  <c r="F159" i="22"/>
  <c r="B27" i="5"/>
  <c r="D35" i="5"/>
  <c r="K152" i="22"/>
  <c r="U21" i="24"/>
  <c r="V20" i="24"/>
  <c r="F20" i="24"/>
  <c r="D202" i="22"/>
  <c r="B210" i="6"/>
  <c r="F221" i="6"/>
  <c r="P153" i="16"/>
  <c r="Q152" i="16"/>
  <c r="E69" i="24"/>
  <c r="I72" i="24"/>
  <c r="B282" i="16"/>
  <c r="H281" i="16"/>
  <c r="A92" i="22"/>
  <c r="H320" i="16"/>
  <c r="B321" i="16"/>
  <c r="O34" i="24"/>
  <c r="N34" i="24"/>
  <c r="Q104" i="16"/>
  <c r="P105" i="16"/>
  <c r="G64" i="27"/>
  <c r="I33" i="24"/>
  <c r="J33" i="24"/>
  <c r="D32" i="24"/>
  <c r="L99" i="14"/>
  <c r="K100" i="14"/>
  <c r="U105" i="16"/>
  <c r="V104" i="16"/>
  <c r="N203" i="14"/>
  <c r="O202" i="14"/>
  <c r="L152" i="16"/>
  <c r="K153" i="16"/>
  <c r="J31" i="28"/>
  <c r="V249" i="16"/>
  <c r="U250" i="16"/>
  <c r="AA30" i="24"/>
  <c r="Z31" i="24"/>
  <c r="B154" i="6"/>
  <c r="D144" i="22"/>
  <c r="Q47" i="14"/>
  <c r="R46" i="14"/>
  <c r="A154" i="22"/>
  <c r="D161" i="22"/>
  <c r="H131" i="16"/>
  <c r="B132" i="16"/>
  <c r="G24" i="28"/>
  <c r="C23" i="28"/>
  <c r="AF25" i="24"/>
  <c r="AE26" i="24"/>
  <c r="T34" i="24"/>
  <c r="S34" i="24"/>
  <c r="K207" i="22"/>
  <c r="U47" i="14"/>
  <c r="T48" i="14"/>
  <c r="H100" i="14"/>
  <c r="I99" i="14"/>
  <c r="L46" i="14"/>
  <c r="K47" i="14"/>
  <c r="P299" i="16"/>
  <c r="Q298" i="16"/>
  <c r="F38" i="15"/>
  <c r="B39" i="15"/>
  <c r="B75" i="16"/>
  <c r="H74" i="16"/>
  <c r="P22" i="24"/>
  <c r="F21" i="24"/>
  <c r="F151" i="6"/>
  <c r="F21" i="6"/>
  <c r="H15" i="6"/>
  <c r="H21" i="6" s="1"/>
  <c r="F33" i="6"/>
  <c r="K65" i="24"/>
  <c r="E65" i="24"/>
  <c r="H217" i="16"/>
  <c r="B218" i="16"/>
  <c r="H152" i="14"/>
  <c r="I151" i="14"/>
  <c r="B176" i="16"/>
  <c r="H175" i="16"/>
  <c r="R147" i="16"/>
  <c r="L26" i="16" s="1"/>
  <c r="W51" i="16"/>
  <c r="L11" i="16" s="1"/>
  <c r="W244" i="16"/>
  <c r="L39" i="16" s="1"/>
  <c r="R293" i="16"/>
  <c r="L44" i="16" s="1"/>
  <c r="Y11" i="24"/>
  <c r="AI11" i="24"/>
  <c r="O11" i="24"/>
  <c r="R51" i="16"/>
  <c r="L10" i="16" s="1"/>
  <c r="R244" i="16"/>
  <c r="L38" i="16" s="1"/>
  <c r="R99" i="16"/>
  <c r="L16" i="16" s="1"/>
  <c r="M99" i="16"/>
  <c r="L15" i="16" s="1"/>
  <c r="J11" i="24"/>
  <c r="W147" i="16"/>
  <c r="L27" i="16" s="1"/>
  <c r="M244" i="16"/>
  <c r="L37" i="16" s="1"/>
  <c r="M147" i="16"/>
  <c r="L25" i="16" s="1"/>
  <c r="W194" i="16"/>
  <c r="L33" i="16" s="1"/>
  <c r="AD11" i="24"/>
  <c r="W293" i="16"/>
  <c r="L45" i="16" s="1"/>
  <c r="W99" i="16"/>
  <c r="T11" i="24"/>
  <c r="M216" i="6"/>
  <c r="M217" i="6" s="1"/>
  <c r="R194" i="16"/>
  <c r="L32" i="16" s="1"/>
  <c r="M293" i="16"/>
  <c r="L43" i="16" s="1"/>
  <c r="M194" i="16"/>
  <c r="L31" i="16" s="1"/>
  <c r="M51" i="16"/>
  <c r="L9" i="16" s="1"/>
  <c r="H19" i="15"/>
  <c r="I18" i="15"/>
  <c r="K200" i="16"/>
  <c r="L199" i="16"/>
  <c r="J115" i="27"/>
  <c r="M63" i="27"/>
  <c r="C63" i="27" s="1"/>
  <c r="A33" i="21"/>
  <c r="F108" i="22"/>
  <c r="Y36" i="24"/>
  <c r="X36" i="24"/>
  <c r="AC35" i="24"/>
  <c r="AD35" i="24"/>
  <c r="C148" i="27"/>
  <c r="J149" i="27"/>
  <c r="D209" i="22"/>
  <c r="A207" i="22"/>
  <c r="U300" i="16"/>
  <c r="V299" i="16"/>
  <c r="N19" i="15"/>
  <c r="O18" i="15"/>
  <c r="E70" i="24"/>
  <c r="K299" i="16"/>
  <c r="L298" i="16"/>
  <c r="D48" i="22"/>
  <c r="E38" i="23"/>
  <c r="B36" i="23"/>
  <c r="B37" i="23" s="1"/>
  <c r="B38" i="23" s="1"/>
  <c r="B39" i="23" s="1"/>
  <c r="B43" i="23" s="1"/>
  <c r="E39" i="23"/>
  <c r="E37" i="23"/>
  <c r="E36" i="23"/>
  <c r="B19" i="6"/>
  <c r="E154" i="6"/>
  <c r="F69" i="14"/>
  <c r="B70" i="14"/>
  <c r="U153" i="16"/>
  <c r="V152" i="16"/>
  <c r="C62" i="27"/>
  <c r="G69" i="19"/>
  <c r="D51" i="22"/>
  <c r="C24" i="27"/>
  <c r="G25" i="27"/>
  <c r="D30" i="4"/>
  <c r="B29" i="4"/>
  <c r="L23" i="24"/>
  <c r="K24" i="24"/>
  <c r="K32" i="19"/>
  <c r="L32" i="19"/>
  <c r="I31" i="20"/>
  <c r="I32" i="19"/>
  <c r="K209" i="22"/>
  <c r="J32" i="19"/>
  <c r="AH33" i="24"/>
  <c r="AI33" i="24"/>
  <c r="A62" i="8"/>
  <c r="A63" i="8" s="1"/>
  <c r="A64" i="8" s="1"/>
  <c r="A65" i="8" s="1"/>
  <c r="A66" i="8" s="1"/>
  <c r="K69" i="8"/>
  <c r="AI25" i="24"/>
  <c r="AJ25" i="24" s="1"/>
  <c r="AH25" i="24"/>
  <c r="AK24" i="24"/>
  <c r="P250" i="16"/>
  <c r="Q249" i="16"/>
  <c r="E211" i="6"/>
  <c r="M143" i="6"/>
  <c r="U200" i="16"/>
  <c r="V199" i="16"/>
  <c r="N23" i="24"/>
  <c r="O23" i="24"/>
  <c r="E23" i="24" s="1"/>
  <c r="D22" i="24"/>
  <c r="D69" i="24" s="1"/>
  <c r="L104" i="16"/>
  <c r="K105" i="16"/>
  <c r="Z47" i="14"/>
  <c r="AA46" i="14"/>
  <c r="F181" i="14"/>
  <c r="B182" i="14"/>
  <c r="I202" i="14"/>
  <c r="H203" i="14"/>
  <c r="U57" i="16"/>
  <c r="V56" i="16"/>
  <c r="H34" i="24"/>
  <c r="C33" i="24"/>
  <c r="F225" i="14"/>
  <c r="B226" i="14"/>
  <c r="J76" i="27"/>
  <c r="B128" i="14"/>
  <c r="F127" i="14"/>
  <c r="K152" i="14"/>
  <c r="L151" i="14"/>
  <c r="N152" i="14"/>
  <c r="O151" i="14"/>
  <c r="P57" i="16"/>
  <c r="Q56" i="16"/>
  <c r="M115" i="27"/>
  <c r="G161" i="27"/>
  <c r="E25" i="21"/>
  <c r="F47" i="25"/>
  <c r="I63" i="14"/>
  <c r="I217" i="6"/>
  <c r="M34" i="27"/>
  <c r="M42" i="27" s="1"/>
  <c r="E70" i="19" s="1"/>
  <c r="I46" i="14"/>
  <c r="H47" i="14"/>
  <c r="L249" i="16"/>
  <c r="K250" i="16"/>
  <c r="X46" i="14"/>
  <c r="W47" i="14"/>
  <c r="L18" i="15"/>
  <c r="K19" i="15"/>
  <c r="P56" i="14"/>
  <c r="E53" i="19" s="1"/>
  <c r="E61" i="19" s="1"/>
  <c r="A19" i="25"/>
  <c r="D68" i="22"/>
  <c r="AD46" i="14"/>
  <c r="AC47" i="14"/>
  <c r="Q199" i="16"/>
  <c r="P200" i="16"/>
  <c r="K203" i="14"/>
  <c r="L202" i="14"/>
  <c r="G107" i="27"/>
  <c r="C106" i="27"/>
  <c r="A10" i="18"/>
  <c r="A28" i="18"/>
  <c r="D204" i="22"/>
  <c r="E19" i="6" l="1"/>
  <c r="A17" i="29"/>
  <c r="AJ47" i="14"/>
  <c r="AI48" i="14"/>
  <c r="AL48" i="14"/>
  <c r="AM47" i="14"/>
  <c r="G210" i="22"/>
  <c r="O47" i="14"/>
  <c r="H164" i="6"/>
  <c r="F153" i="22"/>
  <c r="F161" i="22" s="1"/>
  <c r="E161" i="22"/>
  <c r="I33" i="23"/>
  <c r="G61" i="21"/>
  <c r="G37" i="4"/>
  <c r="O48" i="14"/>
  <c r="N49" i="14"/>
  <c r="L57" i="16"/>
  <c r="K58" i="16"/>
  <c r="F150" i="22"/>
  <c r="E155" i="22"/>
  <c r="G70" i="19"/>
  <c r="W100" i="16"/>
  <c r="M21" i="16" s="1"/>
  <c r="W294" i="16"/>
  <c r="M45" i="16" s="1"/>
  <c r="R148" i="16"/>
  <c r="M26" i="16" s="1"/>
  <c r="M195" i="16"/>
  <c r="M31" i="16" s="1"/>
  <c r="J23" i="19" s="1"/>
  <c r="H233" i="6"/>
  <c r="K235" i="6" s="1"/>
  <c r="W195" i="16"/>
  <c r="M33" i="16" s="1"/>
  <c r="M245" i="16"/>
  <c r="M37" i="16" s="1"/>
  <c r="K23" i="19" s="1"/>
  <c r="R245" i="16"/>
  <c r="M38" i="16" s="1"/>
  <c r="H110" i="6"/>
  <c r="J32" i="16" s="1"/>
  <c r="M148" i="16"/>
  <c r="M25" i="16" s="1"/>
  <c r="I22" i="20" s="1"/>
  <c r="W148" i="16"/>
  <c r="M27" i="16" s="1"/>
  <c r="W52" i="16"/>
  <c r="M11" i="16" s="1"/>
  <c r="R52" i="16"/>
  <c r="M10" i="16" s="1"/>
  <c r="M52" i="16"/>
  <c r="M9" i="16" s="1"/>
  <c r="W245" i="16"/>
  <c r="M39" i="16" s="1"/>
  <c r="R195" i="16"/>
  <c r="M32" i="16" s="1"/>
  <c r="J45" i="16"/>
  <c r="R294" i="16"/>
  <c r="M44" i="16" s="1"/>
  <c r="M294" i="16"/>
  <c r="M43" i="16" s="1"/>
  <c r="L23" i="19" s="1"/>
  <c r="M100" i="16"/>
  <c r="M15" i="16" s="1"/>
  <c r="I23" i="19" s="1"/>
  <c r="J37" i="16"/>
  <c r="R100" i="16"/>
  <c r="M16" i="16" s="1"/>
  <c r="AD36" i="24"/>
  <c r="AC36" i="24"/>
  <c r="A34" i="21"/>
  <c r="M20" i="16"/>
  <c r="N20" i="16" s="1"/>
  <c r="O20" i="16" s="1"/>
  <c r="L21" i="16"/>
  <c r="A155" i="22"/>
  <c r="A158" i="22" s="1"/>
  <c r="D162" i="22"/>
  <c r="AA31" i="24"/>
  <c r="Z32" i="24"/>
  <c r="J32" i="28"/>
  <c r="I73" i="24"/>
  <c r="J73" i="24"/>
  <c r="B28" i="5"/>
  <c r="D36" i="5"/>
  <c r="H144" i="6"/>
  <c r="E134" i="22"/>
  <c r="F146" i="6"/>
  <c r="AC48" i="14"/>
  <c r="AD47" i="14"/>
  <c r="L19" i="15"/>
  <c r="K20" i="15"/>
  <c r="K251" i="16"/>
  <c r="L250" i="16"/>
  <c r="G162" i="27"/>
  <c r="C34" i="24"/>
  <c r="H35" i="24"/>
  <c r="B183" i="14"/>
  <c r="F182" i="14"/>
  <c r="B71" i="14"/>
  <c r="F70" i="14"/>
  <c r="O19" i="15"/>
  <c r="N20" i="15"/>
  <c r="V300" i="16"/>
  <c r="U301" i="16"/>
  <c r="K201" i="16"/>
  <c r="L200" i="16"/>
  <c r="B177" i="16"/>
  <c r="H176" i="16"/>
  <c r="F65" i="24"/>
  <c r="K66" i="24"/>
  <c r="L153" i="16"/>
  <c r="K154" i="16"/>
  <c r="H321" i="16"/>
  <c r="B322" i="16"/>
  <c r="P154" i="16"/>
  <c r="Q153" i="16"/>
  <c r="I155" i="22"/>
  <c r="N101" i="14"/>
  <c r="O100" i="14"/>
  <c r="Z48" i="14"/>
  <c r="AA47" i="14"/>
  <c r="P251" i="16"/>
  <c r="Q250" i="16"/>
  <c r="AH26" i="24"/>
  <c r="AI26" i="24"/>
  <c r="AJ26" i="24" s="1"/>
  <c r="AK25" i="24"/>
  <c r="P23" i="24"/>
  <c r="B133" i="16"/>
  <c r="H132" i="16"/>
  <c r="O203" i="14"/>
  <c r="N204" i="14"/>
  <c r="I34" i="24"/>
  <c r="J34" i="24"/>
  <c r="D33" i="24"/>
  <c r="G65" i="27"/>
  <c r="Q105" i="16"/>
  <c r="P106" i="16"/>
  <c r="A93" i="22"/>
  <c r="A95" i="22" s="1"/>
  <c r="A96" i="22" s="1"/>
  <c r="A97" i="22" s="1"/>
  <c r="A98" i="22" s="1"/>
  <c r="A30" i="18"/>
  <c r="A11" i="18"/>
  <c r="G108" i="27"/>
  <c r="C107" i="27"/>
  <c r="K204" i="14"/>
  <c r="L203" i="14"/>
  <c r="A25" i="25"/>
  <c r="D72" i="22"/>
  <c r="K19" i="19"/>
  <c r="F27" i="21"/>
  <c r="M116" i="27"/>
  <c r="Q57" i="16"/>
  <c r="P58" i="16"/>
  <c r="K153" i="14"/>
  <c r="L152" i="14"/>
  <c r="F226" i="14"/>
  <c r="B227" i="14"/>
  <c r="L105" i="16"/>
  <c r="K106" i="16"/>
  <c r="O24" i="24"/>
  <c r="E24" i="24" s="1"/>
  <c r="E71" i="24" s="1"/>
  <c r="Q23" i="24"/>
  <c r="D23" i="24"/>
  <c r="D70" i="24" s="1"/>
  <c r="N24" i="24"/>
  <c r="D31" i="4"/>
  <c r="B30" i="4"/>
  <c r="B31" i="4" s="1"/>
  <c r="B34" i="4" s="1"/>
  <c r="G26" i="27"/>
  <c r="C25" i="27"/>
  <c r="V153" i="16"/>
  <c r="U154" i="16"/>
  <c r="B20" i="6"/>
  <c r="E155" i="6" s="1"/>
  <c r="D17" i="22"/>
  <c r="B44" i="23"/>
  <c r="B45" i="23" s="1"/>
  <c r="L299" i="16"/>
  <c r="K300" i="16"/>
  <c r="D210" i="22"/>
  <c r="A208" i="22"/>
  <c r="A209" i="22" s="1"/>
  <c r="C149" i="27"/>
  <c r="J150" i="27"/>
  <c r="Y37" i="24"/>
  <c r="X37" i="24"/>
  <c r="H218" i="16"/>
  <c r="B219" i="16"/>
  <c r="E142" i="22"/>
  <c r="F156" i="6"/>
  <c r="H151" i="6"/>
  <c r="H156" i="6" s="1"/>
  <c r="F167" i="6"/>
  <c r="H75" i="16"/>
  <c r="B76" i="16"/>
  <c r="P300" i="16"/>
  <c r="Q299" i="16"/>
  <c r="H101" i="14"/>
  <c r="I100" i="14"/>
  <c r="AF26" i="24"/>
  <c r="AE27" i="24"/>
  <c r="D155" i="22"/>
  <c r="Q48" i="14"/>
  <c r="R47" i="14"/>
  <c r="V105" i="16"/>
  <c r="U106" i="16"/>
  <c r="B283" i="16"/>
  <c r="H282" i="16"/>
  <c r="H221" i="6"/>
  <c r="K159" i="22"/>
  <c r="B101" i="6"/>
  <c r="G17" i="13"/>
  <c r="N153" i="14"/>
  <c r="O152" i="14"/>
  <c r="U58" i="16"/>
  <c r="V57" i="16"/>
  <c r="D26" i="5"/>
  <c r="A67" i="8"/>
  <c r="Q200" i="16"/>
  <c r="P201" i="16"/>
  <c r="W48" i="14"/>
  <c r="X47" i="14"/>
  <c r="H48" i="14"/>
  <c r="I47" i="14"/>
  <c r="B129" i="14"/>
  <c r="F128" i="14"/>
  <c r="J77" i="27"/>
  <c r="H204" i="14"/>
  <c r="I203" i="14"/>
  <c r="Q22" i="24"/>
  <c r="V200" i="16"/>
  <c r="U201" i="16"/>
  <c r="AI34" i="24"/>
  <c r="AH34" i="24"/>
  <c r="L24" i="24"/>
  <c r="K25" i="24"/>
  <c r="M64" i="27"/>
  <c r="C64" i="27" s="1"/>
  <c r="J116" i="27"/>
  <c r="H20" i="15"/>
  <c r="I19" i="15"/>
  <c r="I152" i="14"/>
  <c r="H153" i="14"/>
  <c r="F39" i="6"/>
  <c r="H33" i="6"/>
  <c r="H39" i="6" s="1"/>
  <c r="F39" i="15"/>
  <c r="B40" i="15"/>
  <c r="L47" i="14"/>
  <c r="K48" i="14"/>
  <c r="T49" i="14"/>
  <c r="U48" i="14"/>
  <c r="K210" i="22"/>
  <c r="I30" i="19" s="1"/>
  <c r="S35" i="24"/>
  <c r="T35" i="24"/>
  <c r="G25" i="28"/>
  <c r="C24" i="28"/>
  <c r="B155" i="6"/>
  <c r="D145" i="22"/>
  <c r="E156" i="6"/>
  <c r="U251" i="16"/>
  <c r="V250" i="16"/>
  <c r="L100" i="14"/>
  <c r="K101" i="14"/>
  <c r="E33" i="24"/>
  <c r="O35" i="24"/>
  <c r="N35" i="24"/>
  <c r="B211" i="6"/>
  <c r="B214" i="6" s="1"/>
  <c r="D203" i="22"/>
  <c r="V21" i="24"/>
  <c r="U22" i="24"/>
  <c r="F22" i="24" s="1"/>
  <c r="M35" i="6"/>
  <c r="M153" i="6"/>
  <c r="AG47" i="14"/>
  <c r="AF48" i="14"/>
  <c r="M159" i="27"/>
  <c r="F155" i="22" l="1"/>
  <c r="E20" i="6"/>
  <c r="A18" i="29"/>
  <c r="A25" i="29" s="1"/>
  <c r="AJ48" i="14"/>
  <c r="AI49" i="14"/>
  <c r="AM48" i="14"/>
  <c r="AL49" i="14"/>
  <c r="F102" i="22"/>
  <c r="F226" i="22" s="1"/>
  <c r="I228" i="22" s="1"/>
  <c r="J16" i="16"/>
  <c r="J27" i="16"/>
  <c r="J33" i="16"/>
  <c r="J21" i="16"/>
  <c r="J26" i="16"/>
  <c r="J31" i="16"/>
  <c r="J39" i="16"/>
  <c r="J15" i="16"/>
  <c r="J11" i="16"/>
  <c r="J38" i="16"/>
  <c r="M57" i="19"/>
  <c r="M56" i="19"/>
  <c r="O49" i="14"/>
  <c r="N50" i="14"/>
  <c r="K59" i="16"/>
  <c r="L58" i="16"/>
  <c r="Y38" i="24"/>
  <c r="X38" i="24"/>
  <c r="B47" i="23"/>
  <c r="B48" i="23" s="1"/>
  <c r="B50" i="23" s="1"/>
  <c r="B52" i="23" s="1"/>
  <c r="E28" i="23" s="1"/>
  <c r="Q58" i="16"/>
  <c r="P59" i="16"/>
  <c r="N205" i="14"/>
  <c r="O204" i="14"/>
  <c r="Q251" i="16"/>
  <c r="P252" i="16"/>
  <c r="N102" i="14"/>
  <c r="O101" i="14"/>
  <c r="M160" i="27"/>
  <c r="M169" i="6"/>
  <c r="K144" i="22"/>
  <c r="N36" i="24"/>
  <c r="O36" i="24"/>
  <c r="T46" i="24"/>
  <c r="L30" i="19"/>
  <c r="O46" i="24"/>
  <c r="Y46" i="24"/>
  <c r="K30" i="19"/>
  <c r="I29" i="20"/>
  <c r="J30" i="19"/>
  <c r="AI46" i="24"/>
  <c r="AD46" i="24"/>
  <c r="H21" i="15"/>
  <c r="I20" i="15"/>
  <c r="L25" i="24"/>
  <c r="K26" i="24"/>
  <c r="J78" i="27"/>
  <c r="X48" i="14"/>
  <c r="W49" i="14"/>
  <c r="N154" i="14"/>
  <c r="O153" i="14"/>
  <c r="AE28" i="24"/>
  <c r="AF27" i="24"/>
  <c r="F172" i="6"/>
  <c r="H167" i="6"/>
  <c r="H172" i="6" s="1"/>
  <c r="J151" i="27"/>
  <c r="C150" i="27"/>
  <c r="E45" i="23"/>
  <c r="D24" i="24"/>
  <c r="D71" i="24" s="1"/>
  <c r="N25" i="24"/>
  <c r="O25" i="24"/>
  <c r="E25" i="24" s="1"/>
  <c r="E72" i="24" s="1"/>
  <c r="L106" i="16"/>
  <c r="K107" i="16"/>
  <c r="P107" i="16"/>
  <c r="Q106" i="16"/>
  <c r="G66" i="27"/>
  <c r="AH27" i="24"/>
  <c r="AI27" i="24"/>
  <c r="AJ27" i="24" s="1"/>
  <c r="AK26" i="24"/>
  <c r="H322" i="16"/>
  <c r="B323" i="16"/>
  <c r="N21" i="15"/>
  <c r="O20" i="15"/>
  <c r="B184" i="14"/>
  <c r="F183" i="14"/>
  <c r="I74" i="24"/>
  <c r="J74" i="24"/>
  <c r="J33" i="28"/>
  <c r="J15" i="14"/>
  <c r="J16" i="14"/>
  <c r="AC37" i="24"/>
  <c r="AD37" i="24"/>
  <c r="J10" i="16"/>
  <c r="K102" i="14"/>
  <c r="L101" i="14"/>
  <c r="K49" i="14"/>
  <c r="L48" i="14"/>
  <c r="B130" i="14"/>
  <c r="F129" i="14"/>
  <c r="Q201" i="16"/>
  <c r="P202" i="16"/>
  <c r="B37" i="4"/>
  <c r="B39" i="4" s="1"/>
  <c r="B228" i="14"/>
  <c r="F227" i="14"/>
  <c r="D80" i="22"/>
  <c r="A26" i="25"/>
  <c r="A30" i="25" s="1"/>
  <c r="H133" i="16"/>
  <c r="B134" i="16"/>
  <c r="B72" i="14"/>
  <c r="F71" i="14"/>
  <c r="G163" i="27"/>
  <c r="AG48" i="14"/>
  <c r="AF49" i="14"/>
  <c r="H43" i="5"/>
  <c r="D207" i="22"/>
  <c r="B215" i="6"/>
  <c r="F40" i="15"/>
  <c r="B41" i="15"/>
  <c r="H154" i="14"/>
  <c r="I153" i="14"/>
  <c r="AH35" i="24"/>
  <c r="AI35" i="24"/>
  <c r="I204" i="14"/>
  <c r="H205" i="14"/>
  <c r="C64" i="14"/>
  <c r="H283" i="16"/>
  <c r="B284" i="16"/>
  <c r="Q300" i="16"/>
  <c r="P301" i="16"/>
  <c r="B220" i="16"/>
  <c r="H219" i="16"/>
  <c r="K301" i="16"/>
  <c r="L300" i="16"/>
  <c r="U155" i="16"/>
  <c r="V154" i="16"/>
  <c r="L204" i="14"/>
  <c r="K205" i="14"/>
  <c r="G109" i="27"/>
  <c r="C108" i="27"/>
  <c r="E34" i="24"/>
  <c r="P24" i="24"/>
  <c r="Q24" i="24" s="1"/>
  <c r="AA48" i="14"/>
  <c r="Z49" i="14"/>
  <c r="B178" i="16"/>
  <c r="H177" i="16"/>
  <c r="L201" i="16"/>
  <c r="K202" i="16"/>
  <c r="L251" i="16"/>
  <c r="K252" i="16"/>
  <c r="AD48" i="14"/>
  <c r="AC49" i="14"/>
  <c r="F134" i="22"/>
  <c r="E136" i="22"/>
  <c r="A159" i="22"/>
  <c r="A160" i="22" s="1"/>
  <c r="A161" i="22" s="1"/>
  <c r="A162" i="22" s="1"/>
  <c r="A163" i="22" s="1"/>
  <c r="D163" i="22"/>
  <c r="J25" i="16"/>
  <c r="J44" i="16"/>
  <c r="J9" i="16"/>
  <c r="J43" i="16"/>
  <c r="J117" i="27"/>
  <c r="U202" i="16"/>
  <c r="V201" i="16"/>
  <c r="V106" i="16"/>
  <c r="U107" i="16"/>
  <c r="I101" i="14"/>
  <c r="H102" i="14"/>
  <c r="E147" i="22"/>
  <c r="E158" i="22"/>
  <c r="E163" i="22" s="1"/>
  <c r="F142" i="22"/>
  <c r="B21" i="6"/>
  <c r="B24" i="6" s="1"/>
  <c r="D18" i="22"/>
  <c r="E21" i="6"/>
  <c r="M117" i="27"/>
  <c r="A101" i="22"/>
  <c r="A102" i="22" s="1"/>
  <c r="V22" i="24"/>
  <c r="U23" i="24"/>
  <c r="U252" i="16"/>
  <c r="V251" i="16"/>
  <c r="D146" i="22"/>
  <c r="B156" i="6"/>
  <c r="B159" i="6" s="1"/>
  <c r="G26" i="28"/>
  <c r="C25" i="28"/>
  <c r="T36" i="24"/>
  <c r="S36" i="24"/>
  <c r="T50" i="14"/>
  <c r="U49" i="14"/>
  <c r="M65" i="27"/>
  <c r="H49" i="14"/>
  <c r="I48" i="14"/>
  <c r="A68" i="8"/>
  <c r="D27" i="5"/>
  <c r="U59" i="16"/>
  <c r="V58" i="16"/>
  <c r="B103" i="6"/>
  <c r="H17" i="13"/>
  <c r="R48" i="14"/>
  <c r="Q49" i="14"/>
  <c r="H76" i="16"/>
  <c r="B77" i="16"/>
  <c r="E32" i="19"/>
  <c r="A210" i="22"/>
  <c r="G27" i="27"/>
  <c r="C26" i="27"/>
  <c r="L153" i="14"/>
  <c r="K154" i="14"/>
  <c r="A32" i="18"/>
  <c r="A12" i="18"/>
  <c r="D98" i="22"/>
  <c r="I35" i="24"/>
  <c r="J35" i="24"/>
  <c r="E35" i="24" s="1"/>
  <c r="D34" i="24"/>
  <c r="Q154" i="16"/>
  <c r="P155" i="16"/>
  <c r="K155" i="16"/>
  <c r="L154" i="16"/>
  <c r="K67" i="24"/>
  <c r="F66" i="24"/>
  <c r="U302" i="16"/>
  <c r="V301" i="16"/>
  <c r="C35" i="24"/>
  <c r="H36" i="24"/>
  <c r="K21" i="15"/>
  <c r="L20" i="15"/>
  <c r="R63" i="14"/>
  <c r="E63" i="14" s="1"/>
  <c r="C63" i="14"/>
  <c r="M144" i="6"/>
  <c r="M146" i="6" s="1"/>
  <c r="K147" i="6" s="1"/>
  <c r="H146" i="6"/>
  <c r="D37" i="5"/>
  <c r="B29" i="5"/>
  <c r="AA32" i="24"/>
  <c r="Z33" i="24"/>
  <c r="A35" i="21"/>
  <c r="A26" i="29" l="1"/>
  <c r="A27" i="29" s="1"/>
  <c r="AI50" i="14"/>
  <c r="AJ49" i="14"/>
  <c r="AM49" i="14"/>
  <c r="AL50" i="14"/>
  <c r="I20" i="20"/>
  <c r="J40" i="16"/>
  <c r="J22" i="16"/>
  <c r="J34" i="16"/>
  <c r="K60" i="16"/>
  <c r="L59" i="16"/>
  <c r="O50" i="14"/>
  <c r="N51" i="14"/>
  <c r="A13" i="18"/>
  <c r="A34" i="18"/>
  <c r="C27" i="27"/>
  <c r="U24" i="24"/>
  <c r="V23" i="24"/>
  <c r="B25" i="6"/>
  <c r="E159" i="6"/>
  <c r="E33" i="6"/>
  <c r="H103" i="14"/>
  <c r="I102" i="14"/>
  <c r="B131" i="14"/>
  <c r="F130" i="14"/>
  <c r="D25" i="24"/>
  <c r="D72" i="24" s="1"/>
  <c r="O26" i="24"/>
  <c r="E26" i="24" s="1"/>
  <c r="E73" i="24" s="1"/>
  <c r="N26" i="24"/>
  <c r="M124" i="19"/>
  <c r="M135" i="19"/>
  <c r="M123" i="19"/>
  <c r="M136" i="19"/>
  <c r="M125" i="19"/>
  <c r="M134" i="19"/>
  <c r="C36" i="24"/>
  <c r="H37" i="24"/>
  <c r="U303" i="16"/>
  <c r="V302" i="16"/>
  <c r="L155" i="16"/>
  <c r="K156" i="16"/>
  <c r="B78" i="16"/>
  <c r="H77" i="16"/>
  <c r="B104" i="6"/>
  <c r="I17" i="13"/>
  <c r="A69" i="8"/>
  <c r="D28" i="5"/>
  <c r="G27" i="28"/>
  <c r="C26" i="28"/>
  <c r="F147" i="22"/>
  <c r="F158" i="22"/>
  <c r="F163" i="22" s="1"/>
  <c r="J28" i="16"/>
  <c r="H178" i="16"/>
  <c r="B179" i="16"/>
  <c r="C109" i="27"/>
  <c r="G110" i="27"/>
  <c r="L301" i="16"/>
  <c r="K302" i="16"/>
  <c r="I154" i="14"/>
  <c r="H155" i="14"/>
  <c r="D208" i="22"/>
  <c r="B216" i="6"/>
  <c r="H134" i="16"/>
  <c r="B135" i="16"/>
  <c r="P203" i="16"/>
  <c r="Q202" i="16"/>
  <c r="AD38" i="24"/>
  <c r="AC38" i="24"/>
  <c r="I75" i="24"/>
  <c r="J75" i="24"/>
  <c r="G67" i="27"/>
  <c r="C66" i="27"/>
  <c r="L107" i="16"/>
  <c r="K108" i="16"/>
  <c r="W50" i="14"/>
  <c r="X49" i="14"/>
  <c r="M90" i="19"/>
  <c r="M92" i="19"/>
  <c r="M102" i="19"/>
  <c r="M91" i="19"/>
  <c r="M103" i="19"/>
  <c r="M101" i="19"/>
  <c r="K160" i="22"/>
  <c r="Y39" i="24"/>
  <c r="X39" i="24"/>
  <c r="A103" i="22"/>
  <c r="M118" i="27"/>
  <c r="Q301" i="16"/>
  <c r="P302" i="16"/>
  <c r="D41" i="4"/>
  <c r="D40" i="4"/>
  <c r="D43" i="4"/>
  <c r="B40" i="4"/>
  <c r="B41" i="4" s="1"/>
  <c r="B42" i="4" s="1"/>
  <c r="B43" i="4" s="1"/>
  <c r="D42" i="4"/>
  <c r="K50" i="14"/>
  <c r="L49" i="14"/>
  <c r="AH28" i="24"/>
  <c r="AK27" i="24"/>
  <c r="AI28" i="24"/>
  <c r="AJ28" i="24" s="1"/>
  <c r="P108" i="16"/>
  <c r="Q107" i="16"/>
  <c r="O154" i="14"/>
  <c r="N155" i="14"/>
  <c r="A36" i="21"/>
  <c r="A38" i="21" s="1"/>
  <c r="D36" i="21"/>
  <c r="R49" i="14"/>
  <c r="Q50" i="14"/>
  <c r="Z34" i="24"/>
  <c r="AA33" i="24"/>
  <c r="P156" i="16"/>
  <c r="Q155" i="16"/>
  <c r="J36" i="24"/>
  <c r="I36" i="24"/>
  <c r="D35" i="24"/>
  <c r="L154" i="14"/>
  <c r="K155" i="14"/>
  <c r="M66" i="27"/>
  <c r="T51" i="14"/>
  <c r="U50" i="14"/>
  <c r="V252" i="16"/>
  <c r="U253" i="16"/>
  <c r="V107" i="16"/>
  <c r="U108" i="16"/>
  <c r="V202" i="16"/>
  <c r="U203" i="16"/>
  <c r="J118" i="27"/>
  <c r="J46" i="16"/>
  <c r="L252" i="16"/>
  <c r="K253" i="16"/>
  <c r="K203" i="16"/>
  <c r="L202" i="16"/>
  <c r="F23" i="24"/>
  <c r="K206" i="14"/>
  <c r="L205" i="14"/>
  <c r="H284" i="16"/>
  <c r="B285" i="16"/>
  <c r="F41" i="15"/>
  <c r="B42" i="15"/>
  <c r="AF50" i="14"/>
  <c r="AG49" i="14"/>
  <c r="B73" i="14"/>
  <c r="F72" i="14"/>
  <c r="B229" i="14"/>
  <c r="F228" i="14"/>
  <c r="J34" i="28"/>
  <c r="O21" i="15"/>
  <c r="N22" i="15"/>
  <c r="C65" i="27"/>
  <c r="J79" i="27"/>
  <c r="M47" i="20"/>
  <c r="M56" i="20"/>
  <c r="M57" i="20"/>
  <c r="M58" i="20"/>
  <c r="M46" i="20"/>
  <c r="M48" i="20"/>
  <c r="M161" i="27"/>
  <c r="O102" i="14"/>
  <c r="N103" i="14"/>
  <c r="O205" i="14"/>
  <c r="N206" i="14"/>
  <c r="E52" i="23"/>
  <c r="B30" i="5"/>
  <c r="B32" i="5" s="1"/>
  <c r="D38" i="5"/>
  <c r="D30" i="5"/>
  <c r="S37" i="24"/>
  <c r="T37" i="24"/>
  <c r="AD49" i="14"/>
  <c r="AC50" i="14"/>
  <c r="AA49" i="14"/>
  <c r="Z50" i="14"/>
  <c r="G164" i="27"/>
  <c r="K103" i="14"/>
  <c r="L102" i="14"/>
  <c r="I45" i="22"/>
  <c r="K45" i="22" s="1"/>
  <c r="I190" i="6"/>
  <c r="K190" i="6" s="1"/>
  <c r="K193" i="6" s="1"/>
  <c r="M194" i="6" s="1"/>
  <c r="K53" i="6"/>
  <c r="M53" i="6" s="1"/>
  <c r="I70" i="22"/>
  <c r="K92" i="6"/>
  <c r="M92" i="6" s="1"/>
  <c r="I84" i="22"/>
  <c r="K79" i="6"/>
  <c r="M79" i="6" s="1"/>
  <c r="L21" i="15"/>
  <c r="K22" i="15"/>
  <c r="F67" i="24"/>
  <c r="K68" i="24"/>
  <c r="A214" i="22"/>
  <c r="E30" i="19"/>
  <c r="E29" i="20"/>
  <c r="U60" i="16"/>
  <c r="V59" i="16"/>
  <c r="H50" i="14"/>
  <c r="I49" i="14"/>
  <c r="E167" i="6"/>
  <c r="B160" i="6"/>
  <c r="D150" i="22"/>
  <c r="J12" i="16"/>
  <c r="K134" i="22"/>
  <c r="K136" i="22" s="1"/>
  <c r="I138" i="22" s="1"/>
  <c r="F136" i="22"/>
  <c r="P25" i="24"/>
  <c r="F24" i="24"/>
  <c r="U156" i="16"/>
  <c r="V155" i="16"/>
  <c r="H220" i="16"/>
  <c r="B221" i="16"/>
  <c r="I205" i="14"/>
  <c r="H206" i="14"/>
  <c r="AI36" i="24"/>
  <c r="AH36" i="24"/>
  <c r="D92" i="22"/>
  <c r="A31" i="25"/>
  <c r="D39" i="4"/>
  <c r="F184" i="14"/>
  <c r="B185" i="14"/>
  <c r="H323" i="16"/>
  <c r="B324" i="16"/>
  <c r="C151" i="27"/>
  <c r="J152" i="27"/>
  <c r="AF28" i="24"/>
  <c r="AE29" i="24"/>
  <c r="K27" i="24"/>
  <c r="L26" i="24"/>
  <c r="I21" i="15"/>
  <c r="H22" i="15"/>
  <c r="M55" i="19"/>
  <c r="M52" i="19"/>
  <c r="M69" i="19"/>
  <c r="M51" i="19"/>
  <c r="M68" i="19"/>
  <c r="M53" i="19"/>
  <c r="M54" i="19"/>
  <c r="M50" i="19"/>
  <c r="M70" i="19"/>
  <c r="M158" i="19"/>
  <c r="M168" i="19"/>
  <c r="M169" i="19"/>
  <c r="M167" i="19"/>
  <c r="M156" i="19"/>
  <c r="M157" i="19"/>
  <c r="O37" i="24"/>
  <c r="N37" i="24"/>
  <c r="Q252" i="16"/>
  <c r="P253" i="16"/>
  <c r="Q59" i="16"/>
  <c r="P60" i="16"/>
  <c r="E24" i="6" l="1"/>
  <c r="E25" i="6"/>
  <c r="A28" i="29"/>
  <c r="AI51" i="14"/>
  <c r="AJ50" i="14"/>
  <c r="AM50" i="14"/>
  <c r="AL51" i="14"/>
  <c r="J47" i="16"/>
  <c r="K229" i="6" s="1"/>
  <c r="N52" i="14"/>
  <c r="O51" i="14"/>
  <c r="L60" i="16"/>
  <c r="K61" i="16"/>
  <c r="P61" i="16"/>
  <c r="Q60" i="16"/>
  <c r="AF29" i="24"/>
  <c r="AE30" i="24"/>
  <c r="J153" i="27"/>
  <c r="C152" i="27"/>
  <c r="B186" i="14"/>
  <c r="F185" i="14"/>
  <c r="AH37" i="24"/>
  <c r="AI37" i="24"/>
  <c r="B222" i="16"/>
  <c r="H221" i="16"/>
  <c r="U61" i="16"/>
  <c r="V60" i="16"/>
  <c r="K69" i="24"/>
  <c r="F68" i="24"/>
  <c r="D216" i="22"/>
  <c r="A215" i="22"/>
  <c r="A216" i="22" s="1"/>
  <c r="A217" i="22" s="1"/>
  <c r="O103" i="14"/>
  <c r="N104" i="14"/>
  <c r="O22" i="15"/>
  <c r="N23" i="15"/>
  <c r="O155" i="14"/>
  <c r="N156" i="14"/>
  <c r="L50" i="14"/>
  <c r="K51" i="14"/>
  <c r="I76" i="24"/>
  <c r="J76" i="24"/>
  <c r="D29" i="5"/>
  <c r="A70" i="8"/>
  <c r="K70" i="8"/>
  <c r="B79" i="16"/>
  <c r="H78" i="16"/>
  <c r="F131" i="14"/>
  <c r="B132" i="14"/>
  <c r="H104" i="14"/>
  <c r="I103" i="14"/>
  <c r="E160" i="6"/>
  <c r="E34" i="6"/>
  <c r="B26" i="6"/>
  <c r="A36" i="18"/>
  <c r="A14" i="18"/>
  <c r="J35" i="28"/>
  <c r="B230" i="14"/>
  <c r="F229" i="14"/>
  <c r="AG50" i="14"/>
  <c r="AF51" i="14"/>
  <c r="B286" i="16"/>
  <c r="H286" i="16" s="1"/>
  <c r="H285" i="16"/>
  <c r="K207" i="14"/>
  <c r="L206" i="14"/>
  <c r="K254" i="16"/>
  <c r="L253" i="16"/>
  <c r="E36" i="24"/>
  <c r="Z35" i="24"/>
  <c r="AA34" i="24"/>
  <c r="B217" i="6"/>
  <c r="E217" i="6"/>
  <c r="L302" i="16"/>
  <c r="K303" i="16"/>
  <c r="G111" i="27"/>
  <c r="C110" i="27"/>
  <c r="G28" i="28"/>
  <c r="C27" i="28"/>
  <c r="V303" i="16"/>
  <c r="U304" i="16"/>
  <c r="D93" i="22"/>
  <c r="A33" i="25"/>
  <c r="K163" i="6"/>
  <c r="I86" i="22"/>
  <c r="K86" i="22" s="1"/>
  <c r="H20" i="17"/>
  <c r="I20" i="17" s="1"/>
  <c r="K55" i="6"/>
  <c r="M55" i="6" s="1"/>
  <c r="I72" i="22"/>
  <c r="H11" i="17"/>
  <c r="I11" i="17" s="1"/>
  <c r="I17" i="22"/>
  <c r="H13" i="17"/>
  <c r="I13" i="17" s="1"/>
  <c r="H18" i="17"/>
  <c r="I18" i="17" s="1"/>
  <c r="K81" i="6"/>
  <c r="M81" i="6" s="1"/>
  <c r="H15" i="17"/>
  <c r="I15" i="17" s="1"/>
  <c r="K20" i="6"/>
  <c r="M20" i="6" s="1"/>
  <c r="H16" i="17"/>
  <c r="I16" i="17" s="1"/>
  <c r="K93" i="6"/>
  <c r="M93" i="6" s="1"/>
  <c r="H10" i="17"/>
  <c r="I10" i="17" s="1"/>
  <c r="J15" i="10"/>
  <c r="J18" i="10" s="1"/>
  <c r="I85" i="22"/>
  <c r="K94" i="6"/>
  <c r="M94" i="6" s="1"/>
  <c r="H12" i="17"/>
  <c r="I12" i="17" s="1"/>
  <c r="H14" i="17"/>
  <c r="I14" i="17" s="1"/>
  <c r="H43" i="17"/>
  <c r="I43" i="17" s="1"/>
  <c r="K155" i="6"/>
  <c r="M155" i="6" s="1"/>
  <c r="K87" i="6"/>
  <c r="M87" i="6" s="1"/>
  <c r="K83" i="6"/>
  <c r="M83" i="6" s="1"/>
  <c r="H19" i="17"/>
  <c r="I19" i="17" s="1"/>
  <c r="K100" i="6"/>
  <c r="M100" i="6" s="1"/>
  <c r="I74" i="22"/>
  <c r="K74" i="22" s="1"/>
  <c r="K101" i="6"/>
  <c r="M101" i="6" s="1"/>
  <c r="I46" i="22"/>
  <c r="K46" i="22" s="1"/>
  <c r="I75" i="22"/>
  <c r="J63" i="29"/>
  <c r="J66" i="29" s="1"/>
  <c r="I73" i="22"/>
  <c r="K73" i="22" s="1"/>
  <c r="K29" i="6"/>
  <c r="M29" i="6" s="1"/>
  <c r="K28" i="6"/>
  <c r="M28" i="6" s="1"/>
  <c r="K54" i="6"/>
  <c r="M54" i="6" s="1"/>
  <c r="I79" i="22"/>
  <c r="K82" i="6"/>
  <c r="M82" i="6" s="1"/>
  <c r="K19" i="6"/>
  <c r="M19" i="6" s="1"/>
  <c r="K80" i="6"/>
  <c r="M80" i="6" s="1"/>
  <c r="I47" i="22"/>
  <c r="K47" i="22" s="1"/>
  <c r="AA50" i="14"/>
  <c r="Z51" i="14"/>
  <c r="J80" i="27"/>
  <c r="L203" i="16"/>
  <c r="K204" i="16"/>
  <c r="V203" i="16"/>
  <c r="U204" i="16"/>
  <c r="V253" i="16"/>
  <c r="U254" i="16"/>
  <c r="I37" i="24"/>
  <c r="J37" i="24"/>
  <c r="E37" i="24" s="1"/>
  <c r="D36" i="24"/>
  <c r="A104" i="22"/>
  <c r="A106" i="22" s="1"/>
  <c r="L108" i="16"/>
  <c r="K109" i="16"/>
  <c r="P254" i="16"/>
  <c r="Q253" i="16"/>
  <c r="N38" i="24"/>
  <c r="O38" i="24"/>
  <c r="H324" i="16"/>
  <c r="B325" i="16"/>
  <c r="I206" i="14"/>
  <c r="H207" i="14"/>
  <c r="P26" i="24"/>
  <c r="I178" i="22"/>
  <c r="K178" i="22" s="1"/>
  <c r="K181" i="22" s="1"/>
  <c r="I182" i="22" s="1"/>
  <c r="I16" i="22"/>
  <c r="H51" i="14"/>
  <c r="I50" i="14"/>
  <c r="L22" i="15"/>
  <c r="K23" i="15"/>
  <c r="H23" i="15"/>
  <c r="I22" i="15"/>
  <c r="K28" i="24"/>
  <c r="L27" i="24"/>
  <c r="U157" i="16"/>
  <c r="V156" i="16"/>
  <c r="D151" i="22"/>
  <c r="B161" i="6"/>
  <c r="E168" i="6"/>
  <c r="AC51" i="14"/>
  <c r="AD50" i="14"/>
  <c r="B35" i="5"/>
  <c r="D41" i="5"/>
  <c r="N207" i="14"/>
  <c r="O206" i="14"/>
  <c r="F42" i="15"/>
  <c r="B43" i="15"/>
  <c r="V108" i="16"/>
  <c r="U109" i="16"/>
  <c r="M67" i="27"/>
  <c r="C67" i="27" s="1"/>
  <c r="R50" i="14"/>
  <c r="Q51" i="14"/>
  <c r="A41" i="21"/>
  <c r="AK28" i="24"/>
  <c r="AI29" i="24"/>
  <c r="AJ29" i="24" s="1"/>
  <c r="X40" i="24"/>
  <c r="Y40" i="24"/>
  <c r="X44" i="24"/>
  <c r="P204" i="16"/>
  <c r="Q203" i="16"/>
  <c r="B105" i="6"/>
  <c r="J17" i="13"/>
  <c r="K157" i="16"/>
  <c r="L156" i="16"/>
  <c r="H38" i="24"/>
  <c r="C37" i="24"/>
  <c r="N27" i="24"/>
  <c r="Q26" i="24"/>
  <c r="O27" i="24"/>
  <c r="E27" i="24" s="1"/>
  <c r="E74" i="24" s="1"/>
  <c r="D26" i="24"/>
  <c r="D73" i="24" s="1"/>
  <c r="U25" i="24"/>
  <c r="V24" i="24"/>
  <c r="C28" i="27"/>
  <c r="G29" i="27"/>
  <c r="L103" i="14"/>
  <c r="K104" i="14"/>
  <c r="G165" i="27"/>
  <c r="T38" i="24"/>
  <c r="S38" i="24"/>
  <c r="M162" i="27"/>
  <c r="B74" i="14"/>
  <c r="F73" i="14"/>
  <c r="J119" i="27"/>
  <c r="U51" i="14"/>
  <c r="T52" i="14"/>
  <c r="K156" i="14"/>
  <c r="L155" i="14"/>
  <c r="Q156" i="16"/>
  <c r="P157" i="16"/>
  <c r="Q108" i="16"/>
  <c r="P109" i="16"/>
  <c r="Q302" i="16"/>
  <c r="P303" i="16"/>
  <c r="M119" i="27"/>
  <c r="W51" i="14"/>
  <c r="X50" i="14"/>
  <c r="AC39" i="24"/>
  <c r="AD39" i="24"/>
  <c r="H135" i="16"/>
  <c r="B136" i="16"/>
  <c r="I155" i="14"/>
  <c r="H156" i="14"/>
  <c r="H179" i="16"/>
  <c r="B180" i="16"/>
  <c r="Q25" i="24"/>
  <c r="M163" i="6" l="1"/>
  <c r="M164" i="6" s="1"/>
  <c r="A29" i="29"/>
  <c r="E27" i="6"/>
  <c r="AI52" i="14"/>
  <c r="AJ51" i="14"/>
  <c r="AL52" i="14"/>
  <c r="AM51" i="14"/>
  <c r="M96" i="6"/>
  <c r="K62" i="16"/>
  <c r="L61" i="16"/>
  <c r="M89" i="6"/>
  <c r="M38" i="6"/>
  <c r="N53" i="14"/>
  <c r="O52" i="14"/>
  <c r="AJ30" i="24"/>
  <c r="AK29" i="24"/>
  <c r="H157" i="14"/>
  <c r="I156" i="14"/>
  <c r="X51" i="14"/>
  <c r="W52" i="14"/>
  <c r="Q109" i="16"/>
  <c r="P110" i="16"/>
  <c r="C38" i="24"/>
  <c r="H39" i="24"/>
  <c r="H52" i="14"/>
  <c r="I51" i="14"/>
  <c r="H325" i="16"/>
  <c r="B326" i="16"/>
  <c r="O39" i="24"/>
  <c r="N39" i="24"/>
  <c r="J81" i="27"/>
  <c r="K255" i="16"/>
  <c r="L254" i="16"/>
  <c r="F230" i="14"/>
  <c r="B231" i="14"/>
  <c r="E161" i="6"/>
  <c r="B27" i="6"/>
  <c r="E35" i="6"/>
  <c r="I104" i="14"/>
  <c r="H105" i="14"/>
  <c r="K52" i="14"/>
  <c r="L51" i="14"/>
  <c r="O104" i="14"/>
  <c r="N105" i="14"/>
  <c r="B187" i="14"/>
  <c r="F186" i="14"/>
  <c r="O28" i="24"/>
  <c r="E28" i="24" s="1"/>
  <c r="E75" i="24" s="1"/>
  <c r="N28" i="24"/>
  <c r="D27" i="24"/>
  <c r="D74" i="24" s="1"/>
  <c r="Q27" i="24"/>
  <c r="U110" i="16"/>
  <c r="V109" i="16"/>
  <c r="D39" i="5"/>
  <c r="B36" i="5"/>
  <c r="B37" i="5" s="1"/>
  <c r="B38" i="5" s="1"/>
  <c r="B39" i="5" s="1"/>
  <c r="B41" i="5" s="1"/>
  <c r="B43" i="5" s="1"/>
  <c r="B45" i="5" s="1"/>
  <c r="D152" i="22"/>
  <c r="B162" i="6"/>
  <c r="E169" i="6"/>
  <c r="I23" i="15"/>
  <c r="H24" i="15"/>
  <c r="U205" i="16"/>
  <c r="V204" i="16"/>
  <c r="C111" i="27"/>
  <c r="G112" i="27"/>
  <c r="B221" i="6"/>
  <c r="AG51" i="14"/>
  <c r="AF52" i="14"/>
  <c r="B133" i="14"/>
  <c r="F132" i="14"/>
  <c r="I77" i="24"/>
  <c r="D76" i="24"/>
  <c r="J77" i="24"/>
  <c r="V61" i="16"/>
  <c r="U62" i="16"/>
  <c r="B181" i="16"/>
  <c r="H180" i="16"/>
  <c r="B137" i="16"/>
  <c r="H136" i="16"/>
  <c r="AD40" i="24"/>
  <c r="AC40" i="24"/>
  <c r="L156" i="14"/>
  <c r="K157" i="14"/>
  <c r="M163" i="27"/>
  <c r="S39" i="24"/>
  <c r="T39" i="24"/>
  <c r="L157" i="16"/>
  <c r="K158" i="16"/>
  <c r="P205" i="16"/>
  <c r="Q204" i="16"/>
  <c r="Y41" i="24"/>
  <c r="Y43" i="24" s="1"/>
  <c r="A43" i="21"/>
  <c r="I146" i="22"/>
  <c r="I18" i="22"/>
  <c r="Q254" i="16"/>
  <c r="P255" i="16"/>
  <c r="D107" i="22"/>
  <c r="J38" i="24"/>
  <c r="I38" i="24"/>
  <c r="D37" i="24"/>
  <c r="Z52" i="14"/>
  <c r="AA51" i="14"/>
  <c r="M37" i="6"/>
  <c r="M21" i="6"/>
  <c r="M30" i="6"/>
  <c r="M156" i="6"/>
  <c r="K156" i="6" s="1"/>
  <c r="A34" i="25"/>
  <c r="D95" i="22"/>
  <c r="L303" i="16"/>
  <c r="K304" i="16"/>
  <c r="L207" i="14"/>
  <c r="K208" i="14"/>
  <c r="A44" i="18"/>
  <c r="A15" i="18"/>
  <c r="B80" i="16"/>
  <c r="H79" i="16"/>
  <c r="O156" i="14"/>
  <c r="N157" i="14"/>
  <c r="N24" i="15"/>
  <c r="O23" i="15"/>
  <c r="AI38" i="24"/>
  <c r="AH38" i="24"/>
  <c r="AE31" i="24"/>
  <c r="AF30" i="24"/>
  <c r="M120" i="27"/>
  <c r="U26" i="24"/>
  <c r="V25" i="24"/>
  <c r="L17" i="13"/>
  <c r="B106" i="6"/>
  <c r="K17" i="13"/>
  <c r="E106" i="6"/>
  <c r="Q52" i="14"/>
  <c r="R51" i="14"/>
  <c r="M68" i="27"/>
  <c r="U158" i="16"/>
  <c r="V157" i="16"/>
  <c r="P27" i="24"/>
  <c r="F26" i="24"/>
  <c r="J154" i="27"/>
  <c r="C153" i="27"/>
  <c r="P304" i="16"/>
  <c r="Q303" i="16"/>
  <c r="J120" i="27"/>
  <c r="K105" i="14"/>
  <c r="L104" i="14"/>
  <c r="G30" i="27"/>
  <c r="C29" i="27"/>
  <c r="L23" i="15"/>
  <c r="K24" i="15"/>
  <c r="I207" i="14"/>
  <c r="H208" i="14"/>
  <c r="A107" i="22"/>
  <c r="A108" i="22" s="1"/>
  <c r="D108" i="22"/>
  <c r="I17" i="17"/>
  <c r="I44" i="17" s="1"/>
  <c r="K17" i="22"/>
  <c r="I23" i="22"/>
  <c r="K23" i="22" s="1"/>
  <c r="U305" i="16"/>
  <c r="V304" i="16"/>
  <c r="Q157" i="16"/>
  <c r="P158" i="16"/>
  <c r="T53" i="14"/>
  <c r="U52" i="14"/>
  <c r="B75" i="14"/>
  <c r="F74" i="14"/>
  <c r="G166" i="27"/>
  <c r="F43" i="15"/>
  <c r="B44" i="15"/>
  <c r="N208" i="14"/>
  <c r="O207" i="14"/>
  <c r="AC52" i="14"/>
  <c r="AD51" i="14"/>
  <c r="K29" i="24"/>
  <c r="L28" i="24"/>
  <c r="F25" i="24"/>
  <c r="K110" i="16"/>
  <c r="L109" i="16"/>
  <c r="U255" i="16"/>
  <c r="V254" i="16"/>
  <c r="K205" i="16"/>
  <c r="L204" i="16"/>
  <c r="I92" i="22"/>
  <c r="K85" i="22"/>
  <c r="C28" i="28"/>
  <c r="G29" i="28"/>
  <c r="Z36" i="24"/>
  <c r="AA35" i="24"/>
  <c r="J36" i="28"/>
  <c r="D218" i="22"/>
  <c r="A218" i="22"/>
  <c r="D110" i="22" s="1"/>
  <c r="K70" i="24"/>
  <c r="F69" i="24"/>
  <c r="B223" i="16"/>
  <c r="H222" i="16"/>
  <c r="P62" i="16"/>
  <c r="Q61" i="16"/>
  <c r="M52" i="6" l="1"/>
  <c r="M56" i="6" s="1"/>
  <c r="M171" i="6"/>
  <c r="M172" i="6" s="1"/>
  <c r="K172" i="6" s="1"/>
  <c r="K115" i="6" s="1"/>
  <c r="M115" i="6" s="1"/>
  <c r="A30" i="29"/>
  <c r="E28" i="6"/>
  <c r="AL53" i="14"/>
  <c r="AM52" i="14"/>
  <c r="AI53" i="14"/>
  <c r="AJ52" i="14"/>
  <c r="M39" i="6"/>
  <c r="D11" i="25" s="1"/>
  <c r="E15" i="25" s="1"/>
  <c r="N54" i="14"/>
  <c r="O53" i="14"/>
  <c r="L62" i="16"/>
  <c r="K63" i="16"/>
  <c r="K29" i="22"/>
  <c r="B224" i="16"/>
  <c r="H223" i="16"/>
  <c r="L110" i="16"/>
  <c r="K111" i="16"/>
  <c r="F70" i="24"/>
  <c r="K71" i="24"/>
  <c r="J37" i="28"/>
  <c r="Z37" i="24"/>
  <c r="AA36" i="24"/>
  <c r="C29" i="28"/>
  <c r="G30" i="28"/>
  <c r="I93" i="22"/>
  <c r="U256" i="16"/>
  <c r="V255" i="16"/>
  <c r="F44" i="15"/>
  <c r="B45" i="15"/>
  <c r="G167" i="27"/>
  <c r="K25" i="15"/>
  <c r="L24" i="15"/>
  <c r="M69" i="27"/>
  <c r="U27" i="24"/>
  <c r="V26" i="24"/>
  <c r="AF31" i="24"/>
  <c r="AE32" i="24"/>
  <c r="K209" i="14"/>
  <c r="L208" i="14"/>
  <c r="C68" i="27"/>
  <c r="Q255" i="16"/>
  <c r="P256" i="16"/>
  <c r="K159" i="16"/>
  <c r="L158" i="16"/>
  <c r="F133" i="14"/>
  <c r="B134" i="14"/>
  <c r="V205" i="16"/>
  <c r="U206" i="16"/>
  <c r="F187" i="14"/>
  <c r="B188" i="14"/>
  <c r="L52" i="14"/>
  <c r="K53" i="14"/>
  <c r="E162" i="6"/>
  <c r="B28" i="6"/>
  <c r="E36" i="6"/>
  <c r="AD52" i="14"/>
  <c r="AC53" i="14"/>
  <c r="T54" i="14"/>
  <c r="U53" i="14"/>
  <c r="A110" i="22"/>
  <c r="A112" i="22" s="1"/>
  <c r="G31" i="27"/>
  <c r="C30" i="27"/>
  <c r="P305" i="16"/>
  <c r="Q304" i="16"/>
  <c r="C154" i="27"/>
  <c r="J155" i="27"/>
  <c r="V158" i="16"/>
  <c r="U159" i="16"/>
  <c r="M17" i="13"/>
  <c r="B109" i="6"/>
  <c r="M121" i="27"/>
  <c r="O24" i="15"/>
  <c r="N25" i="15"/>
  <c r="B81" i="16"/>
  <c r="H80" i="16"/>
  <c r="C69" i="27"/>
  <c r="A35" i="25"/>
  <c r="D96" i="22"/>
  <c r="AA52" i="14"/>
  <c r="Z53" i="14"/>
  <c r="I39" i="24"/>
  <c r="J39" i="24"/>
  <c r="D38" i="24"/>
  <c r="A44" i="21"/>
  <c r="D52" i="21"/>
  <c r="M164" i="27"/>
  <c r="H137" i="16"/>
  <c r="B138" i="16"/>
  <c r="V62" i="16"/>
  <c r="U63" i="16"/>
  <c r="C112" i="27"/>
  <c r="G113" i="27"/>
  <c r="D153" i="22"/>
  <c r="B163" i="6"/>
  <c r="E170" i="6"/>
  <c r="E164" i="6"/>
  <c r="O105" i="14"/>
  <c r="N106" i="14"/>
  <c r="H106" i="14"/>
  <c r="I105" i="14"/>
  <c r="K256" i="16"/>
  <c r="L255" i="16"/>
  <c r="J83" i="27"/>
  <c r="E102" i="19" s="1"/>
  <c r="O40" i="24"/>
  <c r="N40" i="24"/>
  <c r="Q110" i="16"/>
  <c r="P111" i="16"/>
  <c r="A221" i="22"/>
  <c r="A222" i="22" s="1"/>
  <c r="D106" i="22"/>
  <c r="L205" i="16"/>
  <c r="K206" i="16"/>
  <c r="K30" i="24"/>
  <c r="L29" i="24"/>
  <c r="Q158" i="16"/>
  <c r="P159" i="16"/>
  <c r="U306" i="16"/>
  <c r="V305" i="16"/>
  <c r="I208" i="14"/>
  <c r="H209" i="14"/>
  <c r="J121" i="27"/>
  <c r="R52" i="14"/>
  <c r="Q53" i="14"/>
  <c r="AH39" i="24"/>
  <c r="AI39" i="24"/>
  <c r="N158" i="14"/>
  <c r="O157" i="14"/>
  <c r="A46" i="18"/>
  <c r="A50" i="18" s="1"/>
  <c r="A51" i="18" s="1"/>
  <c r="A52" i="18" s="1"/>
  <c r="A53" i="18" s="1"/>
  <c r="A58" i="18" s="1"/>
  <c r="A59" i="18" s="1"/>
  <c r="A60" i="18" s="1"/>
  <c r="A61" i="18" s="1"/>
  <c r="A62" i="18" s="1"/>
  <c r="A64" i="18" s="1"/>
  <c r="A68" i="18" s="1"/>
  <c r="A69" i="18" s="1"/>
  <c r="A70" i="18" s="1"/>
  <c r="A16" i="18"/>
  <c r="L304" i="16"/>
  <c r="K305" i="16"/>
  <c r="K105" i="6"/>
  <c r="M105" i="6" s="1"/>
  <c r="I16" i="10"/>
  <c r="I18" i="10" s="1"/>
  <c r="F18" i="10" s="1"/>
  <c r="F42" i="6" s="1"/>
  <c r="K103" i="6"/>
  <c r="M103" i="6" s="1"/>
  <c r="I64" i="29"/>
  <c r="I66" i="29" s="1"/>
  <c r="F43" i="6" s="1"/>
  <c r="E38" i="24"/>
  <c r="K18" i="22"/>
  <c r="I24" i="22"/>
  <c r="K24" i="22" s="1"/>
  <c r="T40" i="24"/>
  <c r="S40" i="24"/>
  <c r="K158" i="14"/>
  <c r="L157" i="14"/>
  <c r="AC41" i="24"/>
  <c r="AD41" i="24"/>
  <c r="AD43" i="24" s="1"/>
  <c r="I78" i="24"/>
  <c r="D77" i="24"/>
  <c r="J78" i="24"/>
  <c r="E78" i="24" s="1"/>
  <c r="AF53" i="14"/>
  <c r="AG52" i="14"/>
  <c r="B222" i="6"/>
  <c r="B223" i="6" s="1"/>
  <c r="B224" i="6" s="1"/>
  <c r="I24" i="15"/>
  <c r="H25" i="15"/>
  <c r="U111" i="16"/>
  <c r="V110" i="16"/>
  <c r="O29" i="24"/>
  <c r="E29" i="24" s="1"/>
  <c r="E76" i="24" s="1"/>
  <c r="D28" i="24"/>
  <c r="D75" i="24" s="1"/>
  <c r="F231" i="14"/>
  <c r="B232" i="14"/>
  <c r="H53" i="14"/>
  <c r="I52" i="14"/>
  <c r="H158" i="14"/>
  <c r="I157" i="14"/>
  <c r="AJ31" i="24"/>
  <c r="AK30" i="24"/>
  <c r="P63" i="16"/>
  <c r="Q62" i="16"/>
  <c r="N209" i="14"/>
  <c r="O208" i="14"/>
  <c r="B76" i="14"/>
  <c r="F75" i="14"/>
  <c r="K106" i="14"/>
  <c r="L105" i="14"/>
  <c r="P28" i="24"/>
  <c r="K146" i="22"/>
  <c r="I154" i="22"/>
  <c r="K154" i="22" s="1"/>
  <c r="K155" i="22" s="1"/>
  <c r="P206" i="16"/>
  <c r="Q205" i="16"/>
  <c r="H181" i="16"/>
  <c r="B182" i="16"/>
  <c r="E77" i="24"/>
  <c r="D47" i="5"/>
  <c r="B47" i="5"/>
  <c r="B327" i="16"/>
  <c r="H326" i="16"/>
  <c r="H40" i="24"/>
  <c r="C39" i="24"/>
  <c r="X52" i="14"/>
  <c r="W53" i="14"/>
  <c r="E29" i="6" l="1"/>
  <c r="A31" i="29"/>
  <c r="A38" i="29" s="1"/>
  <c r="A39" i="29" s="1"/>
  <c r="A40" i="29" s="1"/>
  <c r="A41" i="29" s="1"/>
  <c r="A42" i="29" s="1"/>
  <c r="A43" i="29" s="1"/>
  <c r="A44" i="29" s="1"/>
  <c r="A58" i="29" s="1"/>
  <c r="A59" i="29" s="1"/>
  <c r="A73" i="29" s="1"/>
  <c r="A74" i="29" s="1"/>
  <c r="AJ53" i="14"/>
  <c r="AI54" i="14"/>
  <c r="AL54" i="14"/>
  <c r="AM53" i="14"/>
  <c r="N55" i="14"/>
  <c r="O54" i="14"/>
  <c r="K64" i="16"/>
  <c r="L63" i="16"/>
  <c r="P207" i="16"/>
  <c r="Q206" i="16"/>
  <c r="P29" i="24"/>
  <c r="F28" i="24"/>
  <c r="P64" i="16"/>
  <c r="Q63" i="16"/>
  <c r="I158" i="14"/>
  <c r="H159" i="14"/>
  <c r="U112" i="16"/>
  <c r="V111" i="16"/>
  <c r="A36" i="25"/>
  <c r="A40" i="25" s="1"/>
  <c r="D97" i="22"/>
  <c r="C36" i="25"/>
  <c r="M122" i="27"/>
  <c r="D11" i="21"/>
  <c r="A113" i="22"/>
  <c r="A115" i="22" s="1"/>
  <c r="D72" i="21" s="1"/>
  <c r="K54" i="14"/>
  <c r="L53" i="14"/>
  <c r="F134" i="14"/>
  <c r="B135" i="14"/>
  <c r="P257" i="16"/>
  <c r="Q256" i="16"/>
  <c r="L209" i="14"/>
  <c r="K210" i="14"/>
  <c r="G169" i="27"/>
  <c r="E167" i="19" s="1"/>
  <c r="L111" i="16"/>
  <c r="K112" i="16"/>
  <c r="H224" i="16"/>
  <c r="B225" i="16"/>
  <c r="C40" i="24"/>
  <c r="C44" i="24" s="1"/>
  <c r="E38" i="22" s="1"/>
  <c r="F38" i="22" s="1"/>
  <c r="H44" i="24"/>
  <c r="J46" i="24" s="1"/>
  <c r="E46" i="24" s="1"/>
  <c r="I222" i="22" s="1"/>
  <c r="Q28" i="24"/>
  <c r="H26" i="15"/>
  <c r="I25" i="15"/>
  <c r="I79" i="24"/>
  <c r="D78" i="24"/>
  <c r="J79" i="24"/>
  <c r="D46" i="21"/>
  <c r="D43" i="21"/>
  <c r="D44" i="21"/>
  <c r="D45" i="21"/>
  <c r="D41" i="21"/>
  <c r="V306" i="16"/>
  <c r="U307" i="16"/>
  <c r="A225" i="22"/>
  <c r="Q111" i="16"/>
  <c r="P112" i="16"/>
  <c r="N107" i="14"/>
  <c r="O106" i="14"/>
  <c r="Z54" i="14"/>
  <c r="AA53" i="14"/>
  <c r="V159" i="16"/>
  <c r="U160" i="16"/>
  <c r="C155" i="27"/>
  <c r="J156" i="27"/>
  <c r="G32" i="27"/>
  <c r="C31" i="27"/>
  <c r="M70" i="27"/>
  <c r="J38" i="28"/>
  <c r="F76" i="14"/>
  <c r="B77" i="14"/>
  <c r="B225" i="6"/>
  <c r="B227" i="6" s="1"/>
  <c r="B228" i="6" s="1"/>
  <c r="B229" i="6" s="1"/>
  <c r="B231" i="6" s="1"/>
  <c r="B232" i="6" s="1"/>
  <c r="E225" i="6"/>
  <c r="AC44" i="24"/>
  <c r="S41" i="24"/>
  <c r="T41" i="24"/>
  <c r="T43" i="24" s="1"/>
  <c r="E34" i="22"/>
  <c r="F47" i="6"/>
  <c r="H42" i="6"/>
  <c r="R53" i="14"/>
  <c r="Q54" i="14"/>
  <c r="J122" i="27"/>
  <c r="K31" i="24"/>
  <c r="L30" i="24"/>
  <c r="N41" i="24"/>
  <c r="N44" i="24" s="1"/>
  <c r="O41" i="24"/>
  <c r="O43" i="24" s="1"/>
  <c r="I106" i="14"/>
  <c r="H107" i="14"/>
  <c r="B139" i="16"/>
  <c r="H138" i="16"/>
  <c r="M165" i="27"/>
  <c r="I40" i="24"/>
  <c r="J40" i="24"/>
  <c r="E40" i="24" s="1"/>
  <c r="D39" i="24"/>
  <c r="O25" i="15"/>
  <c r="N26" i="15"/>
  <c r="Q305" i="16"/>
  <c r="P306" i="16"/>
  <c r="W54" i="14"/>
  <c r="X53" i="14"/>
  <c r="K162" i="22"/>
  <c r="K163" i="22" s="1"/>
  <c r="I163" i="22" s="1"/>
  <c r="I107" i="22" s="1"/>
  <c r="K107" i="22" s="1"/>
  <c r="K147" i="22"/>
  <c r="I147" i="22" s="1"/>
  <c r="L106" i="14"/>
  <c r="K107" i="14"/>
  <c r="N210" i="14"/>
  <c r="O209" i="14"/>
  <c r="AJ32" i="24"/>
  <c r="AK31" i="24"/>
  <c r="I53" i="14"/>
  <c r="H54" i="14"/>
  <c r="AG53" i="14"/>
  <c r="AF54" i="14"/>
  <c r="L158" i="14"/>
  <c r="K159" i="14"/>
  <c r="E35" i="22"/>
  <c r="H43" i="6"/>
  <c r="M43" i="6" s="1"/>
  <c r="L305" i="16"/>
  <c r="K306" i="16"/>
  <c r="H210" i="14"/>
  <c r="I209" i="14"/>
  <c r="P160" i="16"/>
  <c r="Q159" i="16"/>
  <c r="K207" i="16"/>
  <c r="L206" i="16"/>
  <c r="G102" i="19"/>
  <c r="L256" i="16"/>
  <c r="K257" i="16"/>
  <c r="B164" i="6"/>
  <c r="B167" i="6" s="1"/>
  <c r="D154" i="22"/>
  <c r="E171" i="6"/>
  <c r="U64" i="16"/>
  <c r="V63" i="16"/>
  <c r="E111" i="6"/>
  <c r="B110" i="6"/>
  <c r="U54" i="14"/>
  <c r="T55" i="14"/>
  <c r="D23" i="22"/>
  <c r="B29" i="6"/>
  <c r="E163" i="6"/>
  <c r="E37" i="6"/>
  <c r="F188" i="14"/>
  <c r="B189" i="14"/>
  <c r="F189" i="14" s="1"/>
  <c r="V206" i="16"/>
  <c r="U207" i="16"/>
  <c r="U28" i="24"/>
  <c r="V27" i="24"/>
  <c r="F45" i="15"/>
  <c r="B46" i="15"/>
  <c r="U257" i="16"/>
  <c r="V256" i="16"/>
  <c r="Z38" i="24"/>
  <c r="AA37" i="24"/>
  <c r="F71" i="24"/>
  <c r="K72" i="24"/>
  <c r="H327" i="16"/>
  <c r="B328" i="16"/>
  <c r="B183" i="16"/>
  <c r="H182" i="16"/>
  <c r="E33" i="25"/>
  <c r="E24" i="25"/>
  <c r="E21" i="25"/>
  <c r="E35" i="25"/>
  <c r="E23" i="25"/>
  <c r="E22" i="25"/>
  <c r="E17" i="25"/>
  <c r="E16" i="25"/>
  <c r="E32" i="25"/>
  <c r="E31" i="25"/>
  <c r="E19" i="25"/>
  <c r="E34" i="25"/>
  <c r="E30" i="25"/>
  <c r="E20" i="25"/>
  <c r="F27" i="24"/>
  <c r="F232" i="14"/>
  <c r="B233" i="14"/>
  <c r="E223" i="6"/>
  <c r="K30" i="22"/>
  <c r="M106" i="6"/>
  <c r="N159" i="14"/>
  <c r="O158" i="14"/>
  <c r="AI40" i="24"/>
  <c r="AH40" i="24"/>
  <c r="G114" i="27"/>
  <c r="C113" i="27"/>
  <c r="A45" i="21"/>
  <c r="D53" i="21"/>
  <c r="E39" i="24"/>
  <c r="C70" i="27"/>
  <c r="H81" i="16"/>
  <c r="B82" i="16"/>
  <c r="D112" i="22"/>
  <c r="AD53" i="14"/>
  <c r="AC54" i="14"/>
  <c r="L159" i="16"/>
  <c r="K160" i="16"/>
  <c r="AE33" i="24"/>
  <c r="AF32" i="24"/>
  <c r="K26" i="15"/>
  <c r="L25" i="15"/>
  <c r="C30" i="28"/>
  <c r="G31" i="28"/>
  <c r="A75" i="29" l="1"/>
  <c r="A76" i="29" s="1"/>
  <c r="A77" i="29" s="1"/>
  <c r="E44" i="6"/>
  <c r="AM54" i="14"/>
  <c r="AL55" i="14"/>
  <c r="AI55" i="14"/>
  <c r="AJ54" i="14"/>
  <c r="K65" i="16"/>
  <c r="L64" i="16"/>
  <c r="O55" i="14"/>
  <c r="N56" i="14"/>
  <c r="O56" i="14" s="1"/>
  <c r="Z39" i="24"/>
  <c r="AA38" i="24"/>
  <c r="V207" i="16"/>
  <c r="U208" i="16"/>
  <c r="K307" i="16"/>
  <c r="L306" i="16"/>
  <c r="AJ33" i="24"/>
  <c r="AK32" i="24"/>
  <c r="X54" i="14"/>
  <c r="W55" i="14"/>
  <c r="O26" i="15"/>
  <c r="N27" i="15"/>
  <c r="M166" i="27"/>
  <c r="K32" i="24"/>
  <c r="L31" i="24"/>
  <c r="J123" i="27"/>
  <c r="S44" i="24"/>
  <c r="U161" i="16"/>
  <c r="V160" i="16"/>
  <c r="Z55" i="14"/>
  <c r="AA54" i="14"/>
  <c r="P113" i="16"/>
  <c r="Q112" i="16"/>
  <c r="V307" i="16"/>
  <c r="U308" i="16"/>
  <c r="V308" i="16" s="1"/>
  <c r="G167" i="19"/>
  <c r="H160" i="14"/>
  <c r="I159" i="14"/>
  <c r="AE34" i="24"/>
  <c r="AF33" i="24"/>
  <c r="B83" i="16"/>
  <c r="H82" i="16"/>
  <c r="C114" i="27"/>
  <c r="G115" i="27"/>
  <c r="L257" i="16"/>
  <c r="K258" i="16"/>
  <c r="I97" i="22"/>
  <c r="I95" i="22"/>
  <c r="E39" i="22"/>
  <c r="F34" i="22"/>
  <c r="B233" i="6"/>
  <c r="E233" i="6"/>
  <c r="I80" i="24"/>
  <c r="D79" i="24"/>
  <c r="J80" i="24"/>
  <c r="E80" i="24" s="1"/>
  <c r="D29" i="21"/>
  <c r="A43" i="25"/>
  <c r="P30" i="24"/>
  <c r="Q29" i="24"/>
  <c r="F29" i="24"/>
  <c r="AC55" i="14"/>
  <c r="AD54" i="14"/>
  <c r="AH41" i="24"/>
  <c r="AI41" i="24"/>
  <c r="AI43" i="24" s="1"/>
  <c r="F233" i="14"/>
  <c r="B234" i="14"/>
  <c r="B184" i="16"/>
  <c r="H183" i="16"/>
  <c r="U258" i="16"/>
  <c r="V257" i="16"/>
  <c r="U29" i="24"/>
  <c r="V28" i="24"/>
  <c r="D24" i="22"/>
  <c r="B30" i="6"/>
  <c r="B33" i="6" s="1"/>
  <c r="E38" i="6"/>
  <c r="E30" i="6"/>
  <c r="B111" i="6"/>
  <c r="L207" i="16"/>
  <c r="K208" i="16"/>
  <c r="AG54" i="14"/>
  <c r="AF55" i="14"/>
  <c r="N211" i="14"/>
  <c r="O210" i="14"/>
  <c r="Q306" i="16"/>
  <c r="P307" i="16"/>
  <c r="H139" i="16"/>
  <c r="B140" i="16"/>
  <c r="H140" i="16" s="1"/>
  <c r="F77" i="14"/>
  <c r="B78" i="14"/>
  <c r="M71" i="27"/>
  <c r="C32" i="27"/>
  <c r="G33" i="27"/>
  <c r="J157" i="27"/>
  <c r="C156" i="27"/>
  <c r="O107" i="14"/>
  <c r="N108" i="14"/>
  <c r="K113" i="16"/>
  <c r="L112" i="16"/>
  <c r="P258" i="16"/>
  <c r="Q257" i="16"/>
  <c r="D115" i="22"/>
  <c r="M123" i="27"/>
  <c r="U55" i="14"/>
  <c r="T56" i="14"/>
  <c r="U56" i="14" s="1"/>
  <c r="B168" i="6"/>
  <c r="B169" i="6" s="1"/>
  <c r="B170" i="6" s="1"/>
  <c r="B171" i="6" s="1"/>
  <c r="B172" i="6" s="1"/>
  <c r="K160" i="14"/>
  <c r="L159" i="14"/>
  <c r="I107" i="14"/>
  <c r="H108" i="14"/>
  <c r="J39" i="28"/>
  <c r="H225" i="16"/>
  <c r="B226" i="16"/>
  <c r="K55" i="14"/>
  <c r="L54" i="14"/>
  <c r="A46" i="21"/>
  <c r="D54" i="21"/>
  <c r="N160" i="14"/>
  <c r="O159" i="14"/>
  <c r="F72" i="24"/>
  <c r="K73" i="24"/>
  <c r="U65" i="16"/>
  <c r="V64" i="16"/>
  <c r="Q160" i="16"/>
  <c r="P161" i="16"/>
  <c r="H55" i="14"/>
  <c r="I54" i="14"/>
  <c r="J41" i="24"/>
  <c r="D40" i="24"/>
  <c r="I44" i="24"/>
  <c r="D41" i="24"/>
  <c r="D44" i="24" s="1"/>
  <c r="E214" i="22" s="1"/>
  <c r="R54" i="14"/>
  <c r="Q55" i="14"/>
  <c r="C31" i="28"/>
  <c r="G32" i="28"/>
  <c r="L26" i="15"/>
  <c r="K27" i="15"/>
  <c r="K161" i="16"/>
  <c r="L160" i="16"/>
  <c r="B329" i="16"/>
  <c r="H328" i="16"/>
  <c r="F46" i="15"/>
  <c r="B47" i="15"/>
  <c r="H211" i="14"/>
  <c r="I210" i="14"/>
  <c r="F35" i="22"/>
  <c r="K35" i="22"/>
  <c r="L107" i="14"/>
  <c r="K108" i="14"/>
  <c r="H47" i="6"/>
  <c r="M42" i="6"/>
  <c r="M47" i="6" s="1"/>
  <c r="M59" i="6" s="1"/>
  <c r="M118" i="6" s="1"/>
  <c r="A226" i="22"/>
  <c r="D226" i="22"/>
  <c r="E79" i="24"/>
  <c r="H27" i="15"/>
  <c r="I26" i="15"/>
  <c r="K38" i="22"/>
  <c r="E221" i="22"/>
  <c r="F221" i="22" s="1"/>
  <c r="L210" i="14"/>
  <c r="K211" i="14"/>
  <c r="F135" i="14"/>
  <c r="B136" i="14"/>
  <c r="V112" i="16"/>
  <c r="U113" i="16"/>
  <c r="P65" i="16"/>
  <c r="Q64" i="16"/>
  <c r="Q207" i="16"/>
  <c r="P208" i="16"/>
  <c r="M114" i="6" l="1"/>
  <c r="A78" i="29"/>
  <c r="A79" i="29" s="1"/>
  <c r="A80" i="29" s="1"/>
  <c r="E46" i="6"/>
  <c r="N65" i="14"/>
  <c r="O65" i="14" s="1"/>
  <c r="G11" i="14" s="1"/>
  <c r="AM55" i="14"/>
  <c r="AL56" i="14"/>
  <c r="AM56" i="14" s="1"/>
  <c r="AJ55" i="14"/>
  <c r="AI56" i="14"/>
  <c r="AJ56" i="14" s="1"/>
  <c r="T65" i="14"/>
  <c r="U65" i="14" s="1"/>
  <c r="G13" i="14" s="1"/>
  <c r="U64" i="14"/>
  <c r="U57" i="14"/>
  <c r="F54" i="19" s="1"/>
  <c r="G54" i="19" s="1"/>
  <c r="U313" i="16"/>
  <c r="V313" i="16" s="1"/>
  <c r="K45" i="16" s="1"/>
  <c r="N45" i="16" s="1"/>
  <c r="O45" i="16" s="1"/>
  <c r="J37" i="14" s="1"/>
  <c r="G83" i="27"/>
  <c r="E101" i="19" s="1"/>
  <c r="G101" i="19" s="1"/>
  <c r="O64" i="14"/>
  <c r="O57" i="14"/>
  <c r="F52" i="19" s="1"/>
  <c r="G52" i="19" s="1"/>
  <c r="K66" i="16"/>
  <c r="L66" i="16" s="1"/>
  <c r="L65" i="16"/>
  <c r="L211" i="14"/>
  <c r="K212" i="14"/>
  <c r="L212" i="14" s="1"/>
  <c r="L108" i="14"/>
  <c r="K109" i="14"/>
  <c r="L109" i="14" s="1"/>
  <c r="F47" i="15"/>
  <c r="B48" i="15"/>
  <c r="M124" i="27"/>
  <c r="V258" i="16"/>
  <c r="U259" i="16"/>
  <c r="V259" i="16" s="1"/>
  <c r="E235" i="6"/>
  <c r="B234" i="6"/>
  <c r="B235" i="6" s="1"/>
  <c r="AE35" i="24"/>
  <c r="AF34" i="24"/>
  <c r="K33" i="24"/>
  <c r="L32" i="24"/>
  <c r="M167" i="27"/>
  <c r="L307" i="16"/>
  <c r="K308" i="16"/>
  <c r="L308" i="16" s="1"/>
  <c r="F214" i="22"/>
  <c r="F73" i="24"/>
  <c r="K74" i="24"/>
  <c r="O160" i="14"/>
  <c r="N161" i="14"/>
  <c r="O161" i="14" s="1"/>
  <c r="K56" i="14"/>
  <c r="L56" i="14" s="1"/>
  <c r="L55" i="14"/>
  <c r="L113" i="16"/>
  <c r="K114" i="16"/>
  <c r="L114" i="16" s="1"/>
  <c r="C33" i="27"/>
  <c r="G34" i="27"/>
  <c r="F78" i="14"/>
  <c r="B79" i="14"/>
  <c r="L208" i="16"/>
  <c r="K209" i="16"/>
  <c r="L209" i="16" s="1"/>
  <c r="AC56" i="14"/>
  <c r="AD56" i="14" s="1"/>
  <c r="AD55" i="14"/>
  <c r="F39" i="22"/>
  <c r="K34" i="22"/>
  <c r="K39" i="22" s="1"/>
  <c r="C115" i="27"/>
  <c r="G116" i="27"/>
  <c r="B84" i="16"/>
  <c r="H83" i="16"/>
  <c r="Q113" i="16"/>
  <c r="P114" i="16"/>
  <c r="Q114" i="16" s="1"/>
  <c r="U162" i="16"/>
  <c r="V162" i="16" s="1"/>
  <c r="V161" i="16"/>
  <c r="N28" i="15"/>
  <c r="O28" i="15" s="1"/>
  <c r="O27" i="15"/>
  <c r="Z40" i="24"/>
  <c r="AA39" i="24"/>
  <c r="P66" i="16"/>
  <c r="Q66" i="16" s="1"/>
  <c r="Q65" i="16"/>
  <c r="B137" i="14"/>
  <c r="F137" i="14" s="1"/>
  <c r="F136" i="14"/>
  <c r="K162" i="16"/>
  <c r="L162" i="16" s="1"/>
  <c r="L161" i="16"/>
  <c r="R55" i="14"/>
  <c r="Q56" i="14"/>
  <c r="R56" i="14" s="1"/>
  <c r="I55" i="14"/>
  <c r="H56" i="14"/>
  <c r="I56" i="14" s="1"/>
  <c r="H226" i="16"/>
  <c r="B227" i="16"/>
  <c r="J40" i="28"/>
  <c r="L160" i="14"/>
  <c r="K161" i="14"/>
  <c r="L161" i="14" s="1"/>
  <c r="O108" i="14"/>
  <c r="N109" i="14"/>
  <c r="O109" i="14" s="1"/>
  <c r="P308" i="16"/>
  <c r="Q308" i="16" s="1"/>
  <c r="Q307" i="16"/>
  <c r="AG55" i="14"/>
  <c r="AF56" i="14"/>
  <c r="AG56" i="14" s="1"/>
  <c r="U30" i="24"/>
  <c r="V29" i="24"/>
  <c r="H184" i="16"/>
  <c r="B185" i="16"/>
  <c r="Q30" i="24"/>
  <c r="P31" i="24"/>
  <c r="I81" i="24"/>
  <c r="D80" i="24"/>
  <c r="J81" i="24"/>
  <c r="E81" i="24" s="1"/>
  <c r="L258" i="16"/>
  <c r="K259" i="16"/>
  <c r="L259" i="16" s="1"/>
  <c r="C72" i="27"/>
  <c r="I160" i="14"/>
  <c r="H161" i="14"/>
  <c r="I161" i="14" s="1"/>
  <c r="V309" i="16"/>
  <c r="J124" i="27"/>
  <c r="AJ34" i="24"/>
  <c r="AK33" i="24"/>
  <c r="U209" i="16"/>
  <c r="V209" i="16" s="1"/>
  <c r="V208" i="16"/>
  <c r="G33" i="28"/>
  <c r="C32" i="28"/>
  <c r="Q161" i="16"/>
  <c r="P162" i="16"/>
  <c r="Q162" i="16" s="1"/>
  <c r="B112" i="6"/>
  <c r="I27" i="15"/>
  <c r="H28" i="15"/>
  <c r="I28" i="15" s="1"/>
  <c r="A227" i="22"/>
  <c r="A228" i="22" s="1"/>
  <c r="N212" i="14"/>
  <c r="O212" i="14" s="1"/>
  <c r="O211" i="14"/>
  <c r="P209" i="16"/>
  <c r="Q209" i="16" s="1"/>
  <c r="Q208" i="16"/>
  <c r="V113" i="16"/>
  <c r="U114" i="16"/>
  <c r="V114" i="16" s="1"/>
  <c r="I211" i="14"/>
  <c r="H212" i="14"/>
  <c r="I212" i="14" s="1"/>
  <c r="H329" i="16"/>
  <c r="B330" i="16"/>
  <c r="L27" i="15"/>
  <c r="K28" i="15"/>
  <c r="L28" i="15" s="1"/>
  <c r="E41" i="24"/>
  <c r="E43" i="24" s="1"/>
  <c r="J43" i="24"/>
  <c r="U66" i="16"/>
  <c r="V66" i="16" s="1"/>
  <c r="V65" i="16"/>
  <c r="A47" i="21"/>
  <c r="D55" i="21"/>
  <c r="D47" i="21"/>
  <c r="H109" i="14"/>
  <c r="I109" i="14" s="1"/>
  <c r="I108" i="14"/>
  <c r="E172" i="6"/>
  <c r="Q258" i="16"/>
  <c r="P259" i="16"/>
  <c r="Q259" i="16" s="1"/>
  <c r="J158" i="27"/>
  <c r="C157" i="27"/>
  <c r="M72" i="27"/>
  <c r="B34" i="6"/>
  <c r="F234" i="14"/>
  <c r="B235" i="14"/>
  <c r="AH44" i="24"/>
  <c r="D23" i="21"/>
  <c r="A44" i="25"/>
  <c r="C71" i="27"/>
  <c r="AA55" i="14"/>
  <c r="Z56" i="14"/>
  <c r="AA56" i="14" s="1"/>
  <c r="X55" i="14"/>
  <c r="W56" i="14"/>
  <c r="X56" i="14" s="1"/>
  <c r="E49" i="6" l="1"/>
  <c r="A89" i="29"/>
  <c r="A90" i="29" s="1"/>
  <c r="A91" i="29" s="1"/>
  <c r="H37" i="15"/>
  <c r="I37" i="15" s="1"/>
  <c r="E37" i="15" s="1"/>
  <c r="AM57" i="14"/>
  <c r="W65" i="14"/>
  <c r="X65" i="14" s="1"/>
  <c r="G14" i="14" s="1"/>
  <c r="AJ64" i="14"/>
  <c r="AC65" i="14"/>
  <c r="AD65" i="14" s="1"/>
  <c r="G16" i="14" s="1"/>
  <c r="AJ57" i="14"/>
  <c r="K65" i="14"/>
  <c r="L65" i="14" s="1"/>
  <c r="G10" i="14" s="1"/>
  <c r="Q65" i="14"/>
  <c r="R65" i="14" s="1"/>
  <c r="G12" i="14" s="1"/>
  <c r="Z65" i="14"/>
  <c r="AA65" i="14" s="1"/>
  <c r="G15" i="14" s="1"/>
  <c r="AM64" i="14"/>
  <c r="AF64" i="14"/>
  <c r="AF65" i="14"/>
  <c r="AG65" i="14" s="1"/>
  <c r="G17" i="14" s="1"/>
  <c r="H65" i="14"/>
  <c r="AI65" i="14"/>
  <c r="AJ65" i="14" s="1"/>
  <c r="G18" i="14" s="1"/>
  <c r="AL65" i="14"/>
  <c r="AM65" i="14" s="1"/>
  <c r="H166" i="14"/>
  <c r="I166" i="14" s="1"/>
  <c r="R64" i="14"/>
  <c r="V163" i="16"/>
  <c r="AD64" i="14"/>
  <c r="K119" i="16"/>
  <c r="L119" i="16" s="1"/>
  <c r="AA64" i="14"/>
  <c r="V115" i="16"/>
  <c r="N217" i="14"/>
  <c r="O217" i="14" s="1"/>
  <c r="G37" i="14" s="1"/>
  <c r="L110" i="14"/>
  <c r="F91" i="19" s="1"/>
  <c r="G91" i="19" s="1"/>
  <c r="P167" i="16"/>
  <c r="Q167" i="16" s="1"/>
  <c r="K26" i="16" s="1"/>
  <c r="N26" i="16" s="1"/>
  <c r="O26" i="16" s="1"/>
  <c r="J9" i="15" s="1"/>
  <c r="Q260" i="16"/>
  <c r="U71" i="16"/>
  <c r="V71" i="16" s="1"/>
  <c r="K11" i="16" s="1"/>
  <c r="N11" i="16" s="1"/>
  <c r="O11" i="16" s="1"/>
  <c r="L29" i="15"/>
  <c r="F47" i="20" s="1"/>
  <c r="G47" i="20" s="1"/>
  <c r="I213" i="14"/>
  <c r="F156" i="19" s="1"/>
  <c r="G156" i="19" s="1"/>
  <c r="P214" i="16"/>
  <c r="Q214" i="16" s="1"/>
  <c r="R214" i="16" s="1"/>
  <c r="P313" i="16"/>
  <c r="Q313" i="16" s="1"/>
  <c r="K44" i="16" s="1"/>
  <c r="N44" i="16" s="1"/>
  <c r="O44" i="16" s="1"/>
  <c r="J36" i="14" s="1"/>
  <c r="L162" i="14"/>
  <c r="F124" i="19" s="1"/>
  <c r="G124" i="19" s="1"/>
  <c r="N166" i="14"/>
  <c r="O166" i="14" s="1"/>
  <c r="G31" i="14" s="1"/>
  <c r="L309" i="16"/>
  <c r="L213" i="14"/>
  <c r="F157" i="19" s="1"/>
  <c r="G157" i="19" s="1"/>
  <c r="I64" i="14"/>
  <c r="L163" i="16"/>
  <c r="O29" i="15"/>
  <c r="F48" i="20" s="1"/>
  <c r="G48" i="20" s="1"/>
  <c r="P119" i="16"/>
  <c r="Q119" i="16" s="1"/>
  <c r="R119" i="16" s="1"/>
  <c r="K214" i="16"/>
  <c r="L214" i="16" s="1"/>
  <c r="U264" i="16"/>
  <c r="V264" i="16" s="1"/>
  <c r="W264" i="16" s="1"/>
  <c r="X64" i="14"/>
  <c r="K115" i="14"/>
  <c r="L115" i="14" s="1"/>
  <c r="H115" i="14"/>
  <c r="I115" i="14" s="1"/>
  <c r="U119" i="16"/>
  <c r="V119" i="16" s="1"/>
  <c r="W119" i="16" s="1"/>
  <c r="D36" i="15"/>
  <c r="I162" i="14"/>
  <c r="F123" i="19" s="1"/>
  <c r="G123" i="19" s="1"/>
  <c r="K264" i="16"/>
  <c r="L264" i="16" s="1"/>
  <c r="AG64" i="14"/>
  <c r="N115" i="14"/>
  <c r="O115" i="14" s="1"/>
  <c r="R57" i="14"/>
  <c r="F53" i="19" s="1"/>
  <c r="G53" i="19" s="1"/>
  <c r="N34" i="15"/>
  <c r="O34" i="15" s="1"/>
  <c r="L64" i="14"/>
  <c r="V260" i="16"/>
  <c r="K71" i="16"/>
  <c r="L71" i="16" s="1"/>
  <c r="L67" i="16"/>
  <c r="X57" i="14"/>
  <c r="F55" i="19" s="1"/>
  <c r="G55" i="19" s="1"/>
  <c r="K34" i="15"/>
  <c r="Q210" i="16"/>
  <c r="U214" i="16"/>
  <c r="V214" i="16" s="1"/>
  <c r="W214" i="16" s="1"/>
  <c r="K166" i="14"/>
  <c r="L166" i="14" s="1"/>
  <c r="G30" i="14" s="1"/>
  <c r="K167" i="16"/>
  <c r="P71" i="16"/>
  <c r="Q71" i="16" s="1"/>
  <c r="U167" i="16"/>
  <c r="V167" i="16" s="1"/>
  <c r="K27" i="16" s="1"/>
  <c r="N27" i="16" s="1"/>
  <c r="O27" i="16" s="1"/>
  <c r="J10" i="15" s="1"/>
  <c r="K39" i="16"/>
  <c r="N39" i="16" s="1"/>
  <c r="O39" i="16" s="1"/>
  <c r="J31" i="14" s="1"/>
  <c r="A49" i="21"/>
  <c r="D49" i="21"/>
  <c r="D104" i="22"/>
  <c r="B114" i="6"/>
  <c r="B186" i="16"/>
  <c r="H185" i="16"/>
  <c r="U31" i="24"/>
  <c r="F31" i="24" s="1"/>
  <c r="V30" i="24"/>
  <c r="Q309" i="16"/>
  <c r="B228" i="16"/>
  <c r="H227" i="16"/>
  <c r="Q67" i="16"/>
  <c r="B80" i="14"/>
  <c r="F79" i="14"/>
  <c r="G35" i="27"/>
  <c r="C34" i="27"/>
  <c r="K75" i="24"/>
  <c r="F74" i="24"/>
  <c r="K313" i="16"/>
  <c r="M126" i="27"/>
  <c r="E136" i="19" s="1"/>
  <c r="J42" i="28"/>
  <c r="E57" i="20" s="1"/>
  <c r="I13" i="20"/>
  <c r="J14" i="19"/>
  <c r="I14" i="19"/>
  <c r="K14" i="19"/>
  <c r="L14" i="19"/>
  <c r="I110" i="14"/>
  <c r="F90" i="19" s="1"/>
  <c r="A229" i="22"/>
  <c r="A232" i="22" s="1"/>
  <c r="D229" i="22"/>
  <c r="V210" i="16"/>
  <c r="A45" i="25"/>
  <c r="D24" i="21"/>
  <c r="B35" i="6"/>
  <c r="B36" i="6" s="1"/>
  <c r="P264" i="16"/>
  <c r="Q264" i="16" s="1"/>
  <c r="V67" i="16"/>
  <c r="H217" i="14"/>
  <c r="D228" i="22"/>
  <c r="Q163" i="16"/>
  <c r="J126" i="27"/>
  <c r="E135" i="19" s="1"/>
  <c r="F30" i="24"/>
  <c r="AG57" i="14"/>
  <c r="O110" i="14"/>
  <c r="F92" i="19" s="1"/>
  <c r="Z41" i="24"/>
  <c r="AA40" i="24"/>
  <c r="C116" i="27"/>
  <c r="G117" i="27"/>
  <c r="AD57" i="14"/>
  <c r="F57" i="19" s="1"/>
  <c r="G57" i="19" s="1"/>
  <c r="L57" i="14"/>
  <c r="F51" i="19" s="1"/>
  <c r="K34" i="24"/>
  <c r="L33" i="24"/>
  <c r="AE36" i="24"/>
  <c r="AF35" i="24"/>
  <c r="J159" i="27"/>
  <c r="C158" i="27"/>
  <c r="D81" i="24"/>
  <c r="I82" i="24"/>
  <c r="J82" i="24"/>
  <c r="E82" i="24" s="1"/>
  <c r="M169" i="27"/>
  <c r="E169" i="19" s="1"/>
  <c r="O213" i="14"/>
  <c r="F158" i="19" s="1"/>
  <c r="AA57" i="14"/>
  <c r="F56" i="19" s="1"/>
  <c r="G56" i="19" s="1"/>
  <c r="B236" i="14"/>
  <c r="F235" i="14"/>
  <c r="M73" i="27"/>
  <c r="B331" i="16"/>
  <c r="H330" i="16"/>
  <c r="I29" i="15"/>
  <c r="F46" i="20" s="1"/>
  <c r="E115" i="6"/>
  <c r="G34" i="28"/>
  <c r="C33" i="28"/>
  <c r="AJ35" i="24"/>
  <c r="AK34" i="24"/>
  <c r="L260" i="16"/>
  <c r="P32" i="24"/>
  <c r="Q31" i="24"/>
  <c r="I57" i="14"/>
  <c r="F50" i="19" s="1"/>
  <c r="Q115" i="16"/>
  <c r="H84" i="16"/>
  <c r="B85" i="16"/>
  <c r="L210" i="16"/>
  <c r="L115" i="16"/>
  <c r="O162" i="14"/>
  <c r="F125" i="19" s="1"/>
  <c r="B236" i="6"/>
  <c r="E121" i="6" s="1"/>
  <c r="E236" i="6"/>
  <c r="F48" i="15"/>
  <c r="B49" i="15"/>
  <c r="K217" i="14"/>
  <c r="L217" i="14" s="1"/>
  <c r="G36" i="14" s="1"/>
  <c r="D37" i="15" l="1"/>
  <c r="R167" i="16"/>
  <c r="A92" i="29"/>
  <c r="A94" i="29" s="1"/>
  <c r="A95" i="29" s="1"/>
  <c r="A96" i="29" s="1"/>
  <c r="A97" i="29" s="1"/>
  <c r="A101" i="29" s="1"/>
  <c r="A102" i="29" s="1"/>
  <c r="D65" i="14"/>
  <c r="I65" i="14"/>
  <c r="K33" i="16"/>
  <c r="N33" i="16" s="1"/>
  <c r="O33" i="16" s="1"/>
  <c r="J25" i="14" s="1"/>
  <c r="E167" i="16"/>
  <c r="D34" i="15"/>
  <c r="K21" i="16"/>
  <c r="N21" i="16" s="1"/>
  <c r="O21" i="16" s="1"/>
  <c r="W167" i="16"/>
  <c r="K16" i="16"/>
  <c r="N16" i="16" s="1"/>
  <c r="O16" i="16" s="1"/>
  <c r="J10" i="14" s="1"/>
  <c r="K32" i="16"/>
  <c r="N32" i="16" s="1"/>
  <c r="O32" i="16" s="1"/>
  <c r="J24" i="14" s="1"/>
  <c r="E119" i="16"/>
  <c r="E214" i="16"/>
  <c r="E64" i="14"/>
  <c r="W71" i="16"/>
  <c r="L34" i="15"/>
  <c r="E34" i="15" s="1"/>
  <c r="E115" i="14"/>
  <c r="L167" i="16"/>
  <c r="F167" i="16" s="1"/>
  <c r="D115" i="14"/>
  <c r="F61" i="19"/>
  <c r="F74" i="19" s="1"/>
  <c r="E71" i="16"/>
  <c r="I36" i="15"/>
  <c r="M71" i="16"/>
  <c r="K9" i="16"/>
  <c r="N9" i="16" s="1"/>
  <c r="O9" i="16" s="1"/>
  <c r="F127" i="19"/>
  <c r="F140" i="19" s="1"/>
  <c r="D166" i="14"/>
  <c r="D64" i="14"/>
  <c r="F49" i="15"/>
  <c r="B50" i="15"/>
  <c r="G50" i="19"/>
  <c r="AJ36" i="24"/>
  <c r="AK35" i="24"/>
  <c r="C34" i="28"/>
  <c r="G35" i="28"/>
  <c r="H331" i="16"/>
  <c r="B332" i="16"/>
  <c r="G169" i="19"/>
  <c r="J160" i="27"/>
  <c r="C159" i="27"/>
  <c r="C117" i="27"/>
  <c r="G118" i="27"/>
  <c r="G29" i="14"/>
  <c r="E166" i="14"/>
  <c r="B86" i="16"/>
  <c r="H85" i="16"/>
  <c r="M74" i="27"/>
  <c r="C73" i="27"/>
  <c r="G158" i="19"/>
  <c r="G160" i="19" s="1"/>
  <c r="I83" i="24"/>
  <c r="D82" i="24"/>
  <c r="J83" i="24"/>
  <c r="E83" i="24" s="1"/>
  <c r="AE37" i="24"/>
  <c r="AF36" i="24"/>
  <c r="K35" i="24"/>
  <c r="L34" i="24"/>
  <c r="AA41" i="24"/>
  <c r="AA44" i="24" s="1"/>
  <c r="Y47" i="24" s="1"/>
  <c r="Z44" i="24"/>
  <c r="G135" i="19"/>
  <c r="D217" i="14"/>
  <c r="I217" i="14"/>
  <c r="B37" i="6"/>
  <c r="B38" i="6" s="1"/>
  <c r="B39" i="6" s="1"/>
  <c r="F94" i="19"/>
  <c r="F107" i="19" s="1"/>
  <c r="G90" i="19"/>
  <c r="G57" i="20"/>
  <c r="G136" i="19"/>
  <c r="B81" i="14"/>
  <c r="F80" i="14"/>
  <c r="A52" i="21"/>
  <c r="D58" i="21"/>
  <c r="R71" i="16"/>
  <c r="K10" i="16"/>
  <c r="F71" i="16"/>
  <c r="E264" i="16"/>
  <c r="J11" i="14"/>
  <c r="F75" i="24"/>
  <c r="K76" i="24"/>
  <c r="U32" i="24"/>
  <c r="V31" i="24"/>
  <c r="B115" i="6"/>
  <c r="B116" i="6" s="1"/>
  <c r="F119" i="16"/>
  <c r="K15" i="16"/>
  <c r="M119" i="16"/>
  <c r="G119" i="16" s="1"/>
  <c r="P33" i="24"/>
  <c r="Q32" i="24"/>
  <c r="B237" i="14"/>
  <c r="F236" i="14"/>
  <c r="K38" i="16"/>
  <c r="N38" i="16" s="1"/>
  <c r="O38" i="16" s="1"/>
  <c r="J30" i="14" s="1"/>
  <c r="R264" i="16"/>
  <c r="A46" i="25"/>
  <c r="D25" i="21"/>
  <c r="E313" i="16"/>
  <c r="L313" i="16"/>
  <c r="G36" i="27"/>
  <c r="C35" i="27"/>
  <c r="H228" i="16"/>
  <c r="B229" i="16"/>
  <c r="M214" i="16"/>
  <c r="G214" i="16" s="1"/>
  <c r="K31" i="16"/>
  <c r="F214" i="16"/>
  <c r="G125" i="19"/>
  <c r="G127" i="19" s="1"/>
  <c r="G51" i="19"/>
  <c r="G92" i="19"/>
  <c r="A233" i="22"/>
  <c r="A234" i="22" s="1"/>
  <c r="A235" i="22" s="1"/>
  <c r="A236" i="22" s="1"/>
  <c r="D237" i="22"/>
  <c r="F50" i="20"/>
  <c r="G46" i="20"/>
  <c r="G50" i="20" s="1"/>
  <c r="F160" i="19"/>
  <c r="F173" i="19" s="1"/>
  <c r="D43" i="5"/>
  <c r="B187" i="16"/>
  <c r="H186" i="16"/>
  <c r="M264" i="16"/>
  <c r="K37" i="16"/>
  <c r="F264" i="16"/>
  <c r="E53" i="6" l="1"/>
  <c r="E54" i="6"/>
  <c r="A106" i="29"/>
  <c r="A107" i="29" s="1"/>
  <c r="E55" i="6" s="1"/>
  <c r="J19" i="14"/>
  <c r="J17" i="14"/>
  <c r="E65" i="14"/>
  <c r="G9" i="14"/>
  <c r="G20" i="14" s="1"/>
  <c r="K25" i="16"/>
  <c r="N25" i="16" s="1"/>
  <c r="G264" i="16"/>
  <c r="E36" i="15"/>
  <c r="M167" i="16"/>
  <c r="G167" i="16" s="1"/>
  <c r="F222" i="6"/>
  <c r="F223" i="6" s="1"/>
  <c r="G71" i="16"/>
  <c r="G61" i="19"/>
  <c r="G94" i="19"/>
  <c r="A47" i="25"/>
  <c r="D26" i="21"/>
  <c r="P34" i="24"/>
  <c r="Q33" i="24"/>
  <c r="U33" i="24"/>
  <c r="V32" i="24"/>
  <c r="D14" i="4"/>
  <c r="A53" i="21"/>
  <c r="G35" i="14"/>
  <c r="E217" i="14"/>
  <c r="G32" i="14"/>
  <c r="H229" i="16"/>
  <c r="B230" i="16"/>
  <c r="B238" i="14"/>
  <c r="F237" i="14"/>
  <c r="E116" i="6"/>
  <c r="K77" i="24"/>
  <c r="F76" i="24"/>
  <c r="N10" i="16"/>
  <c r="K12" i="16"/>
  <c r="M75" i="27"/>
  <c r="C74" i="27"/>
  <c r="H86" i="16"/>
  <c r="B87" i="16"/>
  <c r="B333" i="16"/>
  <c r="H332" i="16"/>
  <c r="AJ37" i="24"/>
  <c r="AK36" i="24"/>
  <c r="F50" i="15"/>
  <c r="B51" i="15"/>
  <c r="K34" i="16"/>
  <c r="N31" i="16"/>
  <c r="E23" i="20"/>
  <c r="A237" i="22"/>
  <c r="A239" i="22" s="1"/>
  <c r="D113" i="22" s="1"/>
  <c r="F313" i="16"/>
  <c r="K43" i="16"/>
  <c r="W313" i="16"/>
  <c r="M313" i="16"/>
  <c r="R313" i="16"/>
  <c r="B118" i="6"/>
  <c r="B120" i="6" s="1"/>
  <c r="E120" i="6"/>
  <c r="G11" i="15"/>
  <c r="K36" i="24"/>
  <c r="L35" i="24"/>
  <c r="G119" i="27"/>
  <c r="C118" i="27"/>
  <c r="N37" i="16"/>
  <c r="K40" i="16"/>
  <c r="H187" i="16"/>
  <c r="B188" i="16"/>
  <c r="H188" i="16" s="1"/>
  <c r="E24" i="19"/>
  <c r="F32" i="24"/>
  <c r="K22" i="16"/>
  <c r="N15" i="16"/>
  <c r="B82" i="14"/>
  <c r="F81" i="14"/>
  <c r="E39" i="6"/>
  <c r="D83" i="24"/>
  <c r="I84" i="24"/>
  <c r="J84" i="24"/>
  <c r="E84" i="24" s="1"/>
  <c r="J161" i="27"/>
  <c r="C160" i="27"/>
  <c r="G36" i="28"/>
  <c r="C35" i="28"/>
  <c r="C36" i="27"/>
  <c r="G37" i="27"/>
  <c r="B42" i="6"/>
  <c r="AE38" i="24"/>
  <c r="AF37" i="24"/>
  <c r="K28" i="16" l="1"/>
  <c r="H222" i="6"/>
  <c r="H223" i="6" s="1"/>
  <c r="G313" i="16"/>
  <c r="N22" i="16"/>
  <c r="O15" i="16"/>
  <c r="G38" i="27"/>
  <c r="C37" i="27"/>
  <c r="F51" i="15"/>
  <c r="B52" i="15"/>
  <c r="K78" i="24"/>
  <c r="F77" i="24"/>
  <c r="P35" i="24"/>
  <c r="Q34" i="24"/>
  <c r="D84" i="24"/>
  <c r="I85" i="24"/>
  <c r="J85" i="24"/>
  <c r="E85" i="24" s="1"/>
  <c r="F82" i="14"/>
  <c r="B83" i="14"/>
  <c r="N40" i="16"/>
  <c r="O37" i="16"/>
  <c r="G120" i="27"/>
  <c r="C119" i="27"/>
  <c r="K37" i="24"/>
  <c r="L36" i="24"/>
  <c r="B121" i="6"/>
  <c r="B123" i="6" s="1"/>
  <c r="D45" i="5" s="1"/>
  <c r="D14" i="5"/>
  <c r="N43" i="16"/>
  <c r="K46" i="16"/>
  <c r="K47" i="16" s="1"/>
  <c r="N34" i="16"/>
  <c r="O31" i="16"/>
  <c r="H333" i="16"/>
  <c r="B334" i="16"/>
  <c r="O10" i="16"/>
  <c r="O12" i="16" s="1"/>
  <c r="N12" i="16"/>
  <c r="U34" i="24"/>
  <c r="F34" i="24" s="1"/>
  <c r="V33" i="24"/>
  <c r="AE39" i="24"/>
  <c r="AF38" i="24"/>
  <c r="H230" i="16"/>
  <c r="B231" i="16"/>
  <c r="G38" i="14"/>
  <c r="B43" i="6"/>
  <c r="D34" i="22"/>
  <c r="G37" i="28"/>
  <c r="C36" i="28"/>
  <c r="J162" i="27"/>
  <c r="C161" i="27"/>
  <c r="H87" i="16"/>
  <c r="B88" i="16"/>
  <c r="D15" i="4"/>
  <c r="A54" i="21"/>
  <c r="F33" i="24"/>
  <c r="AJ38" i="24"/>
  <c r="AK37" i="24"/>
  <c r="M76" i="27"/>
  <c r="C75" i="27"/>
  <c r="F238" i="14"/>
  <c r="B239" i="14"/>
  <c r="N28" i="16"/>
  <c r="O25" i="16"/>
  <c r="A55" i="21" l="1"/>
  <c r="D16" i="4"/>
  <c r="H231" i="16"/>
  <c r="B232" i="16"/>
  <c r="AE40" i="24"/>
  <c r="AF39" i="24"/>
  <c r="P36" i="24"/>
  <c r="Q35" i="24"/>
  <c r="G39" i="27"/>
  <c r="C38" i="27"/>
  <c r="F239" i="14"/>
  <c r="B240" i="14"/>
  <c r="F240" i="14" s="1"/>
  <c r="AJ39" i="24"/>
  <c r="AK38" i="24"/>
  <c r="N46" i="16"/>
  <c r="O43" i="16"/>
  <c r="F78" i="24"/>
  <c r="K79" i="24"/>
  <c r="J8" i="15"/>
  <c r="J11" i="15" s="1"/>
  <c r="O28" i="16"/>
  <c r="H88" i="16"/>
  <c r="B89" i="16"/>
  <c r="N47" i="16"/>
  <c r="K224" i="6" s="1"/>
  <c r="O34" i="16"/>
  <c r="J23" i="14"/>
  <c r="J26" i="14" s="1"/>
  <c r="E123" i="6"/>
  <c r="K38" i="24"/>
  <c r="L37" i="24"/>
  <c r="F52" i="15"/>
  <c r="B53" i="15"/>
  <c r="C120" i="27"/>
  <c r="G121" i="27"/>
  <c r="I86" i="24"/>
  <c r="D85" i="24"/>
  <c r="J86" i="24"/>
  <c r="E86" i="24" s="1"/>
  <c r="G38" i="28"/>
  <c r="C37" i="28"/>
  <c r="B335" i="16"/>
  <c r="H335" i="16" s="1"/>
  <c r="H334" i="16"/>
  <c r="J29" i="14"/>
  <c r="J32" i="14" s="1"/>
  <c r="O40" i="16"/>
  <c r="F83" i="14"/>
  <c r="B84" i="14"/>
  <c r="F84" i="14" s="1"/>
  <c r="O22" i="16"/>
  <c r="J18" i="14" s="1"/>
  <c r="J9" i="14"/>
  <c r="M77" i="27"/>
  <c r="C76" i="27"/>
  <c r="D35" i="22"/>
  <c r="B44" i="6"/>
  <c r="J163" i="27"/>
  <c r="C162" i="27"/>
  <c r="U35" i="24"/>
  <c r="V34" i="24"/>
  <c r="J20" i="14" l="1"/>
  <c r="U36" i="24"/>
  <c r="V35" i="24"/>
  <c r="H89" i="16"/>
  <c r="B90" i="16"/>
  <c r="F79" i="24"/>
  <c r="K80" i="24"/>
  <c r="J164" i="27"/>
  <c r="C163" i="27"/>
  <c r="AJ40" i="24"/>
  <c r="AK39" i="24"/>
  <c r="D36" i="22"/>
  <c r="B45" i="6"/>
  <c r="B46" i="6" s="1"/>
  <c r="E232" i="6"/>
  <c r="D86" i="24"/>
  <c r="I87" i="24"/>
  <c r="J87" i="24"/>
  <c r="E87" i="24" s="1"/>
  <c r="K39" i="24"/>
  <c r="L38" i="24"/>
  <c r="J35" i="14"/>
  <c r="J38" i="14" s="1"/>
  <c r="O46" i="16"/>
  <c r="O47" i="16" s="1"/>
  <c r="P37" i="24"/>
  <c r="Q36" i="24"/>
  <c r="F36" i="24"/>
  <c r="B233" i="16"/>
  <c r="H232" i="16"/>
  <c r="M78" i="27"/>
  <c r="C77" i="27"/>
  <c r="G39" i="28"/>
  <c r="C38" i="28"/>
  <c r="F53" i="15"/>
  <c r="B54" i="15"/>
  <c r="M236" i="6"/>
  <c r="M121" i="6" s="1"/>
  <c r="H225" i="6"/>
  <c r="M116" i="6" s="1"/>
  <c r="C39" i="27"/>
  <c r="G40" i="27"/>
  <c r="F35" i="24"/>
  <c r="AE41" i="24"/>
  <c r="AF40" i="24"/>
  <c r="D17" i="4"/>
  <c r="A56" i="21"/>
  <c r="A58" i="21" s="1"/>
  <c r="D56" i="21"/>
  <c r="G122" i="27"/>
  <c r="C121" i="27"/>
  <c r="Q120" i="6" l="1"/>
  <c r="M120" i="6"/>
  <c r="M123" i="6" s="1"/>
  <c r="H45" i="5" s="1"/>
  <c r="H47" i="5" s="1"/>
  <c r="G40" i="28"/>
  <c r="C39" i="28"/>
  <c r="AJ41" i="24"/>
  <c r="AK40" i="24"/>
  <c r="U37" i="24"/>
  <c r="V36" i="24"/>
  <c r="G123" i="27"/>
  <c r="C122" i="27"/>
  <c r="M79" i="27"/>
  <c r="C78" i="27"/>
  <c r="D87" i="24"/>
  <c r="I88" i="24"/>
  <c r="J88" i="24"/>
  <c r="J165" i="27"/>
  <c r="C164" i="27"/>
  <c r="H90" i="16"/>
  <c r="B91" i="16"/>
  <c r="AF41" i="24"/>
  <c r="AF44" i="24" s="1"/>
  <c r="AD47" i="24" s="1"/>
  <c r="AE44" i="24"/>
  <c r="C40" i="27"/>
  <c r="C42" i="27" s="1"/>
  <c r="G42" i="27"/>
  <c r="E68" i="19" s="1"/>
  <c r="P38" i="24"/>
  <c r="Q37" i="24"/>
  <c r="F37" i="24"/>
  <c r="K40" i="24"/>
  <c r="L39" i="24"/>
  <c r="D63" i="21"/>
  <c r="A61" i="21"/>
  <c r="A63" i="21" s="1"/>
  <c r="D20" i="4"/>
  <c r="F54" i="15"/>
  <c r="B55" i="15"/>
  <c r="B234" i="16"/>
  <c r="H233" i="16"/>
  <c r="F80" i="24"/>
  <c r="K81" i="24"/>
  <c r="B47" i="6"/>
  <c r="D37" i="22"/>
  <c r="E47" i="6"/>
  <c r="H18" i="14" l="1"/>
  <c r="I18" i="14" s="1"/>
  <c r="K18" i="14" s="1"/>
  <c r="H17" i="14"/>
  <c r="I17" i="14" s="1"/>
  <c r="K17" i="14" s="1"/>
  <c r="H14" i="5"/>
  <c r="F81" i="24"/>
  <c r="K82" i="24"/>
  <c r="M80" i="27"/>
  <c r="C79" i="27"/>
  <c r="C123" i="27"/>
  <c r="G124" i="27"/>
  <c r="J166" i="27"/>
  <c r="C165" i="27"/>
  <c r="P39" i="24"/>
  <c r="Q38" i="24"/>
  <c r="F38" i="24"/>
  <c r="E88" i="24"/>
  <c r="E90" i="24" s="1"/>
  <c r="E84" i="22" s="1"/>
  <c r="J90" i="24"/>
  <c r="U38" i="24"/>
  <c r="V37" i="24"/>
  <c r="B49" i="6"/>
  <c r="B235" i="16"/>
  <c r="H234" i="16"/>
  <c r="D65" i="21"/>
  <c r="D67" i="21"/>
  <c r="A64" i="21"/>
  <c r="A65" i="21" s="1"/>
  <c r="A66" i="21" s="1"/>
  <c r="D66" i="21"/>
  <c r="D64" i="21"/>
  <c r="K41" i="24"/>
  <c r="L40" i="24"/>
  <c r="G68" i="19"/>
  <c r="G72" i="19" s="1"/>
  <c r="G74" i="19" s="1"/>
  <c r="E72" i="19"/>
  <c r="E74" i="19" s="1"/>
  <c r="D88" i="24"/>
  <c r="D91" i="24" s="1"/>
  <c r="I91" i="24"/>
  <c r="AJ44" i="24"/>
  <c r="AK41" i="24"/>
  <c r="AK44" i="24" s="1"/>
  <c r="AI47" i="24" s="1"/>
  <c r="C40" i="28"/>
  <c r="C42" i="28" s="1"/>
  <c r="G42" i="28"/>
  <c r="E56" i="20" s="1"/>
  <c r="H24" i="14"/>
  <c r="I24" i="14" s="1"/>
  <c r="K24" i="14" s="1"/>
  <c r="H37" i="14"/>
  <c r="I37" i="14" s="1"/>
  <c r="K37" i="14" s="1"/>
  <c r="H10" i="15"/>
  <c r="I10" i="15" s="1"/>
  <c r="K10" i="15" s="1"/>
  <c r="H8" i="15"/>
  <c r="I8" i="15" s="1"/>
  <c r="H15" i="14"/>
  <c r="I15" i="14" s="1"/>
  <c r="K15" i="14" s="1"/>
  <c r="H10" i="14"/>
  <c r="I10" i="14" s="1"/>
  <c r="K10" i="14" s="1"/>
  <c r="H31" i="14"/>
  <c r="I31" i="14" s="1"/>
  <c r="K31" i="14" s="1"/>
  <c r="H11" i="14"/>
  <c r="I11" i="14" s="1"/>
  <c r="K11" i="14" s="1"/>
  <c r="H35" i="14"/>
  <c r="I35" i="14" s="1"/>
  <c r="H9" i="15"/>
  <c r="I9" i="15" s="1"/>
  <c r="K9" i="15" s="1"/>
  <c r="H25" i="14"/>
  <c r="I25" i="14" s="1"/>
  <c r="K25" i="14" s="1"/>
  <c r="H16" i="14"/>
  <c r="I16" i="14" s="1"/>
  <c r="K16" i="14" s="1"/>
  <c r="H13" i="14"/>
  <c r="I13" i="14" s="1"/>
  <c r="K13" i="14" s="1"/>
  <c r="H12" i="14"/>
  <c r="I12" i="14" s="1"/>
  <c r="K12" i="14" s="1"/>
  <c r="H30" i="14"/>
  <c r="I30" i="14" s="1"/>
  <c r="K30" i="14" s="1"/>
  <c r="H9" i="14"/>
  <c r="I9" i="14" s="1"/>
  <c r="H14" i="14"/>
  <c r="I14" i="14" s="1"/>
  <c r="K14" i="14" s="1"/>
  <c r="H29" i="14"/>
  <c r="I29" i="14" s="1"/>
  <c r="H19" i="14"/>
  <c r="I19" i="14" s="1"/>
  <c r="K19" i="14" s="1"/>
  <c r="H23" i="14"/>
  <c r="I23" i="14" s="1"/>
  <c r="H36" i="14"/>
  <c r="I36" i="14" s="1"/>
  <c r="K36" i="14" s="1"/>
  <c r="F55" i="15"/>
  <c r="B56" i="15"/>
  <c r="F56" i="15" s="1"/>
  <c r="H91" i="16"/>
  <c r="B92" i="16"/>
  <c r="I20" i="14" l="1"/>
  <c r="H92" i="16"/>
  <c r="B93" i="16"/>
  <c r="H93" i="16" s="1"/>
  <c r="K9" i="14"/>
  <c r="G56" i="20"/>
  <c r="G60" i="20" s="1"/>
  <c r="G62" i="20" s="1"/>
  <c r="E60" i="20"/>
  <c r="E62" i="20" s="1"/>
  <c r="C124" i="27"/>
  <c r="C126" i="27" s="1"/>
  <c r="G126" i="27"/>
  <c r="E134" i="19" s="1"/>
  <c r="J15" i="19"/>
  <c r="L15" i="19"/>
  <c r="N10" i="28"/>
  <c r="H10" i="27"/>
  <c r="N94" i="27"/>
  <c r="I15" i="19"/>
  <c r="K137" i="27"/>
  <c r="K94" i="27"/>
  <c r="K10" i="28"/>
  <c r="N10" i="27"/>
  <c r="H137" i="27"/>
  <c r="H10" i="28"/>
  <c r="E16" i="22"/>
  <c r="N137" i="27"/>
  <c r="K51" i="27"/>
  <c r="K15" i="19"/>
  <c r="K10" i="27"/>
  <c r="H94" i="27"/>
  <c r="I14" i="20"/>
  <c r="H51" i="27"/>
  <c r="N51" i="27"/>
  <c r="B52" i="6"/>
  <c r="D41" i="22"/>
  <c r="I7" i="20"/>
  <c r="L8" i="19"/>
  <c r="J8" i="19"/>
  <c r="K8" i="19"/>
  <c r="I8" i="19"/>
  <c r="P40" i="24"/>
  <c r="Q39" i="24"/>
  <c r="J167" i="27"/>
  <c r="C166" i="27"/>
  <c r="M81" i="27"/>
  <c r="C80" i="27"/>
  <c r="E88" i="22"/>
  <c r="F84" i="22"/>
  <c r="F88" i="22" s="1"/>
  <c r="K84" i="22"/>
  <c r="K88" i="22" s="1"/>
  <c r="D68" i="21"/>
  <c r="A67" i="21"/>
  <c r="B236" i="16"/>
  <c r="H236" i="16" s="1"/>
  <c r="H235" i="16"/>
  <c r="K83" i="24"/>
  <c r="F82" i="24"/>
  <c r="K29" i="14"/>
  <c r="K32" i="14" s="1"/>
  <c r="E18" i="5" s="1"/>
  <c r="E37" i="5" s="1"/>
  <c r="I39" i="18" s="1"/>
  <c r="I32" i="14"/>
  <c r="K35" i="14"/>
  <c r="K38" i="14" s="1"/>
  <c r="E19" i="5" s="1"/>
  <c r="E38" i="5" s="1"/>
  <c r="J39" i="18" s="1"/>
  <c r="I38" i="14"/>
  <c r="K23" i="14"/>
  <c r="K26" i="14" s="1"/>
  <c r="E17" i="5" s="1"/>
  <c r="E36" i="5" s="1"/>
  <c r="H39" i="18" s="1"/>
  <c r="I26" i="14"/>
  <c r="K8" i="15"/>
  <c r="K11" i="15" s="1"/>
  <c r="E20" i="5" s="1"/>
  <c r="I11" i="15"/>
  <c r="L41" i="24"/>
  <c r="L44" i="24" s="1"/>
  <c r="J47" i="24" s="1"/>
  <c r="K44" i="24"/>
  <c r="U39" i="24"/>
  <c r="V38" i="24"/>
  <c r="H46" i="20" l="1"/>
  <c r="H59" i="19"/>
  <c r="I59" i="19" s="1"/>
  <c r="H58" i="19"/>
  <c r="I58" i="19" s="1"/>
  <c r="K20" i="14"/>
  <c r="E16" i="5" s="1"/>
  <c r="H56" i="19"/>
  <c r="I56" i="19" s="1"/>
  <c r="H57" i="19"/>
  <c r="I57" i="19" s="1"/>
  <c r="N17" i="27"/>
  <c r="O17" i="27" s="1"/>
  <c r="I40" i="18"/>
  <c r="I70" i="18" s="1"/>
  <c r="P41" i="24"/>
  <c r="Q40" i="24"/>
  <c r="N58" i="27"/>
  <c r="O58" i="27" s="1"/>
  <c r="K17" i="27"/>
  <c r="L17" i="27" s="1"/>
  <c r="F16" i="22"/>
  <c r="E19" i="22"/>
  <c r="K17" i="28"/>
  <c r="L17" i="28" s="1"/>
  <c r="N101" i="27"/>
  <c r="O101" i="27" s="1"/>
  <c r="H90" i="19"/>
  <c r="I90" i="19" s="1"/>
  <c r="H91" i="19"/>
  <c r="I91" i="19" s="1"/>
  <c r="H92" i="19"/>
  <c r="I92" i="19" s="1"/>
  <c r="H101" i="27"/>
  <c r="U40" i="24"/>
  <c r="V39" i="24"/>
  <c r="D69" i="21"/>
  <c r="A68" i="21"/>
  <c r="A69" i="21" s="1"/>
  <c r="A72" i="21" s="1"/>
  <c r="C81" i="27"/>
  <c r="C83" i="27" s="1"/>
  <c r="M83" i="27"/>
  <c r="E103" i="19" s="1"/>
  <c r="C167" i="27"/>
  <c r="C169" i="27" s="1"/>
  <c r="J169" i="27"/>
  <c r="E168" i="19" s="1"/>
  <c r="H58" i="27"/>
  <c r="H59" i="27" s="1"/>
  <c r="H123" i="19"/>
  <c r="I123" i="19" s="1"/>
  <c r="H125" i="19"/>
  <c r="I125" i="19" s="1"/>
  <c r="H124" i="19"/>
  <c r="I124" i="19" s="1"/>
  <c r="H17" i="28"/>
  <c r="K101" i="27"/>
  <c r="L101" i="27" s="1"/>
  <c r="H17" i="27"/>
  <c r="H18" i="27" s="1"/>
  <c r="H19" i="27" s="1"/>
  <c r="H20" i="27" s="1"/>
  <c r="G134" i="19"/>
  <c r="G138" i="19" s="1"/>
  <c r="G140" i="19" s="1"/>
  <c r="E138" i="19"/>
  <c r="E140" i="19" s="1"/>
  <c r="B53" i="6"/>
  <c r="N144" i="27"/>
  <c r="O144" i="27" s="1"/>
  <c r="H54" i="19"/>
  <c r="I54" i="19" s="1"/>
  <c r="H53" i="19"/>
  <c r="I53" i="19" s="1"/>
  <c r="H51" i="19"/>
  <c r="I51" i="19" s="1"/>
  <c r="H50" i="19"/>
  <c r="I50" i="19" s="1"/>
  <c r="H55" i="19"/>
  <c r="I55" i="19" s="1"/>
  <c r="H52" i="19"/>
  <c r="I52" i="19" s="1"/>
  <c r="H158" i="19"/>
  <c r="I158" i="19" s="1"/>
  <c r="H157" i="19"/>
  <c r="I157" i="19" s="1"/>
  <c r="H156" i="19"/>
  <c r="I156" i="19" s="1"/>
  <c r="J40" i="18"/>
  <c r="J70" i="18" s="1"/>
  <c r="K84" i="24"/>
  <c r="F83" i="24"/>
  <c r="F39" i="24"/>
  <c r="H48" i="20"/>
  <c r="I48" i="20" s="1"/>
  <c r="I46" i="20"/>
  <c r="H47" i="20"/>
  <c r="I47" i="20" s="1"/>
  <c r="K58" i="27"/>
  <c r="L58" i="27" s="1"/>
  <c r="H144" i="27"/>
  <c r="K144" i="27"/>
  <c r="L144" i="27" s="1"/>
  <c r="N17" i="28"/>
  <c r="O17" i="28" s="1"/>
  <c r="R59" i="19" l="1"/>
  <c r="J59" i="19"/>
  <c r="J58" i="19"/>
  <c r="R58" i="19"/>
  <c r="F21" i="5"/>
  <c r="H21" i="5" s="1"/>
  <c r="H23" i="5" s="1"/>
  <c r="H41" i="5" s="1"/>
  <c r="K39" i="18" s="1"/>
  <c r="K41" i="18" s="1"/>
  <c r="E35" i="5"/>
  <c r="G39" i="18" s="1"/>
  <c r="I61" i="19"/>
  <c r="R57" i="19"/>
  <c r="J57" i="19"/>
  <c r="R56" i="19"/>
  <c r="J56" i="19"/>
  <c r="K18" i="28"/>
  <c r="L18" i="28" s="1"/>
  <c r="N18" i="27"/>
  <c r="O18" i="27" s="1"/>
  <c r="K102" i="27"/>
  <c r="I41" i="18"/>
  <c r="I64" i="18" s="1"/>
  <c r="I59" i="27"/>
  <c r="H60" i="27"/>
  <c r="I20" i="27"/>
  <c r="H21" i="27"/>
  <c r="R54" i="19"/>
  <c r="J54" i="19"/>
  <c r="I17" i="28"/>
  <c r="E17" i="28" s="1"/>
  <c r="D17" i="28"/>
  <c r="R47" i="20"/>
  <c r="J47" i="20"/>
  <c r="J41" i="18"/>
  <c r="R157" i="19"/>
  <c r="J157" i="19"/>
  <c r="R50" i="19"/>
  <c r="J50" i="19"/>
  <c r="B54" i="6"/>
  <c r="D45" i="22"/>
  <c r="I18" i="27"/>
  <c r="G168" i="19"/>
  <c r="G171" i="19" s="1"/>
  <c r="G173" i="19" s="1"/>
  <c r="E171" i="19"/>
  <c r="E173" i="19" s="1"/>
  <c r="R92" i="19"/>
  <c r="J92" i="19"/>
  <c r="F19" i="22"/>
  <c r="K16" i="22"/>
  <c r="R156" i="19"/>
  <c r="I160" i="19"/>
  <c r="J156" i="19"/>
  <c r="I19" i="27"/>
  <c r="I127" i="19"/>
  <c r="R123" i="19"/>
  <c r="J123" i="19"/>
  <c r="D58" i="27"/>
  <c r="I58" i="27"/>
  <c r="E58" i="27" s="1"/>
  <c r="L40" i="18"/>
  <c r="I101" i="27"/>
  <c r="E101" i="27" s="1"/>
  <c r="D101" i="27"/>
  <c r="Q41" i="24"/>
  <c r="Q44" i="24" s="1"/>
  <c r="O47" i="24" s="1"/>
  <c r="P44" i="24"/>
  <c r="R46" i="20"/>
  <c r="I50" i="20"/>
  <c r="J46" i="20"/>
  <c r="R158" i="19"/>
  <c r="J158" i="19"/>
  <c r="R51" i="19"/>
  <c r="J51" i="19"/>
  <c r="N145" i="27"/>
  <c r="R124" i="19"/>
  <c r="J124" i="19"/>
  <c r="U41" i="24"/>
  <c r="V40" i="24"/>
  <c r="R91" i="19"/>
  <c r="J91" i="19"/>
  <c r="K18" i="27"/>
  <c r="F40" i="24"/>
  <c r="E45" i="21"/>
  <c r="K25" i="19"/>
  <c r="I144" i="27"/>
  <c r="E144" i="27" s="1"/>
  <c r="D144" i="27"/>
  <c r="L25" i="19"/>
  <c r="E46" i="21"/>
  <c r="R55" i="19"/>
  <c r="J55" i="19"/>
  <c r="G103" i="19"/>
  <c r="G105" i="19" s="1"/>
  <c r="G107" i="19" s="1"/>
  <c r="E105" i="19"/>
  <c r="E107" i="19" s="1"/>
  <c r="N18" i="28"/>
  <c r="K145" i="27"/>
  <c r="H145" i="27"/>
  <c r="K59" i="27"/>
  <c r="R48" i="20"/>
  <c r="J48" i="20"/>
  <c r="F84" i="24"/>
  <c r="K85" i="24"/>
  <c r="R52" i="19"/>
  <c r="J52" i="19"/>
  <c r="R53" i="19"/>
  <c r="J53" i="19"/>
  <c r="I17" i="27"/>
  <c r="E17" i="27" s="1"/>
  <c r="D17" i="27"/>
  <c r="H18" i="28"/>
  <c r="R125" i="19"/>
  <c r="J125" i="19"/>
  <c r="A73" i="21"/>
  <c r="A74" i="21" s="1"/>
  <c r="H41" i="18"/>
  <c r="H102" i="27"/>
  <c r="R90" i="19"/>
  <c r="I94" i="19"/>
  <c r="J90" i="19"/>
  <c r="N102" i="27"/>
  <c r="N59" i="27"/>
  <c r="P58" i="19" l="1"/>
  <c r="P59" i="19"/>
  <c r="F39" i="5"/>
  <c r="J61" i="19"/>
  <c r="P56" i="19"/>
  <c r="P57" i="19"/>
  <c r="K19" i="28"/>
  <c r="K20" i="28" s="1"/>
  <c r="N19" i="27"/>
  <c r="R94" i="19"/>
  <c r="L102" i="27"/>
  <c r="K103" i="27"/>
  <c r="K64" i="18"/>
  <c r="K68" i="18"/>
  <c r="I68" i="18"/>
  <c r="I69" i="18" s="1"/>
  <c r="O18" i="28"/>
  <c r="N19" i="28"/>
  <c r="J50" i="20"/>
  <c r="P46" i="20"/>
  <c r="J127" i="19"/>
  <c r="P123" i="19"/>
  <c r="P47" i="20"/>
  <c r="Q47" i="20" s="1"/>
  <c r="O102" i="27"/>
  <c r="N103" i="27"/>
  <c r="K86" i="24"/>
  <c r="F85" i="24"/>
  <c r="L59" i="27"/>
  <c r="K60" i="27"/>
  <c r="O145" i="27"/>
  <c r="N146" i="27"/>
  <c r="R127" i="19"/>
  <c r="J160" i="19"/>
  <c r="P156" i="19"/>
  <c r="P92" i="19"/>
  <c r="D46" i="22"/>
  <c r="B55" i="6"/>
  <c r="P157" i="19"/>
  <c r="I60" i="27"/>
  <c r="H61" i="27"/>
  <c r="D75" i="21"/>
  <c r="A75" i="21"/>
  <c r="P54" i="19"/>
  <c r="P125" i="19"/>
  <c r="J94" i="19"/>
  <c r="P90" i="19"/>
  <c r="H68" i="18"/>
  <c r="H64" i="18"/>
  <c r="I145" i="27"/>
  <c r="D145" i="27"/>
  <c r="H146" i="27"/>
  <c r="L18" i="27"/>
  <c r="E18" i="27" s="1"/>
  <c r="K19" i="27"/>
  <c r="V41" i="24"/>
  <c r="V44" i="24" s="1"/>
  <c r="T47" i="24" s="1"/>
  <c r="E47" i="24" s="1"/>
  <c r="U44" i="24"/>
  <c r="P51" i="19"/>
  <c r="R50" i="20"/>
  <c r="K10" i="19"/>
  <c r="K12" i="19" s="1"/>
  <c r="J10" i="19"/>
  <c r="J12" i="19" s="1"/>
  <c r="I10" i="19"/>
  <c r="I12" i="19" s="1"/>
  <c r="K19" i="22"/>
  <c r="L10" i="19"/>
  <c r="L12" i="19" s="1"/>
  <c r="I9" i="20"/>
  <c r="I11" i="20" s="1"/>
  <c r="D18" i="27"/>
  <c r="P50" i="19"/>
  <c r="I21" i="27"/>
  <c r="H22" i="27"/>
  <c r="P55" i="19"/>
  <c r="P158" i="19"/>
  <c r="I102" i="27"/>
  <c r="D102" i="27"/>
  <c r="H103" i="27"/>
  <c r="P52" i="19"/>
  <c r="O59" i="27"/>
  <c r="N60" i="27"/>
  <c r="D74" i="21"/>
  <c r="D18" i="28"/>
  <c r="I18" i="28"/>
  <c r="H19" i="28"/>
  <c r="P53" i="19"/>
  <c r="L39" i="18"/>
  <c r="L41" i="18" s="1"/>
  <c r="G41" i="18"/>
  <c r="P48" i="20"/>
  <c r="Q48" i="20" s="1"/>
  <c r="L145" i="27"/>
  <c r="K146" i="27"/>
  <c r="P91" i="19"/>
  <c r="P124" i="19"/>
  <c r="F41" i="24"/>
  <c r="F44" i="24" s="1"/>
  <c r="E215" i="22" s="1"/>
  <c r="R160" i="19"/>
  <c r="R61" i="19"/>
  <c r="J68" i="18"/>
  <c r="J64" i="18"/>
  <c r="D59" i="27"/>
  <c r="K69" i="18" l="1"/>
  <c r="K70" i="18" s="1"/>
  <c r="E18" i="28"/>
  <c r="E59" i="27"/>
  <c r="E102" i="27"/>
  <c r="L19" i="28"/>
  <c r="O19" i="27"/>
  <c r="N20" i="27"/>
  <c r="L103" i="27"/>
  <c r="K104" i="27"/>
  <c r="J69" i="18"/>
  <c r="L60" i="27"/>
  <c r="K61" i="27"/>
  <c r="O60" i="27"/>
  <c r="N61" i="27"/>
  <c r="P94" i="19"/>
  <c r="I61" i="27"/>
  <c r="H62" i="27"/>
  <c r="P160" i="19"/>
  <c r="D146" i="27"/>
  <c r="I146" i="27"/>
  <c r="H147" i="27"/>
  <c r="O103" i="27"/>
  <c r="N104" i="27"/>
  <c r="L146" i="27"/>
  <c r="K147" i="27"/>
  <c r="I103" i="27"/>
  <c r="D103" i="27"/>
  <c r="H104" i="27"/>
  <c r="E145" i="27"/>
  <c r="D60" i="27"/>
  <c r="O146" i="27"/>
  <c r="N147" i="27"/>
  <c r="P127" i="19"/>
  <c r="Q46" i="20"/>
  <c r="Q50" i="20" s="1"/>
  <c r="P50" i="20"/>
  <c r="O19" i="28"/>
  <c r="N20" i="28"/>
  <c r="L20" i="28"/>
  <c r="K21" i="28"/>
  <c r="D19" i="28"/>
  <c r="I19" i="28"/>
  <c r="H20" i="28"/>
  <c r="I22" i="27"/>
  <c r="H23" i="27"/>
  <c r="L19" i="27"/>
  <c r="K20" i="27"/>
  <c r="D19" i="27"/>
  <c r="K239" i="22"/>
  <c r="I217" i="22"/>
  <c r="F215" i="22"/>
  <c r="F216" i="22" s="1"/>
  <c r="E216" i="22"/>
  <c r="G64" i="18"/>
  <c r="G68" i="18"/>
  <c r="P61" i="19"/>
  <c r="H69" i="18"/>
  <c r="H70" i="18" s="1"/>
  <c r="D47" i="22"/>
  <c r="B56" i="6"/>
  <c r="E56" i="6"/>
  <c r="F86" i="24"/>
  <c r="K87" i="24"/>
  <c r="E44" i="21" l="1"/>
  <c r="J25" i="19"/>
  <c r="G69" i="18"/>
  <c r="L69" i="18" s="1"/>
  <c r="E103" i="27"/>
  <c r="E60" i="27"/>
  <c r="E19" i="27"/>
  <c r="O20" i="27"/>
  <c r="N21" i="27"/>
  <c r="E19" i="28"/>
  <c r="L104" i="27"/>
  <c r="K105" i="27"/>
  <c r="K229" i="22"/>
  <c r="K113" i="22" s="1"/>
  <c r="F218" i="22"/>
  <c r="L20" i="27"/>
  <c r="K21" i="27"/>
  <c r="D20" i="27"/>
  <c r="O20" i="28"/>
  <c r="N21" i="28"/>
  <c r="O104" i="27"/>
  <c r="N105" i="27"/>
  <c r="O61" i="27"/>
  <c r="N62" i="27"/>
  <c r="B59" i="6"/>
  <c r="E59" i="6"/>
  <c r="L147" i="27"/>
  <c r="K148" i="27"/>
  <c r="D147" i="27"/>
  <c r="I147" i="27"/>
  <c r="H148" i="27"/>
  <c r="I62" i="27"/>
  <c r="H63" i="27"/>
  <c r="L61" i="27"/>
  <c r="K62" i="27"/>
  <c r="F87" i="24"/>
  <c r="K88" i="24"/>
  <c r="L68" i="18"/>
  <c r="I23" i="27"/>
  <c r="H24" i="27"/>
  <c r="D20" i="28"/>
  <c r="I20" i="28"/>
  <c r="H21" i="28"/>
  <c r="L21" i="28"/>
  <c r="K22" i="28"/>
  <c r="O147" i="27"/>
  <c r="N148" i="27"/>
  <c r="I104" i="27"/>
  <c r="D104" i="27"/>
  <c r="H105" i="27"/>
  <c r="E146" i="27"/>
  <c r="D61" i="27"/>
  <c r="E20" i="27" l="1"/>
  <c r="N22" i="27"/>
  <c r="O21" i="27"/>
  <c r="E20" i="28"/>
  <c r="E61" i="27"/>
  <c r="L105" i="27"/>
  <c r="K106" i="27"/>
  <c r="G70" i="18"/>
  <c r="I25" i="19" s="1"/>
  <c r="L70" i="18"/>
  <c r="F41" i="21" s="1"/>
  <c r="D148" i="27"/>
  <c r="I148" i="27"/>
  <c r="H149" i="27"/>
  <c r="D105" i="27"/>
  <c r="I105" i="27"/>
  <c r="H106" i="27"/>
  <c r="L22" i="28"/>
  <c r="K23" i="28"/>
  <c r="I63" i="27"/>
  <c r="H64" i="27"/>
  <c r="E147" i="27"/>
  <c r="O62" i="27"/>
  <c r="N63" i="27"/>
  <c r="O21" i="28"/>
  <c r="N22" i="28"/>
  <c r="L21" i="27"/>
  <c r="K22" i="27"/>
  <c r="D21" i="27"/>
  <c r="I24" i="27"/>
  <c r="H25" i="27"/>
  <c r="O148" i="27"/>
  <c r="N149" i="27"/>
  <c r="E104" i="27"/>
  <c r="I21" i="28"/>
  <c r="D21" i="28"/>
  <c r="H22" i="28"/>
  <c r="F88" i="24"/>
  <c r="F91" i="24" s="1"/>
  <c r="K91" i="24"/>
  <c r="E22" i="22" s="1"/>
  <c r="L62" i="27"/>
  <c r="K63" i="27"/>
  <c r="D62" i="27"/>
  <c r="L148" i="27"/>
  <c r="K149" i="27"/>
  <c r="E118" i="6"/>
  <c r="E114" i="6"/>
  <c r="O105" i="27"/>
  <c r="N106" i="27"/>
  <c r="E21" i="28" l="1"/>
  <c r="E21" i="27"/>
  <c r="D63" i="27"/>
  <c r="O22" i="27"/>
  <c r="N23" i="27"/>
  <c r="L106" i="27"/>
  <c r="K107" i="27"/>
  <c r="E62" i="27"/>
  <c r="E43" i="21"/>
  <c r="F47" i="21" s="1"/>
  <c r="G49" i="21" s="1"/>
  <c r="F22" i="22"/>
  <c r="E25" i="22"/>
  <c r="E28" i="22"/>
  <c r="E31" i="22" s="1"/>
  <c r="I149" i="27"/>
  <c r="D149" i="27"/>
  <c r="H150" i="27"/>
  <c r="L63" i="27"/>
  <c r="K64" i="27"/>
  <c r="I25" i="27"/>
  <c r="H26" i="27"/>
  <c r="O22" i="28"/>
  <c r="N23" i="28"/>
  <c r="D106" i="27"/>
  <c r="I106" i="27"/>
  <c r="H107" i="27"/>
  <c r="E148" i="27"/>
  <c r="L22" i="27"/>
  <c r="K23" i="27"/>
  <c r="D22" i="27"/>
  <c r="O63" i="27"/>
  <c r="N64" i="27"/>
  <c r="L23" i="28"/>
  <c r="K24" i="28"/>
  <c r="O106" i="27"/>
  <c r="N107" i="27"/>
  <c r="L149" i="27"/>
  <c r="K150" i="27"/>
  <c r="D22" i="28"/>
  <c r="I22" i="28"/>
  <c r="H23" i="28"/>
  <c r="O149" i="27"/>
  <c r="N150" i="27"/>
  <c r="I64" i="27"/>
  <c r="H65" i="27"/>
  <c r="E105" i="27"/>
  <c r="E22" i="27" l="1"/>
  <c r="E63" i="27"/>
  <c r="D64" i="27"/>
  <c r="E106" i="27"/>
  <c r="N24" i="27"/>
  <c r="O23" i="27"/>
  <c r="L107" i="27"/>
  <c r="K108" i="27"/>
  <c r="E149" i="27"/>
  <c r="E22" i="28"/>
  <c r="I26" i="27"/>
  <c r="H27" i="27"/>
  <c r="D23" i="28"/>
  <c r="I23" i="28"/>
  <c r="H24" i="28"/>
  <c r="L64" i="27"/>
  <c r="K65" i="27"/>
  <c r="L23" i="27"/>
  <c r="K24" i="27"/>
  <c r="D23" i="27"/>
  <c r="O64" i="27"/>
  <c r="N65" i="27"/>
  <c r="I150" i="27"/>
  <c r="D150" i="27"/>
  <c r="H151" i="27"/>
  <c r="D107" i="27"/>
  <c r="I107" i="27"/>
  <c r="H108" i="27"/>
  <c r="O107" i="27"/>
  <c r="N108" i="27"/>
  <c r="I65" i="27"/>
  <c r="H66" i="27"/>
  <c r="O150" i="27"/>
  <c r="N151" i="27"/>
  <c r="L150" i="27"/>
  <c r="K151" i="27"/>
  <c r="L24" i="28"/>
  <c r="K25" i="28"/>
  <c r="O23" i="28"/>
  <c r="N24" i="28"/>
  <c r="F25" i="22"/>
  <c r="K22" i="22"/>
  <c r="F28" i="22"/>
  <c r="F31" i="22" s="1"/>
  <c r="E23" i="27" l="1"/>
  <c r="E64" i="27"/>
  <c r="E107" i="27"/>
  <c r="O24" i="27"/>
  <c r="N25" i="27"/>
  <c r="L108" i="27"/>
  <c r="K109" i="27"/>
  <c r="D65" i="27"/>
  <c r="D108" i="27"/>
  <c r="I108" i="27"/>
  <c r="H109" i="27"/>
  <c r="O151" i="27"/>
  <c r="N152" i="27"/>
  <c r="E150" i="27"/>
  <c r="L65" i="27"/>
  <c r="K66" i="27"/>
  <c r="K25" i="22"/>
  <c r="K28" i="22"/>
  <c r="O24" i="28"/>
  <c r="N25" i="28"/>
  <c r="L151" i="27"/>
  <c r="K152" i="27"/>
  <c r="O108" i="27"/>
  <c r="N109" i="27"/>
  <c r="L24" i="27"/>
  <c r="K25" i="27"/>
  <c r="D24" i="27"/>
  <c r="D24" i="28"/>
  <c r="I24" i="28"/>
  <c r="H25" i="28"/>
  <c r="L25" i="28"/>
  <c r="K26" i="28"/>
  <c r="I66" i="27"/>
  <c r="H67" i="27"/>
  <c r="D151" i="27"/>
  <c r="I151" i="27"/>
  <c r="H152" i="27"/>
  <c r="O65" i="27"/>
  <c r="N66" i="27"/>
  <c r="E23" i="28"/>
  <c r="I27" i="27"/>
  <c r="H28" i="27"/>
  <c r="E151" i="27" l="1"/>
  <c r="D66" i="27"/>
  <c r="E24" i="27"/>
  <c r="O25" i="27"/>
  <c r="N26" i="27"/>
  <c r="E65" i="27"/>
  <c r="L109" i="27"/>
  <c r="K110" i="27"/>
  <c r="I152" i="27"/>
  <c r="D152" i="27"/>
  <c r="H153" i="27"/>
  <c r="L26" i="28"/>
  <c r="K27" i="28"/>
  <c r="O109" i="27"/>
  <c r="N110" i="27"/>
  <c r="O25" i="28"/>
  <c r="N26" i="28"/>
  <c r="L66" i="27"/>
  <c r="K67" i="27"/>
  <c r="E108" i="27"/>
  <c r="I28" i="27"/>
  <c r="H29" i="27"/>
  <c r="O66" i="27"/>
  <c r="N67" i="27"/>
  <c r="D25" i="28"/>
  <c r="I25" i="28"/>
  <c r="H26" i="28"/>
  <c r="L25" i="27"/>
  <c r="E25" i="27" s="1"/>
  <c r="K26" i="27"/>
  <c r="D25" i="27"/>
  <c r="L152" i="27"/>
  <c r="K153" i="27"/>
  <c r="J16" i="19"/>
  <c r="I15" i="20"/>
  <c r="I16" i="19"/>
  <c r="G73" i="21"/>
  <c r="L16" i="19"/>
  <c r="K31" i="22"/>
  <c r="K16" i="19"/>
  <c r="O152" i="27"/>
  <c r="N153" i="27"/>
  <c r="I67" i="27"/>
  <c r="H68" i="27"/>
  <c r="E24" i="28"/>
  <c r="D109" i="27"/>
  <c r="I109" i="27"/>
  <c r="H110" i="27"/>
  <c r="I26" i="19" l="1"/>
  <c r="E25" i="28"/>
  <c r="O26" i="27"/>
  <c r="N27" i="27"/>
  <c r="D67" i="27"/>
  <c r="K111" i="27"/>
  <c r="L110" i="27"/>
  <c r="E109" i="27"/>
  <c r="E66" i="27"/>
  <c r="D110" i="27"/>
  <c r="I110" i="27"/>
  <c r="H111" i="27"/>
  <c r="I68" i="27"/>
  <c r="H69" i="27"/>
  <c r="O153" i="27"/>
  <c r="N154" i="27"/>
  <c r="L17" i="19"/>
  <c r="L26" i="19"/>
  <c r="J17" i="19"/>
  <c r="J26" i="19"/>
  <c r="L26" i="27"/>
  <c r="K27" i="27"/>
  <c r="D26" i="27"/>
  <c r="L67" i="27"/>
  <c r="K68" i="27"/>
  <c r="O110" i="27"/>
  <c r="N111" i="27"/>
  <c r="L153" i="27"/>
  <c r="K154" i="27"/>
  <c r="I153" i="27"/>
  <c r="D153" i="27"/>
  <c r="H154" i="27"/>
  <c r="K17" i="19"/>
  <c r="K26" i="19"/>
  <c r="I17" i="19"/>
  <c r="D26" i="28"/>
  <c r="I26" i="28"/>
  <c r="H27" i="28"/>
  <c r="O26" i="28"/>
  <c r="N27" i="28"/>
  <c r="L27" i="28"/>
  <c r="K28" i="28"/>
  <c r="O67" i="27"/>
  <c r="N68" i="27"/>
  <c r="F12" i="25"/>
  <c r="F19" i="25" s="1"/>
  <c r="I16" i="20"/>
  <c r="I25" i="20"/>
  <c r="I29" i="27"/>
  <c r="H30" i="27"/>
  <c r="E152" i="27"/>
  <c r="E26" i="27" l="1"/>
  <c r="O27" i="27"/>
  <c r="N28" i="27"/>
  <c r="E26" i="28"/>
  <c r="E67" i="27"/>
  <c r="L111" i="27"/>
  <c r="K112" i="27"/>
  <c r="I30" i="27"/>
  <c r="H31" i="27"/>
  <c r="D27" i="28"/>
  <c r="I27" i="28"/>
  <c r="H28" i="28"/>
  <c r="I154" i="27"/>
  <c r="D154" i="27"/>
  <c r="H155" i="27"/>
  <c r="D111" i="27"/>
  <c r="I111" i="27"/>
  <c r="H112" i="27"/>
  <c r="F23" i="25"/>
  <c r="E78" i="22" s="1"/>
  <c r="F78" i="22" s="1"/>
  <c r="K78" i="22" s="1"/>
  <c r="F21" i="25"/>
  <c r="E76" i="22" s="1"/>
  <c r="F76" i="22" s="1"/>
  <c r="K76" i="22" s="1"/>
  <c r="F32" i="25"/>
  <c r="F35" i="25"/>
  <c r="E97" i="22" s="1"/>
  <c r="F97" i="22" s="1"/>
  <c r="K97" i="22" s="1"/>
  <c r="F30" i="25"/>
  <c r="F34" i="25"/>
  <c r="E96" i="22" s="1"/>
  <c r="F96" i="22" s="1"/>
  <c r="F33" i="25"/>
  <c r="E95" i="22" s="1"/>
  <c r="F95" i="22" s="1"/>
  <c r="K95" i="22" s="1"/>
  <c r="F20" i="25"/>
  <c r="E75" i="22" s="1"/>
  <c r="F75" i="22" s="1"/>
  <c r="K75" i="22" s="1"/>
  <c r="F31" i="25"/>
  <c r="E93" i="22" s="1"/>
  <c r="F93" i="22" s="1"/>
  <c r="K93" i="22" s="1"/>
  <c r="F15" i="25"/>
  <c r="E72" i="22"/>
  <c r="F72" i="22" s="1"/>
  <c r="K72" i="22" s="1"/>
  <c r="F22" i="25"/>
  <c r="E77" i="22" s="1"/>
  <c r="F77" i="22" s="1"/>
  <c r="K77" i="22" s="1"/>
  <c r="F16" i="25"/>
  <c r="F17" i="25"/>
  <c r="E68" i="22" s="1"/>
  <c r="F68" i="22" s="1"/>
  <c r="F24" i="25"/>
  <c r="E79" i="22" s="1"/>
  <c r="F79" i="22" s="1"/>
  <c r="K79" i="22" s="1"/>
  <c r="O111" i="27"/>
  <c r="N112" i="27"/>
  <c r="I69" i="27"/>
  <c r="H70" i="27"/>
  <c r="E110" i="27"/>
  <c r="O68" i="27"/>
  <c r="N69" i="27"/>
  <c r="O27" i="28"/>
  <c r="N28" i="28"/>
  <c r="E153" i="27"/>
  <c r="L28" i="28"/>
  <c r="K29" i="28"/>
  <c r="L27" i="27"/>
  <c r="E27" i="27" s="1"/>
  <c r="K28" i="27"/>
  <c r="D27" i="27"/>
  <c r="L154" i="27"/>
  <c r="K155" i="27"/>
  <c r="L68" i="27"/>
  <c r="E68" i="27" s="1"/>
  <c r="K69" i="27"/>
  <c r="O154" i="27"/>
  <c r="N155" i="27"/>
  <c r="D68" i="27"/>
  <c r="O28" i="27" l="1"/>
  <c r="N29" i="27"/>
  <c r="L112" i="27"/>
  <c r="K113" i="27"/>
  <c r="I31" i="27"/>
  <c r="H32" i="27"/>
  <c r="O155" i="27"/>
  <c r="N156" i="27"/>
  <c r="L155" i="27"/>
  <c r="K156" i="27"/>
  <c r="L29" i="28"/>
  <c r="K30" i="28"/>
  <c r="I70" i="27"/>
  <c r="H71" i="27"/>
  <c r="I155" i="27"/>
  <c r="D155" i="27"/>
  <c r="H156" i="27"/>
  <c r="E27" i="28"/>
  <c r="O28" i="28"/>
  <c r="N29" i="28"/>
  <c r="E92" i="22"/>
  <c r="F36" i="25"/>
  <c r="D28" i="28"/>
  <c r="I28" i="28"/>
  <c r="H29" i="28"/>
  <c r="O69" i="27"/>
  <c r="N70" i="27"/>
  <c r="O112" i="27"/>
  <c r="N113" i="27"/>
  <c r="D112" i="27"/>
  <c r="I112" i="27"/>
  <c r="H113" i="27"/>
  <c r="I19" i="23"/>
  <c r="I21" i="23"/>
  <c r="I18" i="23"/>
  <c r="I20" i="23"/>
  <c r="E67" i="22"/>
  <c r="F67" i="22" s="1"/>
  <c r="L69" i="27"/>
  <c r="E69" i="27" s="1"/>
  <c r="K70" i="27"/>
  <c r="L28" i="27"/>
  <c r="K29" i="27"/>
  <c r="D28" i="27"/>
  <c r="D69" i="27"/>
  <c r="E66" i="22"/>
  <c r="F26" i="25"/>
  <c r="E111" i="27"/>
  <c r="E154" i="27"/>
  <c r="O29" i="27" l="1"/>
  <c r="N30" i="27"/>
  <c r="K114" i="27"/>
  <c r="L113" i="27"/>
  <c r="O156" i="27"/>
  <c r="N157" i="27"/>
  <c r="E155" i="27"/>
  <c r="L30" i="28"/>
  <c r="K31" i="28"/>
  <c r="I32" i="27"/>
  <c r="H33" i="27"/>
  <c r="F66" i="22"/>
  <c r="F70" i="22" s="1"/>
  <c r="E70" i="22"/>
  <c r="E81" i="22" s="1"/>
  <c r="L70" i="27"/>
  <c r="K71" i="27"/>
  <c r="O113" i="27"/>
  <c r="N114" i="27"/>
  <c r="D156" i="27"/>
  <c r="I156" i="27"/>
  <c r="H157" i="27"/>
  <c r="I22" i="23"/>
  <c r="I26" i="23" s="1"/>
  <c r="I30" i="23" s="1"/>
  <c r="E112" i="27"/>
  <c r="O70" i="27"/>
  <c r="N71" i="27"/>
  <c r="D29" i="28"/>
  <c r="I29" i="28"/>
  <c r="H30" i="28"/>
  <c r="O29" i="28"/>
  <c r="N30" i="28"/>
  <c r="L156" i="27"/>
  <c r="K157" i="27"/>
  <c r="L29" i="27"/>
  <c r="K30" i="27"/>
  <c r="D29" i="27"/>
  <c r="D113" i="27"/>
  <c r="I113" i="27"/>
  <c r="H114" i="27"/>
  <c r="I71" i="27"/>
  <c r="H72" i="27"/>
  <c r="E28" i="27"/>
  <c r="E28" i="28"/>
  <c r="E98" i="22"/>
  <c r="F92" i="22"/>
  <c r="D70" i="27"/>
  <c r="E70" i="27" l="1"/>
  <c r="E29" i="28"/>
  <c r="E29" i="27"/>
  <c r="D71" i="27"/>
  <c r="N31" i="27"/>
  <c r="O30" i="27"/>
  <c r="L114" i="27"/>
  <c r="K115" i="27"/>
  <c r="D157" i="27"/>
  <c r="I157" i="27"/>
  <c r="H158" i="27"/>
  <c r="L31" i="28"/>
  <c r="K32" i="28"/>
  <c r="E113" i="27"/>
  <c r="D30" i="28"/>
  <c r="I30" i="28"/>
  <c r="H31" i="28"/>
  <c r="G34" i="4"/>
  <c r="G39" i="4" s="1"/>
  <c r="I35" i="23"/>
  <c r="O114" i="27"/>
  <c r="N115" i="27"/>
  <c r="O157" i="27"/>
  <c r="N158" i="27"/>
  <c r="L157" i="27"/>
  <c r="K158" i="27"/>
  <c r="O30" i="28"/>
  <c r="N31" i="28"/>
  <c r="E156" i="27"/>
  <c r="L71" i="27"/>
  <c r="K72" i="27"/>
  <c r="I33" i="27"/>
  <c r="H34" i="27"/>
  <c r="F81" i="22"/>
  <c r="K70" i="22"/>
  <c r="K81" i="22" s="1"/>
  <c r="F98" i="22"/>
  <c r="K92" i="22"/>
  <c r="K98" i="22" s="1"/>
  <c r="I72" i="27"/>
  <c r="H73" i="27"/>
  <c r="D114" i="27"/>
  <c r="I114" i="27"/>
  <c r="H115" i="27"/>
  <c r="L30" i="27"/>
  <c r="K31" i="27"/>
  <c r="D30" i="27"/>
  <c r="O71" i="27"/>
  <c r="N72" i="27"/>
  <c r="E114" i="27" l="1"/>
  <c r="E71" i="27"/>
  <c r="N32" i="27"/>
  <c r="O31" i="27"/>
  <c r="L115" i="27"/>
  <c r="K116" i="27"/>
  <c r="I19" i="20"/>
  <c r="I28" i="20" s="1"/>
  <c r="L20" i="19"/>
  <c r="L29" i="19" s="1"/>
  <c r="I20" i="19"/>
  <c r="I29" i="19" s="1"/>
  <c r="J20" i="19"/>
  <c r="J29" i="19" s="1"/>
  <c r="K20" i="19"/>
  <c r="K29" i="19" s="1"/>
  <c r="L158" i="27"/>
  <c r="K159" i="27"/>
  <c r="G40" i="4"/>
  <c r="G41" i="4"/>
  <c r="G43" i="4"/>
  <c r="G42" i="4"/>
  <c r="E157" i="27"/>
  <c r="O72" i="27"/>
  <c r="N73" i="27"/>
  <c r="E30" i="27"/>
  <c r="O158" i="27"/>
  <c r="N159" i="27"/>
  <c r="K44" i="22"/>
  <c r="K48" i="22" s="1"/>
  <c r="K51" i="22" s="1"/>
  <c r="K110" i="22" s="1"/>
  <c r="L18" i="19"/>
  <c r="L27" i="19" s="1"/>
  <c r="I18" i="19"/>
  <c r="I27" i="19" s="1"/>
  <c r="K18" i="19"/>
  <c r="K27" i="19" s="1"/>
  <c r="I17" i="20"/>
  <c r="I26" i="20" s="1"/>
  <c r="J18" i="19"/>
  <c r="J27" i="19" s="1"/>
  <c r="I34" i="27"/>
  <c r="H35" i="27"/>
  <c r="O31" i="28"/>
  <c r="N32" i="28"/>
  <c r="O115" i="27"/>
  <c r="N116" i="27"/>
  <c r="L32" i="28"/>
  <c r="K33" i="28"/>
  <c r="I73" i="27"/>
  <c r="H74" i="27"/>
  <c r="I39" i="23"/>
  <c r="I36" i="23"/>
  <c r="I38" i="23"/>
  <c r="I37" i="23"/>
  <c r="E30" i="28"/>
  <c r="I158" i="27"/>
  <c r="D158" i="27"/>
  <c r="H159" i="27"/>
  <c r="D115" i="27"/>
  <c r="I115" i="27"/>
  <c r="H116" i="27"/>
  <c r="L72" i="27"/>
  <c r="K73" i="27"/>
  <c r="D72" i="27"/>
  <c r="L31" i="27"/>
  <c r="K32" i="27"/>
  <c r="D31" i="27"/>
  <c r="D31" i="28"/>
  <c r="I31" i="28"/>
  <c r="H32" i="28"/>
  <c r="L58" i="19" l="1"/>
  <c r="L59" i="19"/>
  <c r="K59" i="19"/>
  <c r="K58" i="19"/>
  <c r="K57" i="19"/>
  <c r="K56" i="19"/>
  <c r="L56" i="19"/>
  <c r="L57" i="19"/>
  <c r="E31" i="27"/>
  <c r="N33" i="27"/>
  <c r="O32" i="27"/>
  <c r="K117" i="27"/>
  <c r="L116" i="27"/>
  <c r="L32" i="27"/>
  <c r="K33" i="27"/>
  <c r="D32" i="27"/>
  <c r="L73" i="27"/>
  <c r="K74" i="27"/>
  <c r="E115" i="27"/>
  <c r="O32" i="28"/>
  <c r="N33" i="28"/>
  <c r="K106" i="22"/>
  <c r="K108" i="22" s="1"/>
  <c r="K112" i="22" s="1"/>
  <c r="E72" i="27"/>
  <c r="L124" i="19"/>
  <c r="L125" i="19"/>
  <c r="L123" i="19"/>
  <c r="L47" i="20"/>
  <c r="L48" i="20"/>
  <c r="L46" i="20"/>
  <c r="I74" i="27"/>
  <c r="H75" i="27"/>
  <c r="K125" i="19"/>
  <c r="K124" i="19"/>
  <c r="K123" i="19"/>
  <c r="L91" i="19"/>
  <c r="L92" i="19"/>
  <c r="L90" i="19"/>
  <c r="D32" i="28"/>
  <c r="I32" i="28"/>
  <c r="H33" i="28"/>
  <c r="D73" i="27"/>
  <c r="L33" i="28"/>
  <c r="K34" i="28"/>
  <c r="K92" i="19"/>
  <c r="K90" i="19"/>
  <c r="K91" i="19"/>
  <c r="K51" i="19"/>
  <c r="K50" i="19"/>
  <c r="K53" i="19"/>
  <c r="K54" i="19"/>
  <c r="K55" i="19"/>
  <c r="K52" i="19"/>
  <c r="O159" i="27"/>
  <c r="N160" i="27"/>
  <c r="L159" i="27"/>
  <c r="K160" i="27"/>
  <c r="L53" i="19"/>
  <c r="L54" i="19"/>
  <c r="L55" i="19"/>
  <c r="L51" i="19"/>
  <c r="L50" i="19"/>
  <c r="L52" i="19"/>
  <c r="E158" i="27"/>
  <c r="O116" i="27"/>
  <c r="N117" i="27"/>
  <c r="E31" i="28"/>
  <c r="D116" i="27"/>
  <c r="I116" i="27"/>
  <c r="H117" i="27"/>
  <c r="D159" i="27"/>
  <c r="I159" i="27"/>
  <c r="H160" i="27"/>
  <c r="I35" i="27"/>
  <c r="H36" i="27"/>
  <c r="K46" i="20"/>
  <c r="K48" i="20"/>
  <c r="S48" i="20" s="1"/>
  <c r="K47" i="20"/>
  <c r="K156" i="19"/>
  <c r="K157" i="19"/>
  <c r="K158" i="19"/>
  <c r="O73" i="27"/>
  <c r="N74" i="27"/>
  <c r="L156" i="19"/>
  <c r="L157" i="19"/>
  <c r="L158" i="19"/>
  <c r="E32" i="28" l="1"/>
  <c r="E159" i="27"/>
  <c r="D74" i="27"/>
  <c r="E73" i="27"/>
  <c r="N34" i="27"/>
  <c r="O33" i="27"/>
  <c r="E32" i="27"/>
  <c r="K118" i="27"/>
  <c r="L117" i="27"/>
  <c r="L94" i="19"/>
  <c r="L127" i="19"/>
  <c r="S47" i="20"/>
  <c r="L50" i="20"/>
  <c r="L61" i="19"/>
  <c r="L160" i="19"/>
  <c r="L160" i="27"/>
  <c r="K161" i="27"/>
  <c r="K94" i="19"/>
  <c r="I22" i="19"/>
  <c r="I31" i="19" s="1"/>
  <c r="I21" i="20"/>
  <c r="I30" i="20" s="1"/>
  <c r="K160" i="19"/>
  <c r="D160" i="27"/>
  <c r="I160" i="27"/>
  <c r="H161" i="27"/>
  <c r="E116" i="27"/>
  <c r="O117" i="27"/>
  <c r="N118" i="27"/>
  <c r="O160" i="27"/>
  <c r="N161" i="27"/>
  <c r="L34" i="28"/>
  <c r="K35" i="28"/>
  <c r="K127" i="19"/>
  <c r="L33" i="27"/>
  <c r="K34" i="27"/>
  <c r="D33" i="27"/>
  <c r="L74" i="27"/>
  <c r="K75" i="27"/>
  <c r="O74" i="27"/>
  <c r="N75" i="27"/>
  <c r="K61" i="19"/>
  <c r="D33" i="28"/>
  <c r="I33" i="28"/>
  <c r="H34" i="28"/>
  <c r="L21" i="19"/>
  <c r="I21" i="19"/>
  <c r="K21" i="19"/>
  <c r="J21" i="19"/>
  <c r="S46" i="20"/>
  <c r="K50" i="20"/>
  <c r="O33" i="28"/>
  <c r="N34" i="28"/>
  <c r="I36" i="27"/>
  <c r="H37" i="27"/>
  <c r="D117" i="27"/>
  <c r="I117" i="27"/>
  <c r="H118" i="27"/>
  <c r="I75" i="27"/>
  <c r="H76" i="27"/>
  <c r="Q58" i="19" l="1"/>
  <c r="S58" i="19" s="1"/>
  <c r="Q59" i="19"/>
  <c r="S59" i="19" s="1"/>
  <c r="E33" i="27"/>
  <c r="Q57" i="19"/>
  <c r="S57" i="19" s="1"/>
  <c r="Q56" i="19"/>
  <c r="S56" i="19" s="1"/>
  <c r="D75" i="27"/>
  <c r="N35" i="27"/>
  <c r="O34" i="27"/>
  <c r="E74" i="27"/>
  <c r="E117" i="27"/>
  <c r="L118" i="27"/>
  <c r="K119" i="27"/>
  <c r="D118" i="27"/>
  <c r="I118" i="27"/>
  <c r="H119" i="27"/>
  <c r="S50" i="20"/>
  <c r="E33" i="28"/>
  <c r="L34" i="27"/>
  <c r="K35" i="27"/>
  <c r="D34" i="27"/>
  <c r="L35" i="28"/>
  <c r="K36" i="28"/>
  <c r="O118" i="27"/>
  <c r="N119" i="27"/>
  <c r="E160" i="27"/>
  <c r="D34" i="28"/>
  <c r="I34" i="28"/>
  <c r="H35" i="28"/>
  <c r="D161" i="27"/>
  <c r="I161" i="27"/>
  <c r="H162" i="27"/>
  <c r="J22" i="19"/>
  <c r="J31" i="19" s="1"/>
  <c r="K22" i="19"/>
  <c r="K31" i="19" s="1"/>
  <c r="L22" i="19"/>
  <c r="L31" i="19" s="1"/>
  <c r="I76" i="27"/>
  <c r="H77" i="27"/>
  <c r="O161" i="27"/>
  <c r="N162" i="27"/>
  <c r="K115" i="22"/>
  <c r="G72" i="21" s="1"/>
  <c r="G74" i="21" s="1"/>
  <c r="G75" i="21" s="1"/>
  <c r="G11" i="21"/>
  <c r="O34" i="28"/>
  <c r="N35" i="28"/>
  <c r="Q53" i="19"/>
  <c r="S53" i="19" s="1"/>
  <c r="Q156" i="19"/>
  <c r="Q54" i="19"/>
  <c r="S54" i="19" s="1"/>
  <c r="Q50" i="19"/>
  <c r="Q157" i="19"/>
  <c r="S157" i="19" s="1"/>
  <c r="Q90" i="19"/>
  <c r="Q124" i="19"/>
  <c r="S124" i="19" s="1"/>
  <c r="Q158" i="19"/>
  <c r="S158" i="19" s="1"/>
  <c r="Q52" i="19"/>
  <c r="S52" i="19" s="1"/>
  <c r="Q51" i="19"/>
  <c r="S51" i="19" s="1"/>
  <c r="Q125" i="19"/>
  <c r="S125" i="19" s="1"/>
  <c r="Q92" i="19"/>
  <c r="S92" i="19" s="1"/>
  <c r="Q123" i="19"/>
  <c r="Q91" i="19"/>
  <c r="S91" i="19" s="1"/>
  <c r="Q55" i="19"/>
  <c r="S55" i="19" s="1"/>
  <c r="O75" i="27"/>
  <c r="N76" i="27"/>
  <c r="L161" i="27"/>
  <c r="K162" i="27"/>
  <c r="I37" i="27"/>
  <c r="H38" i="27"/>
  <c r="L75" i="27"/>
  <c r="K76" i="27"/>
  <c r="E75" i="27" l="1"/>
  <c r="N36" i="27"/>
  <c r="O35" i="27"/>
  <c r="E161" i="27"/>
  <c r="K120" i="27"/>
  <c r="L119" i="27"/>
  <c r="E34" i="28"/>
  <c r="L76" i="27"/>
  <c r="K77" i="27"/>
  <c r="D119" i="27"/>
  <c r="I119" i="27"/>
  <c r="H120" i="27"/>
  <c r="L162" i="27"/>
  <c r="K163" i="27"/>
  <c r="Q61" i="19"/>
  <c r="S50" i="19"/>
  <c r="O35" i="28"/>
  <c r="N36" i="28"/>
  <c r="O162" i="27"/>
  <c r="N163" i="27"/>
  <c r="D76" i="27"/>
  <c r="E118" i="27"/>
  <c r="Q127" i="19"/>
  <c r="S123" i="19"/>
  <c r="O76" i="27"/>
  <c r="N77" i="27"/>
  <c r="O119" i="27"/>
  <c r="N120" i="27"/>
  <c r="E34" i="27"/>
  <c r="I38" i="27"/>
  <c r="H39" i="27"/>
  <c r="Q94" i="19"/>
  <c r="S90" i="19"/>
  <c r="Q160" i="19"/>
  <c r="S156" i="19"/>
  <c r="I77" i="27"/>
  <c r="H78" i="27"/>
  <c r="D162" i="27"/>
  <c r="I162" i="27"/>
  <c r="H163" i="27"/>
  <c r="D35" i="28"/>
  <c r="I35" i="28"/>
  <c r="H36" i="28"/>
  <c r="L36" i="28"/>
  <c r="K37" i="28"/>
  <c r="L35" i="27"/>
  <c r="K36" i="27"/>
  <c r="D35" i="27"/>
  <c r="I32" i="20"/>
  <c r="E35" i="27" l="1"/>
  <c r="E76" i="27"/>
  <c r="D77" i="27"/>
  <c r="N37" i="27"/>
  <c r="O36" i="27"/>
  <c r="E35" i="28"/>
  <c r="L120" i="27"/>
  <c r="K121" i="27"/>
  <c r="I78" i="27"/>
  <c r="H79" i="27"/>
  <c r="L163" i="27"/>
  <c r="K164" i="27"/>
  <c r="L37" i="28"/>
  <c r="K38" i="28"/>
  <c r="S160" i="19"/>
  <c r="O36" i="28"/>
  <c r="N37" i="28"/>
  <c r="T47" i="20"/>
  <c r="U47" i="20" s="1"/>
  <c r="W47" i="20" s="1"/>
  <c r="T48" i="20"/>
  <c r="U48" i="20" s="1"/>
  <c r="W48" i="20" s="1"/>
  <c r="T46" i="20"/>
  <c r="D163" i="27"/>
  <c r="I163" i="27"/>
  <c r="H164" i="27"/>
  <c r="O120" i="27"/>
  <c r="N121" i="27"/>
  <c r="D120" i="27"/>
  <c r="I120" i="27"/>
  <c r="H121" i="27"/>
  <c r="L77" i="27"/>
  <c r="K78" i="27"/>
  <c r="I39" i="27"/>
  <c r="H40" i="27"/>
  <c r="S127" i="19"/>
  <c r="L36" i="27"/>
  <c r="K37" i="27"/>
  <c r="D36" i="27"/>
  <c r="D36" i="28"/>
  <c r="I36" i="28"/>
  <c r="H37" i="28"/>
  <c r="E162" i="27"/>
  <c r="S94" i="19"/>
  <c r="O77" i="27"/>
  <c r="N78" i="27"/>
  <c r="O163" i="27"/>
  <c r="N164" i="27"/>
  <c r="S61" i="19"/>
  <c r="E119" i="27"/>
  <c r="I33" i="19" l="1"/>
  <c r="E120" i="27"/>
  <c r="E36" i="27"/>
  <c r="E77" i="27"/>
  <c r="O37" i="27"/>
  <c r="N38" i="27"/>
  <c r="L121" i="27"/>
  <c r="K122" i="27"/>
  <c r="O164" i="27"/>
  <c r="N165" i="27"/>
  <c r="D121" i="27"/>
  <c r="I121" i="27"/>
  <c r="H122" i="27"/>
  <c r="O121" i="27"/>
  <c r="N122" i="27"/>
  <c r="D164" i="27"/>
  <c r="I164" i="27"/>
  <c r="H165" i="27"/>
  <c r="L38" i="28"/>
  <c r="K39" i="28"/>
  <c r="I79" i="27"/>
  <c r="H80" i="27"/>
  <c r="T50" i="20"/>
  <c r="T62" i="20" s="1"/>
  <c r="U46" i="20"/>
  <c r="D37" i="28"/>
  <c r="I37" i="28"/>
  <c r="H38" i="28"/>
  <c r="L37" i="27"/>
  <c r="K38" i="27"/>
  <c r="D37" i="27"/>
  <c r="E163" i="27"/>
  <c r="L28" i="19"/>
  <c r="L33" i="19"/>
  <c r="H43" i="27"/>
  <c r="R68" i="19" s="1"/>
  <c r="I40" i="27"/>
  <c r="H42" i="27"/>
  <c r="I68" i="19" s="1"/>
  <c r="O78" i="27"/>
  <c r="N79" i="27"/>
  <c r="J28" i="19"/>
  <c r="J33" i="19"/>
  <c r="E36" i="28"/>
  <c r="K33" i="19"/>
  <c r="K28" i="19"/>
  <c r="L78" i="27"/>
  <c r="K79" i="27"/>
  <c r="O37" i="28"/>
  <c r="N38" i="28"/>
  <c r="L164" i="27"/>
  <c r="K165" i="27"/>
  <c r="D78" i="27"/>
  <c r="V58" i="19" l="1"/>
  <c r="V59" i="19"/>
  <c r="T59" i="19"/>
  <c r="U59" i="19" s="1"/>
  <c r="T58" i="19"/>
  <c r="U58" i="19" s="1"/>
  <c r="T57" i="19"/>
  <c r="U57" i="19" s="1"/>
  <c r="T56" i="19"/>
  <c r="U56" i="19" s="1"/>
  <c r="V57" i="19"/>
  <c r="V56" i="19"/>
  <c r="E37" i="27"/>
  <c r="E78" i="27"/>
  <c r="E121" i="27"/>
  <c r="O38" i="27"/>
  <c r="N39" i="27"/>
  <c r="L122" i="27"/>
  <c r="K123" i="27"/>
  <c r="U50" i="20"/>
  <c r="W46" i="20"/>
  <c r="W50" i="20" s="1"/>
  <c r="O38" i="28"/>
  <c r="N39" i="28"/>
  <c r="V124" i="19"/>
  <c r="V125" i="19"/>
  <c r="V123" i="19"/>
  <c r="J68" i="19"/>
  <c r="D38" i="28"/>
  <c r="I38" i="28"/>
  <c r="H39" i="28"/>
  <c r="L39" i="28"/>
  <c r="K40" i="28"/>
  <c r="O79" i="27"/>
  <c r="N80" i="27"/>
  <c r="D122" i="27"/>
  <c r="I122" i="27"/>
  <c r="H123" i="27"/>
  <c r="T92" i="19"/>
  <c r="U92" i="19" s="1"/>
  <c r="T91" i="19"/>
  <c r="U91" i="19" s="1"/>
  <c r="T90" i="19"/>
  <c r="I42" i="27"/>
  <c r="E37" i="28"/>
  <c r="I80" i="27"/>
  <c r="H81" i="27"/>
  <c r="O122" i="27"/>
  <c r="N123" i="27"/>
  <c r="O165" i="27"/>
  <c r="N166" i="27"/>
  <c r="V55" i="19"/>
  <c r="V54" i="19"/>
  <c r="V52" i="19"/>
  <c r="V53" i="19"/>
  <c r="V51" i="19"/>
  <c r="V50" i="19"/>
  <c r="V158" i="19"/>
  <c r="V157" i="19"/>
  <c r="V156" i="19"/>
  <c r="E164" i="27"/>
  <c r="L165" i="27"/>
  <c r="K166" i="27"/>
  <c r="L79" i="27"/>
  <c r="E79" i="27" s="1"/>
  <c r="K80" i="27"/>
  <c r="T124" i="19"/>
  <c r="U124" i="19" s="1"/>
  <c r="T125" i="19"/>
  <c r="U125" i="19" s="1"/>
  <c r="T123" i="19"/>
  <c r="V92" i="19"/>
  <c r="V91" i="19"/>
  <c r="V90" i="19"/>
  <c r="T51" i="19"/>
  <c r="U51" i="19" s="1"/>
  <c r="T53" i="19"/>
  <c r="U53" i="19" s="1"/>
  <c r="T55" i="19"/>
  <c r="U55" i="19" s="1"/>
  <c r="T54" i="19"/>
  <c r="U54" i="19" s="1"/>
  <c r="T52" i="19"/>
  <c r="U52" i="19" s="1"/>
  <c r="T50" i="19"/>
  <c r="T158" i="19"/>
  <c r="U158" i="19" s="1"/>
  <c r="W158" i="19" s="1"/>
  <c r="T157" i="19"/>
  <c r="U157" i="19" s="1"/>
  <c r="W157" i="19" s="1"/>
  <c r="T156" i="19"/>
  <c r="L38" i="27"/>
  <c r="K39" i="27"/>
  <c r="D38" i="27"/>
  <c r="D79" i="27"/>
  <c r="D165" i="27"/>
  <c r="I165" i="27"/>
  <c r="E165" i="27" s="1"/>
  <c r="H166" i="27"/>
  <c r="W58" i="19" l="1"/>
  <c r="W59" i="19"/>
  <c r="W57" i="19"/>
  <c r="W56" i="19"/>
  <c r="E38" i="27"/>
  <c r="E38" i="28"/>
  <c r="O39" i="27"/>
  <c r="N40" i="27"/>
  <c r="K124" i="27"/>
  <c r="L123" i="27"/>
  <c r="W54" i="19"/>
  <c r="W52" i="19"/>
  <c r="W53" i="19"/>
  <c r="V160" i="19"/>
  <c r="V173" i="19" s="1"/>
  <c r="V94" i="19"/>
  <c r="V107" i="19" s="1"/>
  <c r="W125" i="19"/>
  <c r="W91" i="19"/>
  <c r="L39" i="27"/>
  <c r="K40" i="27"/>
  <c r="D39" i="27"/>
  <c r="L166" i="27"/>
  <c r="K167" i="27"/>
  <c r="D166" i="27"/>
  <c r="I166" i="27"/>
  <c r="H167" i="27"/>
  <c r="W51" i="19"/>
  <c r="T127" i="19"/>
  <c r="T140" i="19" s="1"/>
  <c r="U123" i="19"/>
  <c r="V61" i="19"/>
  <c r="V74" i="19" s="1"/>
  <c r="O123" i="27"/>
  <c r="N124" i="27"/>
  <c r="T94" i="19"/>
  <c r="T107" i="19" s="1"/>
  <c r="U90" i="19"/>
  <c r="E122" i="27"/>
  <c r="K43" i="28"/>
  <c r="R57" i="20" s="1"/>
  <c r="L40" i="28"/>
  <c r="L42" i="28" s="1"/>
  <c r="K42" i="28"/>
  <c r="I57" i="20" s="1"/>
  <c r="J57" i="20" s="1"/>
  <c r="L68" i="19"/>
  <c r="K68" i="19"/>
  <c r="P68" i="19"/>
  <c r="W55" i="19"/>
  <c r="W124" i="19"/>
  <c r="O166" i="27"/>
  <c r="N167" i="27"/>
  <c r="H84" i="27"/>
  <c r="R101" i="19" s="1"/>
  <c r="I81" i="27"/>
  <c r="H83" i="27"/>
  <c r="I101" i="19" s="1"/>
  <c r="W92" i="19"/>
  <c r="O80" i="27"/>
  <c r="N81" i="27"/>
  <c r="D39" i="28"/>
  <c r="I39" i="28"/>
  <c r="H40" i="28"/>
  <c r="O39" i="28"/>
  <c r="N40" i="28"/>
  <c r="T160" i="19"/>
  <c r="T173" i="19" s="1"/>
  <c r="U156" i="19"/>
  <c r="T61" i="19"/>
  <c r="T74" i="19" s="1"/>
  <c r="U50" i="19"/>
  <c r="L80" i="27"/>
  <c r="K81" i="27"/>
  <c r="D80" i="27"/>
  <c r="D123" i="27"/>
  <c r="I123" i="27"/>
  <c r="H124" i="27"/>
  <c r="V127" i="19"/>
  <c r="V140" i="19" s="1"/>
  <c r="E80" i="27" l="1"/>
  <c r="E39" i="27"/>
  <c r="E123" i="27"/>
  <c r="N42" i="27"/>
  <c r="I70" i="19" s="1"/>
  <c r="J70" i="19" s="1"/>
  <c r="O40" i="27"/>
  <c r="O42" i="27" s="1"/>
  <c r="N43" i="27"/>
  <c r="R70" i="19" s="1"/>
  <c r="D81" i="27"/>
  <c r="D84" i="27" s="1"/>
  <c r="L124" i="27"/>
  <c r="L126" i="27" s="1"/>
  <c r="K126" i="27"/>
  <c r="K127" i="27"/>
  <c r="N84" i="27"/>
  <c r="R103" i="19" s="1"/>
  <c r="O81" i="27"/>
  <c r="O83" i="27" s="1"/>
  <c r="N83" i="27"/>
  <c r="I103" i="19" s="1"/>
  <c r="J103" i="19" s="1"/>
  <c r="I83" i="27"/>
  <c r="D40" i="28"/>
  <c r="H43" i="28"/>
  <c r="R56" i="20" s="1"/>
  <c r="I40" i="28"/>
  <c r="H42" i="28"/>
  <c r="I56" i="20" s="1"/>
  <c r="W123" i="19"/>
  <c r="W127" i="19" s="1"/>
  <c r="U127" i="19"/>
  <c r="E166" i="27"/>
  <c r="D124" i="27"/>
  <c r="H127" i="27"/>
  <c r="I124" i="27"/>
  <c r="H126" i="27"/>
  <c r="K84" i="27"/>
  <c r="R102" i="19" s="1"/>
  <c r="L81" i="27"/>
  <c r="L83" i="27" s="1"/>
  <c r="K83" i="27"/>
  <c r="I102" i="19" s="1"/>
  <c r="J102" i="19" s="1"/>
  <c r="U160" i="19"/>
  <c r="W156" i="19"/>
  <c r="W160" i="19" s="1"/>
  <c r="E39" i="28"/>
  <c r="N127" i="27"/>
  <c r="O124" i="27"/>
  <c r="O126" i="27" s="1"/>
  <c r="N126" i="27"/>
  <c r="L40" i="27"/>
  <c r="K43" i="27"/>
  <c r="R69" i="19" s="1"/>
  <c r="K42" i="27"/>
  <c r="I69" i="19" s="1"/>
  <c r="D40" i="27"/>
  <c r="W50" i="19"/>
  <c r="W61" i="19" s="1"/>
  <c r="U61" i="19"/>
  <c r="D167" i="27"/>
  <c r="H170" i="27"/>
  <c r="R167" i="19" s="1"/>
  <c r="I167" i="27"/>
  <c r="H169" i="27"/>
  <c r="I167" i="19" s="1"/>
  <c r="O40" i="28"/>
  <c r="O42" i="28" s="1"/>
  <c r="N43" i="28"/>
  <c r="R58" i="20" s="1"/>
  <c r="N42" i="28"/>
  <c r="J101" i="19"/>
  <c r="N170" i="27"/>
  <c r="R169" i="19" s="1"/>
  <c r="O167" i="27"/>
  <c r="O169" i="27" s="1"/>
  <c r="N169" i="27"/>
  <c r="I169" i="19" s="1"/>
  <c r="J169" i="19" s="1"/>
  <c r="Q68" i="19"/>
  <c r="S68" i="19" s="1"/>
  <c r="K57" i="20"/>
  <c r="L57" i="20"/>
  <c r="P57" i="20"/>
  <c r="Q57" i="20" s="1"/>
  <c r="W90" i="19"/>
  <c r="W94" i="19" s="1"/>
  <c r="U94" i="19"/>
  <c r="K170" i="27"/>
  <c r="R168" i="19" s="1"/>
  <c r="L167" i="27"/>
  <c r="L169" i="27" s="1"/>
  <c r="K169" i="27"/>
  <c r="I168" i="19" s="1"/>
  <c r="J168" i="19" s="1"/>
  <c r="R60" i="20" l="1"/>
  <c r="R62" i="20" s="1"/>
  <c r="L70" i="19"/>
  <c r="P70" i="19"/>
  <c r="Q70" i="19" s="1"/>
  <c r="K70" i="19"/>
  <c r="R72" i="19"/>
  <c r="R74" i="19" s="1"/>
  <c r="R105" i="19"/>
  <c r="R107" i="19" s="1"/>
  <c r="D83" i="27"/>
  <c r="I105" i="19"/>
  <c r="I107" i="19" s="1"/>
  <c r="I135" i="19"/>
  <c r="J135" i="19" s="1"/>
  <c r="R135" i="19"/>
  <c r="D43" i="27"/>
  <c r="D42" i="27"/>
  <c r="S57" i="20"/>
  <c r="U57" i="20" s="1"/>
  <c r="W57" i="20" s="1"/>
  <c r="F58" i="20"/>
  <c r="I58" i="20"/>
  <c r="I60" i="20" s="1"/>
  <c r="I62" i="20" s="1"/>
  <c r="E167" i="27"/>
  <c r="E169" i="27" s="1"/>
  <c r="I169" i="27"/>
  <c r="J69" i="19"/>
  <c r="I72" i="19"/>
  <c r="I74" i="19" s="1"/>
  <c r="I134" i="19"/>
  <c r="R134" i="19"/>
  <c r="D43" i="28"/>
  <c r="D42" i="28"/>
  <c r="U68" i="19"/>
  <c r="L102" i="19"/>
  <c r="K102" i="19"/>
  <c r="P102" i="19"/>
  <c r="Q102" i="19" s="1"/>
  <c r="E124" i="27"/>
  <c r="E126" i="27" s="1"/>
  <c r="I126" i="27"/>
  <c r="K168" i="19"/>
  <c r="L168" i="19"/>
  <c r="P168" i="19"/>
  <c r="Q168" i="19" s="1"/>
  <c r="R171" i="19"/>
  <c r="R173" i="19" s="1"/>
  <c r="I136" i="19"/>
  <c r="J136" i="19" s="1"/>
  <c r="R136" i="19"/>
  <c r="D127" i="27"/>
  <c r="D126" i="27"/>
  <c r="J56" i="20"/>
  <c r="E81" i="27"/>
  <c r="E83" i="27" s="1"/>
  <c r="K169" i="19"/>
  <c r="L169" i="19"/>
  <c r="P169" i="19"/>
  <c r="Q169" i="19" s="1"/>
  <c r="I171" i="19"/>
  <c r="I173" i="19" s="1"/>
  <c r="J167" i="19"/>
  <c r="J105" i="19"/>
  <c r="J107" i="19" s="1"/>
  <c r="L101" i="19"/>
  <c r="K101" i="19"/>
  <c r="P101" i="19"/>
  <c r="D170" i="27"/>
  <c r="D169" i="27"/>
  <c r="L42" i="27"/>
  <c r="E40" i="27"/>
  <c r="E42" i="27" s="1"/>
  <c r="E40" i="28"/>
  <c r="E42" i="28" s="1"/>
  <c r="I42" i="28"/>
  <c r="K103" i="19"/>
  <c r="L103" i="19"/>
  <c r="P103" i="19"/>
  <c r="Q103" i="19" s="1"/>
  <c r="S70" i="19" l="1"/>
  <c r="U70" i="19" s="1"/>
  <c r="W70" i="19" s="1"/>
  <c r="L135" i="19"/>
  <c r="P135" i="19"/>
  <c r="Q135" i="19" s="1"/>
  <c r="K135" i="19"/>
  <c r="S168" i="19"/>
  <c r="U168" i="19" s="1"/>
  <c r="W168" i="19" s="1"/>
  <c r="S103" i="19"/>
  <c r="U103" i="19" s="1"/>
  <c r="W103" i="19" s="1"/>
  <c r="R138" i="19"/>
  <c r="R140" i="19" s="1"/>
  <c r="P105" i="19"/>
  <c r="P107" i="19" s="1"/>
  <c r="Q101" i="19"/>
  <c r="Q105" i="19" s="1"/>
  <c r="Q107" i="19" s="1"/>
  <c r="J171" i="19"/>
  <c r="J173" i="19" s="1"/>
  <c r="L167" i="19"/>
  <c r="L171" i="19" s="1"/>
  <c r="L173" i="19" s="1"/>
  <c r="K167" i="19"/>
  <c r="P167" i="19"/>
  <c r="S169" i="19"/>
  <c r="U169" i="19" s="1"/>
  <c r="W169" i="19" s="1"/>
  <c r="L136" i="19"/>
  <c r="K136" i="19"/>
  <c r="P136" i="19"/>
  <c r="Q136" i="19" s="1"/>
  <c r="S102" i="19"/>
  <c r="U102" i="19" s="1"/>
  <c r="W102" i="19" s="1"/>
  <c r="I138" i="19"/>
  <c r="I140" i="19" s="1"/>
  <c r="J134" i="19"/>
  <c r="W68" i="19"/>
  <c r="K105" i="19"/>
  <c r="K107" i="19" s="1"/>
  <c r="L105" i="19"/>
  <c r="L107" i="19" s="1"/>
  <c r="K56" i="20"/>
  <c r="L56" i="20"/>
  <c r="P56" i="20"/>
  <c r="K69" i="19"/>
  <c r="L69" i="19"/>
  <c r="L72" i="19" s="1"/>
  <c r="L74" i="19" s="1"/>
  <c r="P69" i="19"/>
  <c r="J72" i="19"/>
  <c r="J74" i="19" s="1"/>
  <c r="F60" i="20"/>
  <c r="F62" i="20" s="1"/>
  <c r="J58" i="20"/>
  <c r="J60" i="20" s="1"/>
  <c r="J62" i="20" s="1"/>
  <c r="S101" i="19" l="1"/>
  <c r="S135" i="19"/>
  <c r="U135" i="19" s="1"/>
  <c r="W135" i="19" s="1"/>
  <c r="Q56" i="20"/>
  <c r="S56" i="20" s="1"/>
  <c r="K72" i="19"/>
  <c r="K74" i="19" s="1"/>
  <c r="Q69" i="19"/>
  <c r="Q72" i="19" s="1"/>
  <c r="Q74" i="19" s="1"/>
  <c r="P72" i="19"/>
  <c r="P74" i="19" s="1"/>
  <c r="J138" i="19"/>
  <c r="J140" i="19" s="1"/>
  <c r="K134" i="19"/>
  <c r="L134" i="19"/>
  <c r="L138" i="19" s="1"/>
  <c r="L140" i="19" s="1"/>
  <c r="P134" i="19"/>
  <c r="S136" i="19"/>
  <c r="U136" i="19" s="1"/>
  <c r="W136" i="19" s="1"/>
  <c r="K171" i="19"/>
  <c r="K173" i="19" s="1"/>
  <c r="P171" i="19"/>
  <c r="P173" i="19" s="1"/>
  <c r="Q167" i="19"/>
  <c r="Q171" i="19" s="1"/>
  <c r="Q173" i="19" s="1"/>
  <c r="L58" i="20"/>
  <c r="L60" i="20" s="1"/>
  <c r="L62" i="20" s="1"/>
  <c r="K58" i="20"/>
  <c r="P58" i="20"/>
  <c r="Q58" i="20" s="1"/>
  <c r="S58" i="20" l="1"/>
  <c r="U58" i="20" s="1"/>
  <c r="W58" i="20" s="1"/>
  <c r="P138" i="19"/>
  <c r="P140" i="19" s="1"/>
  <c r="Q134" i="19"/>
  <c r="Q138" i="19" s="1"/>
  <c r="Q140" i="19" s="1"/>
  <c r="U56" i="20"/>
  <c r="S167" i="19"/>
  <c r="S69" i="19"/>
  <c r="S105" i="19"/>
  <c r="S107" i="19" s="1"/>
  <c r="E14" i="21" s="1"/>
  <c r="E33" i="21" s="1"/>
  <c r="E53" i="21" s="1"/>
  <c r="E15" i="4" s="1"/>
  <c r="U101" i="19"/>
  <c r="K60" i="20"/>
  <c r="K62" i="20" s="1"/>
  <c r="K138" i="19"/>
  <c r="K140" i="19" s="1"/>
  <c r="P60" i="20"/>
  <c r="P62" i="20" s="1"/>
  <c r="Q60" i="20"/>
  <c r="Q62" i="20" s="1"/>
  <c r="S60" i="20" l="1"/>
  <c r="S62" i="20" s="1"/>
  <c r="E17" i="21" s="1"/>
  <c r="S134" i="19"/>
  <c r="U134" i="19" s="1"/>
  <c r="U105" i="19"/>
  <c r="U107" i="19" s="1"/>
  <c r="W101" i="19"/>
  <c r="W105" i="19" s="1"/>
  <c r="W107" i="19" s="1"/>
  <c r="W108" i="19" s="1"/>
  <c r="W56" i="20"/>
  <c r="W60" i="20" s="1"/>
  <c r="W62" i="20" s="1"/>
  <c r="U60" i="20"/>
  <c r="U62" i="20" s="1"/>
  <c r="U69" i="19"/>
  <c r="S72" i="19"/>
  <c r="S74" i="19" s="1"/>
  <c r="E13" i="21" s="1"/>
  <c r="S171" i="19"/>
  <c r="S173" i="19" s="1"/>
  <c r="E16" i="21" s="1"/>
  <c r="E35" i="21" s="1"/>
  <c r="E55" i="21" s="1"/>
  <c r="E17" i="4" s="1"/>
  <c r="U167" i="19"/>
  <c r="S138" i="19" l="1"/>
  <c r="S140" i="19" s="1"/>
  <c r="E15" i="21" s="1"/>
  <c r="E34" i="21" s="1"/>
  <c r="E54" i="21" s="1"/>
  <c r="E16" i="4" s="1"/>
  <c r="W69" i="19"/>
  <c r="W72" i="19" s="1"/>
  <c r="W74" i="19" s="1"/>
  <c r="W75" i="19" s="1"/>
  <c r="U72" i="19"/>
  <c r="U74" i="19" s="1"/>
  <c r="E32" i="21"/>
  <c r="U171" i="19"/>
  <c r="U173" i="19" s="1"/>
  <c r="W167" i="19"/>
  <c r="W171" i="19" s="1"/>
  <c r="W173" i="19" s="1"/>
  <c r="W174" i="19" s="1"/>
  <c r="W134" i="19"/>
  <c r="W138" i="19" s="1"/>
  <c r="W140" i="19" s="1"/>
  <c r="W141" i="19" s="1"/>
  <c r="U138" i="19"/>
  <c r="U140" i="19" s="1"/>
  <c r="G18" i="21" l="1"/>
  <c r="G20" i="21" s="1"/>
  <c r="G38" i="21" s="1"/>
  <c r="G58" i="21" s="1"/>
  <c r="G20" i="4" s="1"/>
  <c r="G25" i="4" s="1"/>
  <c r="F36" i="21"/>
  <c r="E52" i="21"/>
  <c r="G63" i="21" l="1"/>
  <c r="G67" i="21" s="1"/>
  <c r="G69" i="21" s="1"/>
  <c r="G27" i="4"/>
  <c r="G29" i="4"/>
  <c r="G31" i="4" s="1"/>
  <c r="G26" i="4"/>
  <c r="G28" i="4"/>
  <c r="G30" i="4" s="1"/>
  <c r="F56" i="21"/>
  <c r="E14" i="4"/>
  <c r="G18" i="4" s="1"/>
  <c r="G65" i="21" l="1"/>
  <c r="G66" i="21"/>
  <c r="G68" i="21" s="1"/>
  <c r="G64" i="21"/>
</calcChain>
</file>

<file path=xl/sharedStrings.xml><?xml version="1.0" encoding="utf-8"?>
<sst xmlns="http://schemas.openxmlformats.org/spreadsheetml/2006/main" count="5086" uniqueCount="1863">
  <si>
    <t>Removes transmission plant determined by Commission order to be excluded from RTO transmission rate base under Docket No. EL08-89-000 (to the extent FERC Form 1 balances are not adjusted).</t>
  </si>
  <si>
    <t>The Noncontrolling Interest represents a third party's 50% investment in one of GPE's consolidated subsidiaries reported on the consolidated balance sheet's equity section separate from the parent's equity, as required by generally accepted accounting principles effective January 1, 2009.</t>
  </si>
  <si>
    <t>(Wksht A-1,p 2,Line 15)</t>
  </si>
  <si>
    <t>(Wksht A-1,p 2,Line 16)</t>
  </si>
  <si>
    <t>(Wksht A-1,p 2,Line 17)</t>
  </si>
  <si>
    <t>1.5 * (a * d)</t>
  </si>
  <si>
    <t>(e / 1.5)</t>
  </si>
  <si>
    <t>1.5* (a * d)</t>
  </si>
  <si>
    <t xml:space="preserve"> BPF projects that have been completed and whose costs are in the Form 1 should be entered on this page as well as any CWIP balance for those projects with CWIP incentive.  If a project is completed in phases over multiple years, that project should be entered in sheet P-4 until the entire project is completed and reported in the Form 1.</t>
  </si>
  <si>
    <t>Actual Incentive           Rev Reg (A-9)</t>
  </si>
  <si>
    <t>Summary of Actual Sponsored Projects</t>
  </si>
  <si>
    <t>GSU:</t>
  </si>
  <si>
    <t>Book accrual of postretirement benefits vs. actual payments for tax</t>
  </si>
  <si>
    <t>Book amortization vs. inclusion in year received for tax</t>
  </si>
  <si>
    <t>Book accrual for partnership income vs. taxable income on K-1s</t>
  </si>
  <si>
    <t>Book accrual of interest on tax liabilities vs. inclusion when determinable for tax</t>
  </si>
  <si>
    <t>Book accrual of FERC jurisdictional Decommission Costs vs. not deducted for tax</t>
  </si>
  <si>
    <t>Book accrual of AFDC on CWIP projects vs. tax interest capitalized in SWIP</t>
  </si>
  <si>
    <t>Rev Reg</t>
  </si>
  <si>
    <t>(P-1 as applicable)</t>
  </si>
  <si>
    <t>(f+k)*i+(f*j)</t>
  </si>
  <si>
    <t>Book accrual of vacation vs. actual payments within 2 1/2 months of year end for tax</t>
  </si>
  <si>
    <t>Book accrual of life insurance for severed Aquila employees vs. actual payments for tax</t>
  </si>
  <si>
    <t>Book accrual of bad debts vs. actual write-offs for tax</t>
  </si>
  <si>
    <t>Book accrual of injuries and damages vs. actual payments for tax</t>
  </si>
  <si>
    <t>GBC Tax Credit Carry forward (Generation)</t>
  </si>
  <si>
    <t>Tax Benefits of General Business Tax Credits Carry forward</t>
  </si>
  <si>
    <t>Investment Tax Credit on Wolf Creek Nuclear Plant</t>
  </si>
  <si>
    <t>Investment Tax Credit on Iatan 2 Plant</t>
  </si>
  <si>
    <t>Book Basis vs. Tax Basis on all Plant</t>
  </si>
  <si>
    <t>Miscellaneous Accruals</t>
  </si>
  <si>
    <t>Book accrual for miscellaneous expenses vs. actual payments for tax</t>
  </si>
  <si>
    <t>Coal premiums expensed for tax in year paid</t>
  </si>
  <si>
    <t>Book Amort Mortgage Register Taxes</t>
  </si>
  <si>
    <t>Book amortization of mortgage registration taxes vs. deduction in year paid for tax</t>
  </si>
  <si>
    <t>Book Basis vs. Tax Basis of Nonutility Assets</t>
  </si>
  <si>
    <t>Tax deduction of Nonutility Interest on Fixed Assets vs. Capitalized for Books</t>
  </si>
  <si>
    <t>Tax deduction of Nonutility Software Costs vs. Capitalized for Books</t>
  </si>
  <si>
    <t>Less: Substation Facilities Transfer to Transmission Plant</t>
  </si>
  <si>
    <t>The Gross PTD allocator reflects the total gross production, transmission, and distribution plant value allocated and specifically assigned to each jurisdiction as a percentage of KCP&amp;L total gross production, transmission, and distribution plant.</t>
  </si>
  <si>
    <t>The Gross T&amp;D allocator reflects the total gross transmission and gross distribution plant value allocated and specifically assigned to each jurisdiction as a percentage of KCP&amp;L total gross transmission and gross distribution plant.</t>
  </si>
  <si>
    <t>Gross Receipts,  Uses &amp; KC Earning Tax</t>
  </si>
  <si>
    <t>Stilwell-Antioch Reconductor</t>
  </si>
  <si>
    <t xml:space="preserve">     Plus: General Advertising:</t>
  </si>
  <si>
    <t>Unamortized Abandoned Trans. Plt.</t>
  </si>
  <si>
    <t>Actual Incentive      Rev Reg     (A-9)</t>
  </si>
  <si>
    <t>a. Formula difference between FN 1 debit return vs. Greg Clizer provided.</t>
  </si>
  <si>
    <t>Pending detail from SPP to breakout Schedule 7&amp;8 fees</t>
  </si>
  <si>
    <t xml:space="preserve">     Rate Formula Template</t>
  </si>
  <si>
    <t xml:space="preserve"> </t>
  </si>
  <si>
    <t>Line</t>
  </si>
  <si>
    <t>No.</t>
  </si>
  <si>
    <t>Amount</t>
  </si>
  <si>
    <t xml:space="preserve">REVENUE CREDITS </t>
  </si>
  <si>
    <t>Total</t>
  </si>
  <si>
    <t>TP</t>
  </si>
  <si>
    <t>The current depreciation rates used to calculate depreciation expense and accumulated depreciation balances are shown in worksheet A-5.</t>
  </si>
  <si>
    <t>(Wksht. RTO, ITP-1 Section, line T3 )</t>
  </si>
  <si>
    <t>(Wksht. RTO, Base Plan Section, line T3 )</t>
  </si>
  <si>
    <t>(Wksht. RTO, Balance Port. Section, line T3 )</t>
  </si>
  <si>
    <t>(Wksht. RTO, ITP-2 Section, line T3 )</t>
  </si>
  <si>
    <t>(Wksht. SFP, line T3)</t>
  </si>
  <si>
    <t>Accum. Depr.</t>
  </si>
  <si>
    <t xml:space="preserve">1. When calculating the "Actual Gross Revenue Requirement", use the actual 13 month account balances for the year being trued-up. </t>
  </si>
  <si>
    <t>Reserve Funds (Non-Escrowed)</t>
  </si>
  <si>
    <t>Sept</t>
  </si>
  <si>
    <t>Kansas City Power &amp; Light Company (KCP&amp;L)</t>
  </si>
  <si>
    <t>Kansas City Power &amp; Light Company</t>
  </si>
  <si>
    <t>(KCP&amp;L)</t>
  </si>
  <si>
    <t xml:space="preserve"> KCP&amp;L   12-CP. Peak Demand</t>
  </si>
  <si>
    <t xml:space="preserve"> KCP&amp;L  12-CP. Peak Demand</t>
  </si>
  <si>
    <t>KANSAS CITY POWER &amp; LIGHT COMPANY</t>
  </si>
  <si>
    <t>KANSAS CITY POWER &amp; LIGHT COMPANY. (KCP&amp;L)</t>
  </si>
  <si>
    <t>KCP&amp;L</t>
  </si>
  <si>
    <t>KCP&amp;L's Native System Peak Load</t>
  </si>
  <si>
    <t>Adjusted KCPL's     Native System Peak Load</t>
  </si>
  <si>
    <t>Less: Load  Not Connected to the KCP&amp;L's Transmission System</t>
  </si>
  <si>
    <t>KCP&amp;L's  Transmission System Load      (e-f+g+h+i+j-k)</t>
  </si>
  <si>
    <t>I.   KCP&amp;L</t>
  </si>
  <si>
    <t xml:space="preserve">      KCP&amp;L</t>
  </si>
  <si>
    <t xml:space="preserve">KCP&amp;L </t>
  </si>
  <si>
    <t>KCP&amp;L populates the formula rate using projected costs for Year 1</t>
  </si>
  <si>
    <t>KCP&amp;L populates the formula rate using projected costs for Year 2</t>
  </si>
  <si>
    <t>KCP&amp;L populates the formula rate using actual costs for Year 1</t>
  </si>
  <si>
    <t>KCP&amp;L populates the formula rate using projected costs for Year 3, including true-up adjustment for Year 1</t>
  </si>
  <si>
    <t>Network Service Revenue (Schedule 9) Associated With Load Included in the Divisor</t>
  </si>
  <si>
    <t>Plus:          Grandfather Agreements</t>
  </si>
  <si>
    <t>Transmission plant included in rates</t>
  </si>
  <si>
    <t>Plant in Service</t>
  </si>
  <si>
    <t>Accumulated</t>
  </si>
  <si>
    <t>Total Facilities Rev. Req. without Incentives</t>
  </si>
  <si>
    <t>ITP/Priority Projects-1 Net Revenue Req.</t>
  </si>
  <si>
    <t xml:space="preserve">    Long Term Interest</t>
  </si>
  <si>
    <t xml:space="preserve">     Less: Trans. Lease Payments &amp; Facility Chge</t>
  </si>
  <si>
    <t>(Projected Gross Rev Req, p. 4, line 20)</t>
  </si>
  <si>
    <t>CWIP Regulatory Liability for Transmission Proj.</t>
  </si>
  <si>
    <t>Note:  Each non-escrowed reserve fund will be allocated based on Non-transmission, 100% Transmission, Plant Allocator, or Wages &amp; Salary Allocator, as appropriate.</t>
  </si>
  <si>
    <t xml:space="preserve">                 Transmission Vegetation Management</t>
  </si>
  <si>
    <t xml:space="preserve">                 Transmission Reliability</t>
  </si>
  <si>
    <t xml:space="preserve">                           Total Research &amp; Experimental Expenses</t>
  </si>
  <si>
    <t>CWIP for Incentive Transmission Projects</t>
  </si>
  <si>
    <t>Amortization of Abandoned Transmission Plant</t>
  </si>
  <si>
    <t>Acct. 407 (Note S)</t>
  </si>
  <si>
    <t>323.191.b</t>
  </si>
  <si>
    <t>323.189.b</t>
  </si>
  <si>
    <t>Page 3 of 4</t>
  </si>
  <si>
    <t>20xx-x</t>
  </si>
  <si>
    <t>Expenses recorded in Account 565, Transmission of Electricity by Others, are not recoverable through the formula rate.</t>
  </si>
  <si>
    <t xml:space="preserve">     Plus -Advertising Safety</t>
  </si>
  <si>
    <t>(A-10 Act A&amp;G, line 11)</t>
  </si>
  <si>
    <t>5g</t>
  </si>
  <si>
    <t>Summary of projected revenue requirements,  point to point rates, and Schedule 1 rates.</t>
  </si>
  <si>
    <t>Percentage of Aver. Jan -Aug Load</t>
  </si>
  <si>
    <t>Calculation of Net Plant for BPF Projects:</t>
  </si>
  <si>
    <t>Calculation of Net Plant for Balanced Portfolio Projects:</t>
  </si>
  <si>
    <t>Calculation of Net Plant for ITP / Priority Projects -1:</t>
  </si>
  <si>
    <t>Calculation of Net Plant for ITP / Priority Projects -2</t>
  </si>
  <si>
    <t>Calculation of Net Plant for Sponsored Upgrade:</t>
  </si>
  <si>
    <t>Annual</t>
  </si>
  <si>
    <t>Net Revenue Requirement Including True-Up</t>
  </si>
  <si>
    <t>(F)</t>
  </si>
  <si>
    <t xml:space="preserve">Description </t>
  </si>
  <si>
    <t>Worksheet A-8 - Actual Sponsored Upgrades</t>
  </si>
  <si>
    <t>Worksheet A-9 - Actual Incentive Plant</t>
  </si>
  <si>
    <t>Adjusted</t>
  </si>
  <si>
    <t>(Note N)</t>
  </si>
  <si>
    <t>256 &amp; 257  notes</t>
  </si>
  <si>
    <t>Schedule 1 ARR</t>
  </si>
  <si>
    <t xml:space="preserve">Total Load Dispatch &amp; Scheduling </t>
  </si>
  <si>
    <t>(Projected Net Rev Req, page 1)</t>
  </si>
  <si>
    <t>Percentage of transmission plant included in rates</t>
  </si>
  <si>
    <t>283300</t>
  </si>
  <si>
    <t>Deferred Tax Miscellaneous:</t>
  </si>
  <si>
    <t xml:space="preserve">       (FIT, SIT &amp; p are as given in Note H)</t>
  </si>
  <si>
    <t xml:space="preserve">        WCLTD=(page 5, line 21) </t>
  </si>
  <si>
    <t xml:space="preserve">Note: </t>
  </si>
  <si>
    <t>Amortization of Abandon Transmission Plant</t>
  </si>
  <si>
    <t>CWIP</t>
  </si>
  <si>
    <t>Balanced Portfolio Project</t>
  </si>
  <si>
    <t>Sponsored Project</t>
  </si>
  <si>
    <r>
      <t xml:space="preserve">(A) </t>
    </r>
    <r>
      <rPr>
        <sz val="10"/>
        <rFont val="Arial MT"/>
      </rPr>
      <t>Project Incentives as provided by Commission approval.</t>
    </r>
  </si>
  <si>
    <t>Prior Year True-Up</t>
  </si>
  <si>
    <t>Actual Schedule 1 Revenue Requirements</t>
  </si>
  <si>
    <t>Projected Schedule 1 Revenue Requirements</t>
  </si>
  <si>
    <t xml:space="preserve">Projected O&amp;M  </t>
  </si>
  <si>
    <t>Projected Other Taxes</t>
  </si>
  <si>
    <t>Station Equipment- Communication Eq (same as 397)</t>
  </si>
  <si>
    <t>Poles and Fixtures - MO Situs</t>
  </si>
  <si>
    <t>Projected</t>
  </si>
  <si>
    <t>12-Month Depreciation Accrual</t>
  </si>
  <si>
    <t>Page 2 of 68</t>
  </si>
  <si>
    <t>Page 3 of 68</t>
  </si>
  <si>
    <t>Page 4 of 68</t>
  </si>
  <si>
    <t>Page 5 of 68</t>
  </si>
  <si>
    <t>Page 6 of 68</t>
  </si>
  <si>
    <t>Page 7 of 68</t>
  </si>
  <si>
    <t>Page 8 of 68</t>
  </si>
  <si>
    <t>Page 9 of 68</t>
  </si>
  <si>
    <t>Page 10 of 68</t>
  </si>
  <si>
    <t>Page 11 of 68</t>
  </si>
  <si>
    <t>Page 12 of 68</t>
  </si>
  <si>
    <t>Page 13 of 68</t>
  </si>
  <si>
    <t>Page 14 of 68</t>
  </si>
  <si>
    <t>Page 15 of 68</t>
  </si>
  <si>
    <t>Page 16 of 68</t>
  </si>
  <si>
    <t>Page 17 of 68</t>
  </si>
  <si>
    <t>Page 18 of 68</t>
  </si>
  <si>
    <t>Page 19 of 68</t>
  </si>
  <si>
    <t>Page 20 of 68</t>
  </si>
  <si>
    <t>Page 21 of 68</t>
  </si>
  <si>
    <t>Page 22 of 68</t>
  </si>
  <si>
    <t>Page 23 of 68</t>
  </si>
  <si>
    <t>Page 24 of 68</t>
  </si>
  <si>
    <t>Page 25 of 68</t>
  </si>
  <si>
    <t>Page 26 of 68</t>
  </si>
  <si>
    <t>Page 27 of 68</t>
  </si>
  <si>
    <t>Page 28 of 68</t>
  </si>
  <si>
    <t>Page 29 of 68</t>
  </si>
  <si>
    <t>Page 30 of 68</t>
  </si>
  <si>
    <t>Page 31 of 68</t>
  </si>
  <si>
    <t>Page 32 of 68</t>
  </si>
  <si>
    <t>Page 33 of 68</t>
  </si>
  <si>
    <t>Page 34 of 68</t>
  </si>
  <si>
    <t>Page 35 of 68</t>
  </si>
  <si>
    <t>Page 36 of 68</t>
  </si>
  <si>
    <t>Page 37 of 68</t>
  </si>
  <si>
    <t>Page 38 of 68</t>
  </si>
  <si>
    <t>Page 39 of 68</t>
  </si>
  <si>
    <t>Page 40 of 68</t>
  </si>
  <si>
    <t>Page 41 of 68</t>
  </si>
  <si>
    <t>Page 42 of 68</t>
  </si>
  <si>
    <t>Page 43 of 68</t>
  </si>
  <si>
    <t>Page 44 of 68</t>
  </si>
  <si>
    <t>Page 45 of 68</t>
  </si>
  <si>
    <t>Page 46 of 68</t>
  </si>
  <si>
    <t>Page 47 of 68</t>
  </si>
  <si>
    <t>Page 48 of 68</t>
  </si>
  <si>
    <t>Page 49 of 68</t>
  </si>
  <si>
    <t>Page 50 of 68</t>
  </si>
  <si>
    <t>Page 51 of 68</t>
  </si>
  <si>
    <t>Page 52 of 68</t>
  </si>
  <si>
    <t>Page 53 of 68</t>
  </si>
  <si>
    <t>Page 54 of 68</t>
  </si>
  <si>
    <t>Page 55 of 68</t>
  </si>
  <si>
    <t>Page 56 of 68</t>
  </si>
  <si>
    <t>Page 57 of 68</t>
  </si>
  <si>
    <t>Page 58 of 68</t>
  </si>
  <si>
    <t>Page 59 of 68</t>
  </si>
  <si>
    <t>Page 60 of 68</t>
  </si>
  <si>
    <t>Page 61 of 68</t>
  </si>
  <si>
    <t>Page 62 of 68</t>
  </si>
  <si>
    <t>Page 63 of 68</t>
  </si>
  <si>
    <t>Page 64 of 68</t>
  </si>
  <si>
    <t>Page 65 of 68</t>
  </si>
  <si>
    <t>Page 66 of 68</t>
  </si>
  <si>
    <t>Page 67 of 68</t>
  </si>
  <si>
    <t>Page 68 of 68</t>
  </si>
  <si>
    <t>I included self generation in the total for KMEA, I suppose argument could be made to remove and stand alone, but determine the reporting of one amount for KMEA maybe less confusing.</t>
  </si>
  <si>
    <t>Zonal Gross Revenue Requirement</t>
  </si>
  <si>
    <t>NET REVENUE REQUIREMENT</t>
  </si>
  <si>
    <t>Base Plan Gross Revenue Credit</t>
  </si>
  <si>
    <t>Zonal Gross Revenue Credit</t>
  </si>
  <si>
    <t>Book vs. Tax difference for Smart Grid Grant.</t>
  </si>
  <si>
    <t>Projected expenses and revenue credits for next calendar year</t>
  </si>
  <si>
    <t xml:space="preserve">Deprec. Rate: </t>
  </si>
  <si>
    <t>Total Sponsor Funded Projects</t>
  </si>
  <si>
    <t>B.</t>
  </si>
  <si>
    <t>Point-to-Point Service</t>
  </si>
  <si>
    <t>C.</t>
  </si>
  <si>
    <t>V.</t>
  </si>
  <si>
    <t>Total Actual Sponsored       Rev Reg</t>
  </si>
  <si>
    <t>(a*b)</t>
  </si>
  <si>
    <r>
      <t>Column c</t>
    </r>
    <r>
      <rPr>
        <sz val="12"/>
        <rFont val="Arial MT"/>
      </rPr>
      <t xml:space="preserve"> is average (January thru August) of monthly transmission network load in column e.</t>
    </r>
  </si>
  <si>
    <t>Transmission Network Load</t>
  </si>
  <si>
    <t xml:space="preserve">     Less: Transmission Leases &amp; Facility Charges</t>
  </si>
  <si>
    <t>Apportionment Factor</t>
  </si>
  <si>
    <t>(Note this is weighted for partial year)</t>
  </si>
  <si>
    <t>Tax deduction of AFUDC Debt Cost included in CWIP for Books</t>
  </si>
  <si>
    <t>Software Deduction in CWIP</t>
  </si>
  <si>
    <t>Tax deduction of Software Costs included in CWIP for Books</t>
  </si>
  <si>
    <t>Nonutility Depreciation</t>
  </si>
  <si>
    <t>Nonutility Capitalized Interest</t>
  </si>
  <si>
    <t>Nonutility Book Capitalized Software</t>
  </si>
  <si>
    <t>Nuclear Fuel</t>
  </si>
  <si>
    <t>Equipment / Facilities Rental</t>
  </si>
  <si>
    <t>(line 7 - Net Incentive Plt)</t>
  </si>
  <si>
    <t xml:space="preserve">Rate Base Adjustments </t>
  </si>
  <si>
    <t>Line 4 divided by Line 1)</t>
  </si>
  <si>
    <t xml:space="preserve">   Page 3, line 17, col 6</t>
  </si>
  <si>
    <t>Development of Applicable Carrying Charges</t>
  </si>
  <si>
    <t>Cells highlighted in yellow are data input cells.  Some cells may reference the results from other calculations in the formula.  Such cell references  may change from year to year, requiring manual adjustment of the reference or the direct entry of the proper value.</t>
  </si>
  <si>
    <t xml:space="preserve">                Tab</t>
  </si>
  <si>
    <t>Actual revenue requirements for Schedule 1</t>
  </si>
  <si>
    <t>Actual transmission system load</t>
  </si>
  <si>
    <t>Assets excluded from transmission rate base</t>
  </si>
  <si>
    <t>Depreciation rates for each account</t>
  </si>
  <si>
    <t>Actual taxes other than income taxes</t>
  </si>
  <si>
    <t>Actual RTO-directed projects: Base Plan, Balanced Portfolio, and ITP/Priority Projects</t>
  </si>
  <si>
    <t xml:space="preserve">GROSS PLANT IN SERVICE </t>
  </si>
  <si>
    <t>South Waverly Capacity Bank</t>
  </si>
  <si>
    <t>Sponsor Funded Projects</t>
  </si>
  <si>
    <t>ADIT-190</t>
  </si>
  <si>
    <t>Subtotal</t>
  </si>
  <si>
    <t>Other Misc</t>
  </si>
  <si>
    <t>2006-6</t>
  </si>
  <si>
    <t>Net Plant</t>
  </si>
  <si>
    <t>Project Description</t>
  </si>
  <si>
    <t>Plant in</t>
  </si>
  <si>
    <t>Service</t>
  </si>
  <si>
    <t>Accum</t>
  </si>
  <si>
    <t xml:space="preserve">Net Rev. Req with True-Up  </t>
  </si>
  <si>
    <t>(Note A)</t>
  </si>
  <si>
    <t xml:space="preserve">3. </t>
  </si>
  <si>
    <t>Federal Effect of State Uncertain tax position reserve</t>
  </si>
  <si>
    <t>Stock Compensation Accrual</t>
  </si>
  <si>
    <t>Misc Intangible - Cap Software 5 Year (Prod Demand)</t>
  </si>
  <si>
    <t>Misc Intangible - Cap Software 5 Year (Sal/Wages)</t>
  </si>
  <si>
    <t>SW</t>
  </si>
  <si>
    <t>Misc Intangible - Cap Software 5 Year (Transm Demand)</t>
  </si>
  <si>
    <t>Misc Intangible - Cap Software 10 Year (Customer)</t>
  </si>
  <si>
    <t>Misc Intangible - Cap Software 10 Year (Energy)</t>
  </si>
  <si>
    <t>Misc Intangible - Commun Equip (like A/C 397)</t>
  </si>
  <si>
    <t>T&amp;D</t>
  </si>
  <si>
    <t xml:space="preserve">Life insurance paid - severed Aquila employees </t>
  </si>
  <si>
    <t>Injuries and Damages</t>
  </si>
  <si>
    <t>Deferred Compensation  - (Current)</t>
  </si>
  <si>
    <t>Interest Rate Lock - OCI Interest</t>
  </si>
  <si>
    <t>Book Interest Rate Hedge Mark to Market recorded to OCI</t>
  </si>
  <si>
    <t xml:space="preserve">   Cost of Removal (normalized)</t>
  </si>
  <si>
    <t>Expense accrued for books not deducted for tax</t>
  </si>
  <si>
    <t xml:space="preserve">   AFUDC other than nuclear fuel</t>
  </si>
  <si>
    <t>AFUDC adjustment not recorded for tax purposes</t>
  </si>
  <si>
    <t xml:space="preserve">   Capitalized computer hardware</t>
  </si>
  <si>
    <t>Computer equipment capitalized for tax purposes, expensed for book purposes</t>
  </si>
  <si>
    <t xml:space="preserve">   Capitalized tax interest</t>
  </si>
  <si>
    <t>Interest capitalized for tax purposes</t>
  </si>
  <si>
    <t xml:space="preserve">   CIAC</t>
  </si>
  <si>
    <t>CIAC capitalized for tax purposes</t>
  </si>
  <si>
    <t xml:space="preserve">   FAS106/Pensions</t>
  </si>
  <si>
    <t>Pension and FAS 106 costs capitalized for tax purposes</t>
  </si>
  <si>
    <t xml:space="preserve">   KEPCO interest refund</t>
  </si>
  <si>
    <t>KEPCO interest refund capitalized for tax purposes</t>
  </si>
  <si>
    <t xml:space="preserve">   Repair retirements reversed</t>
  </si>
  <si>
    <t>Repairs retirements taken fro book purposes, not for tax purposes</t>
  </si>
  <si>
    <t xml:space="preserve">   Vehicle tax depreciation capitalized</t>
  </si>
  <si>
    <t>Tax depreciation capitalized for vehicles used in construction under UNICAP rules</t>
  </si>
  <si>
    <t xml:space="preserve">   Other</t>
  </si>
  <si>
    <t>Other items capitalized for tax, expensed for books</t>
  </si>
  <si>
    <t>Transmission CIAC</t>
  </si>
  <si>
    <t>Deferred Taxes - OCI (Gas Hedge)</t>
  </si>
  <si>
    <t>Book Natural Gas Hedge Mark to Market recorded to OCI</t>
  </si>
  <si>
    <t>FASB 109 Adjustment</t>
  </si>
  <si>
    <t>FAS 109 Deferred Taxes</t>
  </si>
  <si>
    <t>FASB 109 MO R&amp;D Credit Deferred</t>
  </si>
  <si>
    <t>FASB 109 Medicare Subsidies</t>
  </si>
  <si>
    <t>ITC - Wolf Creek ITC</t>
  </si>
  <si>
    <t>ITC - Electric</t>
  </si>
  <si>
    <t>Investment Tax Credit on all other Electric Plant</t>
  </si>
  <si>
    <t>ITC - Wolf Creek Sales</t>
  </si>
  <si>
    <t>ITC - Iatan 2 Advanced Coal Credit</t>
  </si>
  <si>
    <t>Reclass Debit Balances to 190</t>
  </si>
  <si>
    <t>31c</t>
  </si>
  <si>
    <t>Smart Grid Dem Grant Deferred</t>
  </si>
  <si>
    <t>Tax-Adjusted Return on Incentive ROE Adder</t>
  </si>
  <si>
    <t>GROSS REV. REQUIREMENT FOR INCENTIVE PROJECTS</t>
  </si>
  <si>
    <t>Zonal Network Revenue for TO's Facilities Under Schedule 11    -(Note 2)</t>
  </si>
  <si>
    <t>Summary for the projected year, and will include both projected for FY 2009 and FY 2008.</t>
  </si>
  <si>
    <t>Summary of the projected and previous</t>
  </si>
  <si>
    <t>Summary of the projected and previous Sponsored Projected.</t>
  </si>
  <si>
    <t>Actual Gross Rev.</t>
  </si>
  <si>
    <t>Wolf Creek Gross AFUDC - Structures &amp; Improvement</t>
  </si>
  <si>
    <t>Page 1 Line 10 General (Accumulated Depreciation)</t>
  </si>
  <si>
    <t xml:space="preserve">     T=1 - {[(1 - SIT) * (1 - FIT)] / (1 - SIT * FIT * p)}</t>
  </si>
  <si>
    <t xml:space="preserve">     EIT=(T/(1-T)) * (1-(WCLTD/WACC)) =</t>
  </si>
  <si>
    <t xml:space="preserve">    GRCF =  1 / (1 - T)  = (from line 23)</t>
  </si>
  <si>
    <t xml:space="preserve">  Long Term Debt </t>
  </si>
  <si>
    <t xml:space="preserve">  Preferred Stock  </t>
  </si>
  <si>
    <t>Less:</t>
  </si>
  <si>
    <t>Actual revenue credits</t>
  </si>
  <si>
    <t>Base Plan Funded Projects</t>
  </si>
  <si>
    <t>Projected Net Rev Req</t>
  </si>
  <si>
    <t>GROSS REV. REQ. WITH INCENTIVES</t>
  </si>
  <si>
    <t>LESS: Gross Rev. Req. for Incentives</t>
  </si>
  <si>
    <t>GROSS REV. REQ. WITHOUT INCENTIVES</t>
  </si>
  <si>
    <t xml:space="preserve">  Total Incentive Plant</t>
  </si>
  <si>
    <t xml:space="preserve">   Less: Total Accumulated Depreciation</t>
  </si>
  <si>
    <t xml:space="preserve">   Net Incentive Plant</t>
  </si>
  <si>
    <t xml:space="preserve">   Incentive Return Including Taxes</t>
  </si>
  <si>
    <t xml:space="preserve">   Total CWIP</t>
  </si>
  <si>
    <t xml:space="preserve">  Unamortized Abandoned Transmission Plant</t>
  </si>
  <si>
    <t xml:space="preserve">  Tax-Adjusted Return on Abandoned Plant</t>
  </si>
  <si>
    <t xml:space="preserve">  Amortization Expense for Abandoned Plant</t>
  </si>
  <si>
    <t xml:space="preserve">  Total Recovery for Abandoned Plant</t>
  </si>
  <si>
    <t>INCENTIVE PLANT (excludes CWIP and Abandoned Plant)</t>
  </si>
  <si>
    <t>Incentive Plant: Projected Base Plan Funded</t>
  </si>
  <si>
    <t>(Col 4 times Col 6)</t>
  </si>
  <si>
    <t>Portion of Fed Tax</t>
  </si>
  <si>
    <t>Deductible  = p</t>
  </si>
  <si>
    <t>Effective</t>
  </si>
  <si>
    <t>(Wksht A-1,p1,Line 39)</t>
  </si>
  <si>
    <t>Rate Base Adjustments</t>
  </si>
  <si>
    <t>Revenue Credit</t>
  </si>
  <si>
    <t>Projected Schedule 1 Rate Calculations</t>
  </si>
  <si>
    <t>Schedule 1 True-UP</t>
  </si>
  <si>
    <t>Actual Period Revenue Requirement</t>
  </si>
  <si>
    <t>Projected Period Revenue Requirement</t>
  </si>
  <si>
    <t>Revenue Requirement True-Up</t>
  </si>
  <si>
    <t>Removes generator step-up facilities determined by Commission order to be excluded from RTO transmission rate base under Docket No. EL08-89-000 (to the extent FERC Form 1 balances are not adjusted).</t>
  </si>
  <si>
    <t>Unless otherwise specified, OATT refers to the KCP&amp;L and SPP OATTs.</t>
  </si>
  <si>
    <t xml:space="preserve">  Federal Income Tax Rate</t>
  </si>
  <si>
    <t xml:space="preserve">  Composite State Income Tax Rate or Composite SIT</t>
  </si>
  <si>
    <t>Note A:   All line references are to "Spon Project Sumry" worksheet, page 1.</t>
  </si>
  <si>
    <t>Note B:  The depreciation rate is calculated by: line 1/line 6.</t>
  </si>
  <si>
    <t>Projected KCP&amp;L Zone 6 SPP Average 12-Mo. Peak Demand    (Wksht P-3, line 15)</t>
  </si>
  <si>
    <t>Total Trans. Facilities Gross Rev. Req., without Incentives</t>
  </si>
  <si>
    <t>TOTAL GROSS REV. REQUIREMENT FOR INCENTIVE PROJ.</t>
  </si>
  <si>
    <t>If Actual Revenue Req. &gt; Projected Revenue Req.</t>
  </si>
  <si>
    <t>Allocation of Revenue to Facility Groups:</t>
  </si>
  <si>
    <t>Percentage</t>
  </si>
  <si>
    <t>Base Plan</t>
  </si>
  <si>
    <t>RTO Project Summary - Summary of RTO Directed Projects</t>
  </si>
  <si>
    <t>Sponsor Funded Project Summary</t>
  </si>
  <si>
    <t xml:space="preserve">   Page 4, line 5a, col 7</t>
  </si>
  <si>
    <t>The Composite State Income Tax Rate reflects the effective rate for each tax jurisdiction:</t>
  </si>
  <si>
    <t>Book accrual for pension vs. actual payments for tax</t>
  </si>
  <si>
    <t>Book accrual of interest for Decommissioning of Wolf Creek vs. actual payments for tax</t>
  </si>
  <si>
    <t>Balance Portfolio Rev Req</t>
  </si>
  <si>
    <t>Revenue Requirement of SPP Projects  included in KCP&amp;L's Projected Revenue Requirements (Note D):</t>
  </si>
  <si>
    <t>ITP /Priority Project-1</t>
  </si>
  <si>
    <t>ITP /Priority Project-2</t>
  </si>
  <si>
    <t xml:space="preserve">  A&amp;G -Adjusted per Wksht A-10</t>
  </si>
  <si>
    <t>(336.10.b,c &amp; d)</t>
  </si>
  <si>
    <t>(336.7.f )</t>
  </si>
  <si>
    <t>Total Adjustments</t>
  </si>
  <si>
    <t>Year</t>
  </si>
  <si>
    <t xml:space="preserve"> LaCygne West Gardner</t>
  </si>
  <si>
    <t>Total Schedule 11 Gross Revenue Requirement</t>
  </si>
  <si>
    <t>A.</t>
  </si>
  <si>
    <t>Prepayments are the electric related prepayments booked to Account No. 165 and reported on FERC Form 1, p. 111, ln. 57.c.</t>
  </si>
  <si>
    <t xml:space="preserve"> Post-Employment Benefits Other than Pensions</t>
  </si>
  <si>
    <t xml:space="preserve">     Plus: PBOP (Projected 2010)</t>
  </si>
  <si>
    <t>(Actual Gross Rev Req, Page 5, Note R)</t>
  </si>
  <si>
    <t>DR</t>
  </si>
  <si>
    <t xml:space="preserve">For depreciation reserve,  non-excluded facilities divided by total transmission (actual year) </t>
  </si>
  <si>
    <t>(A-10 Act A&amp;G, line 21)</t>
  </si>
  <si>
    <t>(A-10 Act A&amp;G, line 16)</t>
  </si>
  <si>
    <t>(A-10 Act A&amp;G, line 26)</t>
  </si>
  <si>
    <t>(A-10 Act A&amp;G, line 32)</t>
  </si>
  <si>
    <t>(sum ln 3, 6 thru 7 less ln 4 thru 5a)</t>
  </si>
  <si>
    <t>IV. 13 Month Average -Gross Plant</t>
  </si>
  <si>
    <t xml:space="preserve">  Percentage of federal income tax deductible for state income tax purposes</t>
  </si>
  <si>
    <t>Short term Interest Rate (Notes A and F)</t>
  </si>
  <si>
    <t xml:space="preserve">FERC Quarterly Interest Rate </t>
  </si>
  <si>
    <t>Revenue Requirement for Sponsor Funded Projects (SFP) included in KCP&amp;L's Projected Revenue Requirements</t>
  </si>
  <si>
    <t>Kansas City Power &amp; Light</t>
  </si>
  <si>
    <t>(RTO Project Smry)</t>
  </si>
  <si>
    <t>(Actual Sch 1 Rev Req, line 2)*(Col. 5 / Col. 3, line 4 of P-2)</t>
  </si>
  <si>
    <t>(Actual Sch 1 Rev Req, line 3)*(Col. 5 / Col. 3, line 4 of P-2)</t>
  </si>
  <si>
    <t>(Actual Sch 1 Rev Req, line 4)*(Col. 5 / Col. 3, line 4 of P-2)</t>
  </si>
  <si>
    <t>BPF projects with incentives granted by FERC should be included in Sheet A-9 as well as this sheet.</t>
  </si>
  <si>
    <t xml:space="preserve">Gross Plant </t>
  </si>
  <si>
    <r>
      <t>A</t>
    </r>
    <r>
      <rPr>
        <sz val="11"/>
        <rFont val="Arial"/>
        <family val="2"/>
      </rPr>
      <t>. The Net Revenue Requirement with True-up from Projection for Actual Period, Schedule "Projected Net Rev Req".</t>
    </r>
  </si>
  <si>
    <t>Beginning in 2009, included in page 256 notes of the FERC Form 1, the long term interest expense and preferred dividends and a 13-month average balance for long-term debt, preferred stock and common equity of Great Plains Energy will be provided. This information will be the reference for the capital structure and weighted cost of long term debt and preferred stock.</t>
  </si>
  <si>
    <t>Zonal Net True-Up Revenue Requirement</t>
  </si>
  <si>
    <t xml:space="preserve"> Actual transmission depreciation expense (Actual Gross Rev Req, page 2, line 8) divided by actual transmission plant in service (Actual Gross Rev Req, page 1, line 2)</t>
  </si>
  <si>
    <t>Interest Rate Used for True-up adjustment (Note B)</t>
  </si>
  <si>
    <t>True-Up Amount (line 8c) (Note D)</t>
  </si>
  <si>
    <t>Projected Revenue Requirements from Step 1 (Note C)</t>
  </si>
  <si>
    <t>True-up Adjustment (Note E)</t>
  </si>
  <si>
    <t xml:space="preserve">r </t>
  </si>
  <si>
    <t>Net Revenue</t>
  </si>
  <si>
    <t>CWIP Regulatory Liability for Transmission Projects</t>
  </si>
  <si>
    <t>GROSS REV. REQUIREMENT WITH INCENTIVES</t>
  </si>
  <si>
    <t>LESS: Gross Revenue Requirements for Incentives</t>
  </si>
  <si>
    <t>ITP/Priority Projects-2 Revenue Requirement</t>
  </si>
  <si>
    <t>Balanced Portfolio Revenue Credit</t>
  </si>
  <si>
    <t>ITP/Priority Projects-1 Revenue Credit</t>
  </si>
  <si>
    <t>ITP/Priority Projects-2 Revenue Credit</t>
  </si>
  <si>
    <t>Balanced Portfolio Net Revenue Requirement</t>
  </si>
  <si>
    <t>ITP/Priority Projects-1 Net Revenue Requirement</t>
  </si>
  <si>
    <t>ITP/Priority Projects-2 Net Revenue Requirement</t>
  </si>
  <si>
    <t xml:space="preserve">P-2 Projected Revenue Credits </t>
  </si>
  <si>
    <t xml:space="preserve">       Base Plan</t>
  </si>
  <si>
    <t xml:space="preserve">       Balanced Portfolio</t>
  </si>
  <si>
    <t xml:space="preserve">       ITP/Priority Projects-1</t>
  </si>
  <si>
    <t xml:space="preserve">       ITP/Priority Projects-2</t>
  </si>
  <si>
    <t xml:space="preserve">       Total Schedule 11 Gross Revenue Requirement</t>
  </si>
  <si>
    <t>Balanced Portfolio Gross Revenue Requirement</t>
  </si>
  <si>
    <t>ITP/Priority Projects-1 Gross Revenue Requirement</t>
  </si>
  <si>
    <t>ITP/Priority Projects-2 Gross Revenue Requirement</t>
  </si>
  <si>
    <t xml:space="preserve">Total ITP / Priority Projects-1 </t>
  </si>
  <si>
    <t>Total ITP / Priority Projects-2</t>
  </si>
  <si>
    <t>Transmission</t>
  </si>
  <si>
    <t>Page, Line, Col.</t>
  </si>
  <si>
    <t xml:space="preserve">                  Allocator</t>
  </si>
  <si>
    <t>RATE BASE:</t>
  </si>
  <si>
    <t xml:space="preserve">  Production</t>
  </si>
  <si>
    <t>NA</t>
  </si>
  <si>
    <t xml:space="preserve">  Transmission</t>
  </si>
  <si>
    <t>8a</t>
  </si>
  <si>
    <t>8b</t>
  </si>
  <si>
    <t>8c</t>
  </si>
  <si>
    <t>12 Mon Depr Exp</t>
  </si>
  <si>
    <t>(g+h+l+m+n)</t>
  </si>
  <si>
    <t>(q + r)</t>
  </si>
  <si>
    <t>Projected Depr</t>
  </si>
  <si>
    <t>(P-5)</t>
  </si>
  <si>
    <t xml:space="preserve">  Transmission Lease Payments &amp; Facility Charges</t>
  </si>
  <si>
    <t>ITP/Priority Projects-2 True-UP</t>
  </si>
  <si>
    <t>Rate Formula Template</t>
  </si>
  <si>
    <t>GP =</t>
  </si>
  <si>
    <t>NP =</t>
  </si>
  <si>
    <t xml:space="preserve">  Prepayments (Account 165)</t>
  </si>
  <si>
    <t>SUPPORTING CALCULATIONS</t>
  </si>
  <si>
    <t>NET PLANT IN SERVICE</t>
  </si>
  <si>
    <t xml:space="preserve">LAND HELD FOR FUTURE USE </t>
  </si>
  <si>
    <t>GP</t>
  </si>
  <si>
    <t>O&amp;M</t>
  </si>
  <si>
    <t>DEPRECIATION EXPENSE</t>
  </si>
  <si>
    <t xml:space="preserve">  LABOR RELATED</t>
  </si>
  <si>
    <t xml:space="preserve">          Payroll</t>
  </si>
  <si>
    <t xml:space="preserve">          Highway and vehicle</t>
  </si>
  <si>
    <t xml:space="preserve">  PLANT RELATED</t>
  </si>
  <si>
    <t xml:space="preserve">         Gross Receipts</t>
  </si>
  <si>
    <t xml:space="preserve">INCOME TAXES          </t>
  </si>
  <si>
    <t xml:space="preserve">RETURN </t>
  </si>
  <si>
    <t>TP=</t>
  </si>
  <si>
    <t>WAGES &amp; SALARY ALLOCATOR   (W&amp;S)</t>
  </si>
  <si>
    <t>$</t>
  </si>
  <si>
    <t>Allocation</t>
  </si>
  <si>
    <t>This worksheet points to both worksheet A-9 (actual) and P-4 (projected)</t>
  </si>
  <si>
    <t>a. Transmission Plant is updated monthly for actual FY 2009 Plant Additions.</t>
  </si>
  <si>
    <t>Projected based on FY 2008 load data.</t>
  </si>
  <si>
    <t>a. Noted on the worksheet, WACC includes the 50 basis points for being a member of an RTO.</t>
  </si>
  <si>
    <t xml:space="preserve">TAXES OTHER THAN INCOME TAXES </t>
  </si>
  <si>
    <t>(Note G)</t>
  </si>
  <si>
    <t>Accumulated Deferred Income Tax Utility Oper Other</t>
  </si>
  <si>
    <t>Radial Lines</t>
  </si>
  <si>
    <t>34kV Lines</t>
  </si>
  <si>
    <t>January</t>
  </si>
  <si>
    <t xml:space="preserve">   First used on page 2, line 16, col 6</t>
  </si>
  <si>
    <t>Description - ITP/ Priority Project-1</t>
  </si>
  <si>
    <t>Description - ITP/ Priority Project-2</t>
  </si>
  <si>
    <t>(Worksheet P-5)</t>
  </si>
  <si>
    <t>Cash Working Capital assigned to transmission is one-eighth of O&amp;M allocated to transmission at page 2, line 7, col. 7.</t>
  </si>
  <si>
    <t>Transmission O&amp;M on this line does not include any SPP charges for Schedule 1-A of the SPP OATT.</t>
  </si>
  <si>
    <t>(Projected Gross Rev, p 1, ln 12)</t>
  </si>
  <si>
    <t>(Actual Gross Rev, p2, ln 1)</t>
  </si>
  <si>
    <t>(Actual Gross Rev, p2, ln 2)</t>
  </si>
  <si>
    <r>
      <t>(A)</t>
    </r>
    <r>
      <rPr>
        <sz val="10"/>
        <rFont val="Arial MT"/>
      </rPr>
      <t xml:space="preserve"> Projected transmission depreciation expense (P-1 (Trans Plant), page 4, line 28) divided by projected transmission plant in service (P-1 (Trans Plant), page 4, line 29) divided by 12.</t>
    </r>
  </si>
  <si>
    <t>(I - Adder)*line 12+ Adder *line 14</t>
  </si>
  <si>
    <t>Total Allocated Transmission-Related Plant in Service</t>
  </si>
  <si>
    <t>Credits</t>
  </si>
  <si>
    <t>Revenue</t>
  </si>
  <si>
    <t>Accumulated Depreciation will be brought forward from the prior year for each project.</t>
  </si>
  <si>
    <t>Accum Depr</t>
  </si>
  <si>
    <t>s</t>
  </si>
  <si>
    <t xml:space="preserve">     Less: Trans. Lease Pmts &amp; Facility Chges</t>
  </si>
  <si>
    <t>Revenue Credits for Zonal Rev. Req.</t>
  </si>
  <si>
    <t>Includes any revenue from direct assignment to a customer of costs of a Base Plan, Balanced Portfolio, Priority or ITP project.</t>
  </si>
  <si>
    <t>Proceeds from Emission Sale included for tax in year received - deferred for book</t>
  </si>
  <si>
    <t>Book amortization of bond issuance fees vs. deduction in year paid for tax</t>
  </si>
  <si>
    <t>Book capitalization of retail regulatory assets/liabilities vs. deducted for tax</t>
  </si>
  <si>
    <t>KS &amp; MO Additional Credit Amort</t>
  </si>
  <si>
    <t xml:space="preserve">Additional book credit amortization allowed per regulatory order vs. tax depreciation </t>
  </si>
  <si>
    <t>FERC adjustment for prior year depreciation of combustion turbines vs. tax depreciation</t>
  </si>
  <si>
    <t>Book accrual of bonus pay vs. actual payments for tax</t>
  </si>
  <si>
    <t>Total Annual True-Up Adjustment</t>
  </si>
  <si>
    <t>Year 0</t>
  </si>
  <si>
    <t>Post results of Step 1</t>
  </si>
  <si>
    <t>Results of Step 2 go into effect.</t>
  </si>
  <si>
    <t>Post results of Step 4</t>
  </si>
  <si>
    <t>Results of Step 5 go into effect.</t>
  </si>
  <si>
    <t>Timeline</t>
  </si>
  <si>
    <t>Actual Revenue Requirements from Step 7</t>
  </si>
  <si>
    <t>Revenue Credits for RTO - Directed Projects</t>
  </si>
  <si>
    <t>TOTAL ACCUM. DEPRECIATION</t>
  </si>
  <si>
    <t>TOTAL GROSS PLANT</t>
  </si>
  <si>
    <t>TOTAL WORKING CAPITAL</t>
  </si>
  <si>
    <t xml:space="preserve">TOTAL O&amp;M  </t>
  </si>
  <si>
    <t>TOTAL DEPRECIATION</t>
  </si>
  <si>
    <t xml:space="preserve">Other  (Note 3) </t>
  </si>
  <si>
    <t>Attachment J Upgrades.</t>
  </si>
  <si>
    <t>47a</t>
  </si>
  <si>
    <t>47b</t>
  </si>
  <si>
    <t>Deferred Liability -Lease 1 KC Place</t>
  </si>
  <si>
    <t>53a</t>
  </si>
  <si>
    <t>Federal NOL</t>
  </si>
  <si>
    <t>53b</t>
  </si>
  <si>
    <t>State NOL</t>
  </si>
  <si>
    <t>BPF Summary</t>
  </si>
  <si>
    <t>Page</t>
  </si>
  <si>
    <t>Line 18 X (Min(ST I-Rate or FERC I-Rate)/12) X24     (Note A)</t>
  </si>
  <si>
    <t>CWIP Balance</t>
  </si>
  <si>
    <t xml:space="preserve">     Account 182.1</t>
  </si>
  <si>
    <t xml:space="preserve">CWIP Regulatory Liability for Transmission </t>
  </si>
  <si>
    <t xml:space="preserve">      Account 254</t>
  </si>
  <si>
    <t xml:space="preserve">Land Held for Future Use </t>
  </si>
  <si>
    <t xml:space="preserve">      Trans. Land</t>
  </si>
  <si>
    <r>
      <t xml:space="preserve">Net Plant   </t>
    </r>
    <r>
      <rPr>
        <sz val="9"/>
        <rFont val="Arial"/>
        <family val="2"/>
      </rPr>
      <t>(Gross Plant less Accumulated Depreciation and Amortization)</t>
    </r>
  </si>
  <si>
    <t>Production O&amp;M</t>
  </si>
  <si>
    <t>Transmission O&amp;M</t>
  </si>
  <si>
    <t>Distribution O&amp;M</t>
  </si>
  <si>
    <t>Prod. Construction</t>
  </si>
  <si>
    <t>Trans. Construction</t>
  </si>
  <si>
    <t>Dist. Construction</t>
  </si>
  <si>
    <t>BOY Balance</t>
  </si>
  <si>
    <t>EOY Balance</t>
  </si>
  <si>
    <t xml:space="preserve">Average </t>
  </si>
  <si>
    <t>Relevant Year</t>
  </si>
  <si>
    <t>(111.57.d)</t>
  </si>
  <si>
    <t>(111.57.c)</t>
  </si>
  <si>
    <t>Prepayments</t>
  </si>
  <si>
    <t>A-11 13 Month Average Balance and BOY-EOY Average Balances</t>
  </si>
  <si>
    <t>Intangible &amp; Other</t>
  </si>
  <si>
    <t>Material &amp; Supplies</t>
  </si>
  <si>
    <t>Stores Expense</t>
  </si>
  <si>
    <t>(227, x, b)</t>
  </si>
  <si>
    <t>(227, x, c)</t>
  </si>
  <si>
    <t>(227.16.d)</t>
  </si>
  <si>
    <t>(227.16.c)</t>
  </si>
  <si>
    <t xml:space="preserve"> III. Working Capital -Material &amp; Supplies, Stores Expense and Prepayments</t>
  </si>
  <si>
    <t>(Wkshts. A-10, line 8)</t>
  </si>
  <si>
    <t>(Wkshts. A-10, line 32)</t>
  </si>
  <si>
    <t>(Wkshts. A-10, line 16)</t>
  </si>
  <si>
    <t>(Wkshts. A-10, line 11)</t>
  </si>
  <si>
    <t>(Wkshts. A-10, line 21)</t>
  </si>
  <si>
    <t>(Wkshts. A-10, line 26)</t>
  </si>
  <si>
    <t>(Wkshts. A-10, line 10)  (Note R)</t>
  </si>
  <si>
    <t>5h</t>
  </si>
  <si>
    <t>Substation Facilities Transf to Distribution Plt.</t>
  </si>
  <si>
    <t>Spon Project Smry</t>
  </si>
  <si>
    <t>Non Incentive Net Plant (deduct Incentive Plt, as applicable)</t>
  </si>
  <si>
    <t>A-10 (Act. A&amp;G)</t>
  </si>
  <si>
    <t>Actual Administrative and General Expenses</t>
  </si>
  <si>
    <t>The Allocation Basis codes in the above table represent the weighting methods to apply to the approved jurisdictional depreciation rates to calculate composite depreciation expense on an account-specific basis for FERC Form No. 1.   Following is the definition of each code:</t>
  </si>
  <si>
    <t>The customer allocator is based on the number of customers receiving power in each regulatory jurisdiction.</t>
  </si>
  <si>
    <t>The demand allocator is based on the monthly coincident peak (CP) demands for each jurisdiction.</t>
  </si>
  <si>
    <t>The energy allocator is based on the total annual kilowatt-hour usage of each jurisdiction's customers, adjusted for line losses.</t>
  </si>
  <si>
    <t>The Gross PP allocator reflects the total gross production plant value allocated and specifically assigned to each jurisdiction as a percentage of KCP&amp;L total gross production plant.</t>
  </si>
  <si>
    <t>The steam plant allocator is a blend of the demand allocator (D) and the energy allocator (E1), based on the percentage of gross production plant devoted to non-environmental and environmental functions, respectively.</t>
  </si>
  <si>
    <t>The salary and wages allocator represents the weighting of salary and wages (excluding Administrative and General) for production, transmission, distribution, and customer accounts.</t>
  </si>
  <si>
    <t xml:space="preserve">Depreciation Rate Schedule 2 </t>
  </si>
  <si>
    <t xml:space="preserve">                                  Composite Depreciation Weighting for FY 2008</t>
  </si>
  <si>
    <t xml:space="preserve">Allocation Factor </t>
  </si>
  <si>
    <t xml:space="preserve"> Total Allocation Factor </t>
  </si>
  <si>
    <t>Total Rate</t>
  </si>
  <si>
    <t>MPSC</t>
  </si>
  <si>
    <t>Wolf Crk Gross AFUDC - Struct's &amp; Improvement</t>
  </si>
  <si>
    <t>The short term interest rate is based on a 12 month rate ending June of the year in which the Annual Update is prepared, with denominator calculated using daily balances and the numerator based on Form 3Q.</t>
  </si>
  <si>
    <t>Use the lower of line 14 and line 19 if the True-up Amount (line 21) is greater than or equal to zero. Use line 19 if the True-up amount (line 21) is less than zero.</t>
  </si>
  <si>
    <t>If the annual update is for a partial year, not 12 months, then the amount on line 21 shall be prorated to represent the number of months in the partial year.</t>
  </si>
  <si>
    <t>The  numerator and denominator of the short-term interest rate calculation will reflect consistent debt components.</t>
  </si>
  <si>
    <t>Account 190 - addition book amortization and allocate on plant. I followed same logic/approach as Depr/Accum Depr on Plant.</t>
  </si>
  <si>
    <t>A-6 &amp; 7</t>
  </si>
  <si>
    <t>Not Used.</t>
  </si>
  <si>
    <t>A-8A</t>
  </si>
  <si>
    <t>KCPL Excluded</t>
  </si>
  <si>
    <t>Worksheet P4 - Projected Transmission Plant Related Projects -RTO Directed Projects</t>
  </si>
  <si>
    <t>(a - b)</t>
  </si>
  <si>
    <t>354.21.b</t>
  </si>
  <si>
    <t>354.23.b</t>
  </si>
  <si>
    <t>354.24,25,26.b</t>
  </si>
  <si>
    <t>Project:</t>
  </si>
  <si>
    <t>Deprec. Rate:</t>
  </si>
  <si>
    <t>ROE Adder</t>
  </si>
  <si>
    <t>Weighted ROE:</t>
  </si>
  <si>
    <t>Beginning Bal:</t>
  </si>
  <si>
    <t>Beginning Dep:</t>
  </si>
  <si>
    <t>Beginning Year:</t>
  </si>
  <si>
    <t>Incentive RR</t>
  </si>
  <si>
    <t>Total Plant Additions</t>
  </si>
  <si>
    <t>SPP Proj. ID</t>
  </si>
  <si>
    <t>Beg Year-Mo.:</t>
  </si>
  <si>
    <t>Accm. Deprec.</t>
  </si>
  <si>
    <t>(Revenue related to transmission facilities for pole attachments, rentals, etc.  Provide data sources and explanations in Section V, Notes below.)</t>
  </si>
  <si>
    <t>Other Operating Revenues To Reduce Revenue Requirement</t>
  </si>
  <si>
    <t>Projected Net Revenue Requirements</t>
  </si>
  <si>
    <t>(Actual Gross Rev, p. 1, ln 21, col 7)</t>
  </si>
  <si>
    <t xml:space="preserve">     Less: Corporate Visibility Expenses</t>
  </si>
  <si>
    <t xml:space="preserve">     Less: Experimental &amp; Gen. Research  Exp.</t>
  </si>
  <si>
    <t xml:space="preserve">     Less: Industry Association Dues</t>
  </si>
  <si>
    <t xml:space="preserve">     Plus: Transmission Specific Research &amp; Experimental</t>
  </si>
  <si>
    <t>Worksheet A-10 Administrative &amp; General Expense</t>
  </si>
  <si>
    <t>Administrative &amp; General Expense</t>
  </si>
  <si>
    <t>Method</t>
  </si>
  <si>
    <t>Allocated</t>
  </si>
  <si>
    <t>a. MoPSC allowed additional depreciation during the CEP construction phase, this additional depreciation is recorded in general plant accumulated depreciation.</t>
  </si>
  <si>
    <t>( A-10 (Act A&amp;G) line 9 )</t>
  </si>
  <si>
    <t xml:space="preserve">Gross Plant  </t>
  </si>
  <si>
    <t>Note C:  To be completed with any BPF project approved by the Southwest Power Pool.</t>
  </si>
  <si>
    <t>Total Incentive Plant</t>
  </si>
  <si>
    <t>Less: Total Accumulated Depreciation</t>
  </si>
  <si>
    <t>Actual Net Revenue Requirements</t>
  </si>
  <si>
    <t>Actual Gross Revenue Requirements</t>
  </si>
  <si>
    <t>TOTAL NET PLANT</t>
  </si>
  <si>
    <t>Incentive Rate -Weighted ROE</t>
  </si>
  <si>
    <t>Description - Base Plan Projects</t>
  </si>
  <si>
    <t>Description - Sponsor Funded Projects</t>
  </si>
  <si>
    <t>Description of Balanced Portfolio Projects</t>
  </si>
  <si>
    <t>Reclass from 282 for Debit balances</t>
  </si>
  <si>
    <t>Reclass of Debit Balance from 282 per FERC order - plant related</t>
  </si>
  <si>
    <t>Emission credit sales</t>
  </si>
  <si>
    <t>Worksheet will be to be structure for FY 2009 at this time.</t>
  </si>
  <si>
    <t>Sponsored Proj Sum</t>
  </si>
  <si>
    <t>Econ Proj Sum</t>
  </si>
  <si>
    <t>Projected Net Rev Reg</t>
  </si>
  <si>
    <t>Projected Gross Rev Reg</t>
  </si>
  <si>
    <t>P-1</t>
  </si>
  <si>
    <t>Transmission Plant</t>
  </si>
  <si>
    <t>P-2</t>
  </si>
  <si>
    <t>Incentive Return Including Taxes</t>
  </si>
  <si>
    <t>Abandoned Plant:</t>
  </si>
  <si>
    <t>(line 21)</t>
  </si>
  <si>
    <t>Jan</t>
  </si>
  <si>
    <t>Jun</t>
  </si>
  <si>
    <t>Oct</t>
  </si>
  <si>
    <t>General Note:  References to pages in this formula rate are indicated as:  (page#, line#, col.#).</t>
  </si>
  <si>
    <t>WORKING CAPITAL</t>
  </si>
  <si>
    <t xml:space="preserve">  Materials &amp; Supplies</t>
  </si>
  <si>
    <t>calculated  (Note C)</t>
  </si>
  <si>
    <t>Ratio of</t>
  </si>
  <si>
    <t>Costs</t>
  </si>
  <si>
    <t>Actual</t>
  </si>
  <si>
    <t>Operation and Maintenance Expenses</t>
  </si>
  <si>
    <t>Expense</t>
  </si>
  <si>
    <t>To Net</t>
  </si>
  <si>
    <t>Other Taxes</t>
  </si>
  <si>
    <t xml:space="preserve">Percentage of transmission plant included in rates </t>
  </si>
  <si>
    <t xml:space="preserve">Total transmission plant    </t>
  </si>
  <si>
    <t>Ratio of True-up amount to Actual Projects Revenue</t>
  </si>
  <si>
    <t>Net</t>
  </si>
  <si>
    <t>P.xxx</t>
  </si>
  <si>
    <t>Zonal Projects</t>
  </si>
  <si>
    <t>(6)</t>
  </si>
  <si>
    <t>(7)</t>
  </si>
  <si>
    <t>Interest on Long-Term Debt</t>
  </si>
  <si>
    <t>Effective Tax Rate</t>
  </si>
  <si>
    <t>Net Transmission Plant</t>
  </si>
  <si>
    <t>O</t>
  </si>
  <si>
    <t>C</t>
  </si>
  <si>
    <t xml:space="preserve">     Plus: Advertising -Safety</t>
  </si>
  <si>
    <t>(Projected Gross Rev Req, page 1, line 18)</t>
  </si>
  <si>
    <t>Project :</t>
  </si>
  <si>
    <t>(A-10 Act A&amp;G, line 8)</t>
  </si>
  <si>
    <t>6e</t>
  </si>
  <si>
    <t>10</t>
  </si>
  <si>
    <t>12-13</t>
  </si>
  <si>
    <t>Section 174 Ded in CWIP (Iatan-Production)</t>
  </si>
  <si>
    <t>Missouri</t>
  </si>
  <si>
    <t>Kansas</t>
  </si>
  <si>
    <t>Federal</t>
  </si>
  <si>
    <t>Page 263, ln 41, (i)</t>
  </si>
  <si>
    <t xml:space="preserve">KC Earnings </t>
  </si>
  <si>
    <t>Excise</t>
  </si>
  <si>
    <t>Franchise -Corporate</t>
  </si>
  <si>
    <t>Transaction</t>
  </si>
  <si>
    <t>Miscellaneous</t>
  </si>
  <si>
    <t xml:space="preserve">Excluded </t>
  </si>
  <si>
    <t>Base Plan Net Revenue Requirements</t>
  </si>
  <si>
    <t>Zonal Net Revenue Requirement</t>
  </si>
  <si>
    <t>Total Transmission Net Plant</t>
  </si>
  <si>
    <t>Actual Facilities Carrying Charge</t>
  </si>
  <si>
    <t>TRUE-UP ADJUSTMENTS</t>
  </si>
  <si>
    <t xml:space="preserve">Total Transmission Facilities </t>
  </si>
  <si>
    <t>Base Plan True-Up</t>
  </si>
  <si>
    <r>
      <t>Revenue Credits (</t>
    </r>
    <r>
      <rPr>
        <sz val="9"/>
        <rFont val="Arial MT"/>
      </rPr>
      <t>specific SPP project type)</t>
    </r>
  </si>
  <si>
    <t xml:space="preserve">ITP/Priority Projects-2 </t>
  </si>
  <si>
    <t>Gross Revenue</t>
  </si>
  <si>
    <t>GROSS REVENUE REQUIREMENT</t>
  </si>
  <si>
    <t>(A)</t>
  </si>
  <si>
    <t>(B)</t>
  </si>
  <si>
    <t>(C)</t>
  </si>
  <si>
    <t>(D)</t>
  </si>
  <si>
    <t>Incentive Return</t>
  </si>
  <si>
    <t>(E)</t>
  </si>
  <si>
    <t>NonTrans.</t>
  </si>
  <si>
    <t>Not applicable for the transmission formula rate.</t>
  </si>
  <si>
    <t>NP</t>
  </si>
  <si>
    <t>Effective Income Tax Rate</t>
  </si>
  <si>
    <t>Tax-Adjusted Return on Incentive Plant</t>
  </si>
  <si>
    <t>Total CWIP &amp; Incentive Plant Return</t>
  </si>
  <si>
    <t>Tax-Adjusted Return on CWIP</t>
  </si>
  <si>
    <t>Total for All Incentive Projects</t>
  </si>
  <si>
    <t>Adder EIT:</t>
  </si>
  <si>
    <t>Expense &amp; Rev Credit</t>
  </si>
  <si>
    <t>P-3</t>
  </si>
  <si>
    <t>Trans. Network Load</t>
  </si>
  <si>
    <t xml:space="preserve">P-4 </t>
  </si>
  <si>
    <t>BPF Projects</t>
  </si>
  <si>
    <t>P-5</t>
  </si>
  <si>
    <t>Econ Projects</t>
  </si>
  <si>
    <t>P-6</t>
  </si>
  <si>
    <t>The formula is calculated in two steps.  The first step is to fill out Tabs A-1 thru A-11, and the Actual Gross Rev Req tab with data from the previous year's Form 1.  This data input results in the calculation of the actual annual transmission revenue requirement (Actual ATRR) for the previous year, as shown in the Actual Net Rev Req tab.  The results of this calculation are presented to the customers for review no later than June 1 each year.</t>
  </si>
  <si>
    <t>The TU (True-up) tab uses the Actual ATRR from the Actual Net Rev Req tab and compares it to the Projected ATRR (without the True-up for a prior year) that customers were billed for the same period.  Interest is added to the difference and the adjusted true-up then is included in the Projected Net Rev Req tab.</t>
  </si>
  <si>
    <t>Lease and joint facilities charges included on line 6, page 2 of 5,  are those costs attributable to transmission facilities.</t>
  </si>
  <si>
    <t xml:space="preserve">Enter the Projected Revenue Requirement for the Actual period without a true-up adjustment plus any adjustments, either positive or negative, resulting from corrections of prior years. </t>
  </si>
  <si>
    <t>14-16</t>
  </si>
  <si>
    <t>17-18</t>
  </si>
  <si>
    <t>20-25</t>
  </si>
  <si>
    <t>27-33</t>
  </si>
  <si>
    <t>35-36</t>
  </si>
  <si>
    <t>37-38</t>
  </si>
  <si>
    <t>39-47</t>
  </si>
  <si>
    <t>48-50</t>
  </si>
  <si>
    <t>52-56</t>
  </si>
  <si>
    <t>58-61</t>
  </si>
  <si>
    <t>64-67</t>
  </si>
  <si>
    <t>TOTAL GROSS REV. REQ. FOR INCENTIVE PROJ.</t>
  </si>
  <si>
    <t xml:space="preserve">     Plus: PBOP (Projected 2010 see Note R)</t>
  </si>
  <si>
    <t>Page 1 of 3</t>
  </si>
  <si>
    <t>Page 2 of 3</t>
  </si>
  <si>
    <t>Note -Property calculated the depreciation for the excluded for FY 2008.</t>
  </si>
  <si>
    <t>(Projected Gross Rev Req, page 1, line 9)</t>
  </si>
  <si>
    <t>Imported KCPL data into the Westar format.</t>
  </si>
  <si>
    <t>Title</t>
  </si>
  <si>
    <t xml:space="preserve">Status </t>
  </si>
  <si>
    <t>A-3</t>
  </si>
  <si>
    <t>Retail Adder</t>
  </si>
  <si>
    <t>Not Used</t>
  </si>
  <si>
    <t>Ratio of Revenue Credits to Actual Projects Revenue</t>
  </si>
  <si>
    <t>Determine Net Revenue to Apply as Credit:</t>
  </si>
  <si>
    <t>Balanced Portfolio Revenue  Requirement</t>
  </si>
  <si>
    <t>ITP/Priority Projects-1 Revenue Requirement</t>
  </si>
  <si>
    <t>Filed</t>
  </si>
  <si>
    <t>(Actual Gross Rev, p2, ln 13)</t>
  </si>
  <si>
    <t>(Actual Gross Rev, p2, ln 15)</t>
  </si>
  <si>
    <t>(Actual Gross Rev, p2, ln 16)</t>
  </si>
  <si>
    <t>(Actual Gross Rev, p2, ln 17)</t>
  </si>
  <si>
    <t>(Projected Gross Rev Req, page 2, line 7)</t>
  </si>
  <si>
    <t>The projected O&amp;M and plant balances are calculated in Tabs P-1 thru P-5.  These sheets feed into the Projected Gross Rev Req tab and ultimately into the Projected Net Rev Req tab.  The RTO Projects Smry tab retrieves project specific data from other tabs to calculate the amount of revenue requirements associated with those projects which are contained in the total Projected Gross Revenue Requirement amount.  The Spon Projects Smry tab does the same process for Sponsored projects.  The total revenue requirements for these two groups of upgrades and revenue credits are subtracted from the KCP&amp;L total revenue requirement to obtain the Zonal ATRR (line 20, before true-up).  This calculation is shown on the Projected Net Rev Req tab.  This tab also calculates the point-to-point zonal rates.  SPP rates are set on the trued up Base Plan Net Revenue Requirements, Balanced Portfolio Net Revenue Requirements, and ITP/Priority Projects Net Revenue Requirements as well as the trued up Zonal Net Revenue Requirements.  The specific charges are defined under the SPP Open Access Transmission Tariff.</t>
  </si>
  <si>
    <t>Worksheet  A-5 - Weighted Depreciation Rates</t>
  </si>
  <si>
    <t>Depreciation Rate Schedule 1</t>
  </si>
  <si>
    <t>KCPL Composite</t>
  </si>
  <si>
    <t>Allocation Factor</t>
  </si>
  <si>
    <t xml:space="preserve"> Rate</t>
  </si>
  <si>
    <t>Allocation Basis</t>
  </si>
  <si>
    <t xml:space="preserve"> Total Allocation Factor</t>
  </si>
  <si>
    <t>Composite Rate</t>
  </si>
  <si>
    <t>( d)</t>
  </si>
  <si>
    <t>PTD</t>
  </si>
  <si>
    <t>100 MO</t>
  </si>
  <si>
    <t>Misc Intangible - Substation (like A/C 353)</t>
  </si>
  <si>
    <t>Misc Intangible - Cap Software 5 Year (Customer)</t>
  </si>
  <si>
    <t>C2</t>
  </si>
  <si>
    <t>Misc Intangible - Cap Software 5 Year (Energy)</t>
  </si>
  <si>
    <t>E1</t>
  </si>
  <si>
    <t xml:space="preserve">                 Project Group 4 -Trans. Grid Operations</t>
  </si>
  <si>
    <t xml:space="preserve">     Less Account 565</t>
  </si>
  <si>
    <t xml:space="preserve">     Less Account 561</t>
  </si>
  <si>
    <t>321.84.b thru 321.92.b</t>
  </si>
  <si>
    <t>Total Income Taxes</t>
  </si>
  <si>
    <t>Projected Transmission Network Load</t>
  </si>
  <si>
    <t>Actual Load  for January through August</t>
  </si>
  <si>
    <t>Average Transmission Network Load for January thru August</t>
  </si>
  <si>
    <t>(m)</t>
  </si>
  <si>
    <t>(n)</t>
  </si>
  <si>
    <t>Monthly Transmission Network Load as Percentage of the Average Total Network Load of January thru August. (Worksheet A-2)</t>
  </si>
  <si>
    <t>Misc Intangible - Assec Eq (like A/C 345)</t>
  </si>
  <si>
    <t>Misc Intangible - Steam Prod  Structures (like A/C 312)</t>
  </si>
  <si>
    <t>Land</t>
  </si>
  <si>
    <t>PP</t>
  </si>
  <si>
    <t xml:space="preserve">Plant </t>
  </si>
  <si>
    <t>Labor</t>
  </si>
  <si>
    <t>Related</t>
  </si>
  <si>
    <t>ADIT</t>
  </si>
  <si>
    <t>ADIT-283</t>
  </si>
  <si>
    <t>w/o True-up</t>
  </si>
  <si>
    <t>q</t>
  </si>
  <si>
    <t>(o + p)</t>
  </si>
  <si>
    <t>Total Company</t>
  </si>
  <si>
    <t>Non-Transmission</t>
  </si>
  <si>
    <t xml:space="preserve"> ITP / Priority Projects -1:</t>
  </si>
  <si>
    <t>If the transmission related component of property tax is specifically identified in Form 1, then a TP allocator shall be used.  Property tax shall be allocated to transmission by the GP allocator if transmission related property tax is not specifically identified in the Form 1.</t>
  </si>
  <si>
    <t>BPF Rev Req</t>
  </si>
  <si>
    <t>Zonal Rev Req</t>
  </si>
  <si>
    <t>BPF True-Up</t>
  </si>
  <si>
    <t>R</t>
  </si>
  <si>
    <t>1</t>
  </si>
  <si>
    <t>2</t>
  </si>
  <si>
    <t>Project 1</t>
  </si>
  <si>
    <t>Project 2</t>
  </si>
  <si>
    <t>No. of Months</t>
  </si>
  <si>
    <t>d. The depreciation study in summer FY 2009 will determine the  allocation to specific plant accounts.</t>
  </si>
  <si>
    <t xml:space="preserve">Notes: </t>
  </si>
  <si>
    <t>Average Monthly Transmission Network Load  for January thru August                             (col e, line 2 thru line 9)</t>
  </si>
  <si>
    <t>Coal Premium Offset</t>
  </si>
  <si>
    <t>Interest on Decommissioning &amp; Decontamination</t>
  </si>
  <si>
    <t>Incentive Plant: Projected Sponsor Funded</t>
  </si>
  <si>
    <t>(line 11 / line 7)</t>
  </si>
  <si>
    <t>(with Approved Incentives, if any)</t>
  </si>
  <si>
    <t>Total Approved Project Incentives:</t>
  </si>
  <si>
    <t>13a</t>
  </si>
  <si>
    <r>
      <t>Note D:  This tab shows the amount in column</t>
    </r>
    <r>
      <rPr>
        <b/>
        <sz val="10"/>
        <rFont val="Arial MT"/>
      </rPr>
      <t xml:space="preserve"> s</t>
    </r>
    <r>
      <rPr>
        <sz val="10"/>
        <rFont val="Arial MT"/>
      </rPr>
      <t xml:space="preserve"> that SPP is required to recover for each Balance Portfolio Projects.</t>
    </r>
  </si>
  <si>
    <r>
      <t xml:space="preserve">Note D:  This tab shows the amount in column </t>
    </r>
    <r>
      <rPr>
        <b/>
        <sz val="10"/>
        <rFont val="Arial MT"/>
      </rPr>
      <t>s</t>
    </r>
    <r>
      <rPr>
        <sz val="10"/>
        <rFont val="Arial MT"/>
      </rPr>
      <t xml:space="preserve"> that SPP is required to recover for each ITP/Priority Projects.</t>
    </r>
  </si>
  <si>
    <t>Land Rights - MO Situs</t>
  </si>
  <si>
    <t>100MO</t>
  </si>
  <si>
    <t>Land Rights - KS Situs</t>
  </si>
  <si>
    <t>100KS</t>
  </si>
  <si>
    <t>Land Rights - Wolf Creek</t>
  </si>
  <si>
    <t>Wolf Creek Gross AFUDC - Land Rights</t>
  </si>
  <si>
    <t>Wolf Creek - Structures and Improvement</t>
  </si>
  <si>
    <t xml:space="preserve">                 Project Group 3 -Trans. Substation Asset Mgmt</t>
  </si>
  <si>
    <t>19a</t>
  </si>
  <si>
    <t>State (Other)</t>
  </si>
  <si>
    <t>31a</t>
  </si>
  <si>
    <t>31b</t>
  </si>
  <si>
    <t>35a</t>
  </si>
  <si>
    <t>Actual Facility Carrying Charge</t>
  </si>
  <si>
    <t>Sponsored Gross Revenue Requirements</t>
  </si>
  <si>
    <t>(4)*(6)</t>
  </si>
  <si>
    <t>P-1 (Proj Trans Plant)</t>
  </si>
  <si>
    <t>P-2 (Proj. Exp. &amp; Rev. Credits)</t>
  </si>
  <si>
    <t>P-3 (Proj. Trans. Network Load)</t>
  </si>
  <si>
    <t>P-5 (Proj. Sponsored. Projects)</t>
  </si>
  <si>
    <t>A-1 (Act. Rev. Credits)</t>
  </si>
  <si>
    <t>Wolf Creek - Station Equipment</t>
  </si>
  <si>
    <t>Wolf Creek Gross AFUDC - Station Equipment</t>
  </si>
  <si>
    <t>Poles and Fixtures - KS Situs</t>
  </si>
  <si>
    <t>Wolf Creek - Poles and Fixtures</t>
  </si>
  <si>
    <t>Wolf Creek Gross AFUDC - Poles and Fixtures</t>
  </si>
  <si>
    <t>Overhead Conductors and Devices - MO Situs</t>
  </si>
  <si>
    <t>Overhead Conductors and Devices - KS Situs</t>
  </si>
  <si>
    <t>Wolf Creek - Overhead Conductors and Devices</t>
  </si>
  <si>
    <t>Wolf Creek Gross AFUDC - O/H Conductor &amp; Devices</t>
  </si>
  <si>
    <t>Structures and Impr - Leasehold Impr (amort over lease)</t>
  </si>
  <si>
    <t>Office Furniture and Equipment - WC Sub 706</t>
  </si>
  <si>
    <t>Office Furniture and Equipment - Computers</t>
  </si>
  <si>
    <t>Wolf Creek - Communication Equipment</t>
  </si>
  <si>
    <t>Wolf Creek Gross AFUDC - Communication Equip.</t>
  </si>
  <si>
    <t>KCP&amp;L adopted a composite depreciation calculation in FY 2009 based on allocation methods of the predominant regulatory jurisdiction applied to the approved depreciation rates for each jurisdiction.  Missouri is the predominant jurisdiction for KCP&amp;L based upon size of load.  Although the specific weighting values will change from year to year, the allocation methods (column g) and the stated jurisdictional depreciation rates (columns b, d, and f) documented in the above table will not change without an order from the Commission approving the new methods or depreciation rates.  As the formula rate is updated each year, the above table will be populated with allocation factors reflecting the approved methods in order to calculate a composite depreciation rate for each line.</t>
  </si>
  <si>
    <t>Rental From Cell Phone Attaches</t>
  </si>
  <si>
    <t>V. 13 Month Average -Accumulated Depreciation</t>
  </si>
  <si>
    <t>ITP / Priority Project 1 True-up</t>
  </si>
  <si>
    <t>ITP / Priority Project 2 True-up.</t>
  </si>
  <si>
    <t>Zonal True-up</t>
  </si>
  <si>
    <t>Tax-Adj. Return on Incentive ROE Adder</t>
  </si>
  <si>
    <t>Deprec. Rate / 12                    (notes A &amp; B)</t>
  </si>
  <si>
    <t>b. Follow the same method used in the retail rate for impact of the Texas calculation.</t>
  </si>
  <si>
    <t>Actual Accum</t>
  </si>
  <si>
    <t>Income Taxes as a Percentage of Net Plant</t>
  </si>
  <si>
    <t>Return as a Percentage of Net Plant</t>
  </si>
  <si>
    <t>Other Taxes as a Percentage of Net Plant</t>
  </si>
  <si>
    <t>Account 228.2 -Res. for Inj. &amp; Dmges</t>
  </si>
  <si>
    <t>(Non-Escrowed) (Note A)</t>
  </si>
  <si>
    <t xml:space="preserve"> Reserve Funds </t>
  </si>
  <si>
    <t>The currently effective income tax rate, where FIT is the Federal income tax rate; SIT is the State income tax rate, and p = "percentage of federal income tax deductible for state income tax purposes".  Furthermore, a utility that elected to utilize amortization of tax credits against taxable income rather than book tax credits to Account 255 and reduce rate base, must reduce its income tax expense by the amount of the Amortized Investment Tax Credit (Form 1, 266.8.f) multiplied by (1/1-T) (page 2, line 21).  When FIT or SIT statutory tax rate changes take effect on other than a calendar year basis, the statutory rates to be used in the formula rate template shall be weighted averages for the calendar year determined by weighting the statutory tax rates by the number days each such tax rate was in effect during the calendar year for which the costs are being determined.  KCMO Earnings Tax is not included in the calculation of the Composite State Income Tax Rate.</t>
  </si>
  <si>
    <t>The Composite State Income Tax Rate reflects the effective rate for each tax jurisdiction, as well as the Composite Portion of FIT Deduction in State Returns:</t>
  </si>
  <si>
    <t>CWIP balances only included as authorized by the Commission.  Regulatory liability offsets AFUDC accrual where CWIP is not included in state-regulated rate base.</t>
  </si>
  <si>
    <t>Less:  Reliability, Planning &amp; Standards Dev. Services</t>
  </si>
  <si>
    <t>Trans.</t>
  </si>
  <si>
    <t>Balanced Portfolio Projects</t>
  </si>
  <si>
    <t>283410/510</t>
  </si>
  <si>
    <t>FIN 48 Liability (after FERC Reclass)</t>
  </si>
  <si>
    <t>PBOP based on calculation by Joyce Swope based on John Weisensee's approach to allocation at 12/31/2008 based on passed labor allocation factors.</t>
  </si>
  <si>
    <t>.</t>
  </si>
  <si>
    <t>(1)</t>
  </si>
  <si>
    <t>(2)</t>
  </si>
  <si>
    <t>Total Non-incentive Transmission-Related Plant in Service</t>
  </si>
  <si>
    <t>True-up Amount</t>
  </si>
  <si>
    <t>True-up</t>
  </si>
  <si>
    <t>p</t>
  </si>
  <si>
    <t>T1</t>
  </si>
  <si>
    <t>T2</t>
  </si>
  <si>
    <t>(3)</t>
  </si>
  <si>
    <t>(4)</t>
  </si>
  <si>
    <t>(5)</t>
  </si>
  <si>
    <t>Form No. 1</t>
  </si>
  <si>
    <t>Revenues from Transmission of Electricity for Others, Account 456.1</t>
  </si>
  <si>
    <t>Radial Lines:</t>
  </si>
  <si>
    <t>Total -Excluded Assets</t>
  </si>
  <si>
    <r>
      <t xml:space="preserve">Net Plant </t>
    </r>
    <r>
      <rPr>
        <sz val="11"/>
        <rFont val="Arial"/>
        <family val="2"/>
      </rPr>
      <t xml:space="preserve">(Gross Plant less Accumulated Depreciation)  </t>
    </r>
  </si>
  <si>
    <t>The approved ROE is 11.1%. No change in ROE may be made absent a filing with FERC.  Any incentive ROEs approved by the Commission are shown by project in Worksheet A-9.</t>
  </si>
  <si>
    <t>ROE Adder    (A)</t>
  </si>
  <si>
    <t>Note C:  To be completed with any Balance Portfolio Projects approved by the Southwest Power Pool.</t>
  </si>
  <si>
    <t>Note C:  To be completed with any ITP/Priority Projects approved by the Southwest Power Pool.</t>
  </si>
  <si>
    <t xml:space="preserve">Note C:  To be completed with any projects sponsored by the host transmission owner. </t>
  </si>
  <si>
    <t>Taxes Included in Incentive Return</t>
  </si>
  <si>
    <t>The information on this tab could be consolidate on "Actual Gross Rev"</t>
  </si>
  <si>
    <t>Wages &amp; Sales detail.</t>
  </si>
  <si>
    <t>Stillwell-Antoch Reconductor</t>
  </si>
  <si>
    <t>Antoch-Oxford Reconductor</t>
  </si>
  <si>
    <t>Reserve for Future Use</t>
  </si>
  <si>
    <t>Amortization Expense for Abandoned Plant</t>
  </si>
  <si>
    <t>Total Recovery for Abandoned Plant</t>
  </si>
  <si>
    <t xml:space="preserve">  Incentive Return Including Taxes</t>
  </si>
  <si>
    <t>Schedule 1 Rate Calculations</t>
  </si>
  <si>
    <t>Projected Schedule 1 ARR</t>
  </si>
  <si>
    <t>Revenue Requirement for Schedule 1</t>
  </si>
  <si>
    <t>A-1</t>
  </si>
  <si>
    <t xml:space="preserve">      Common Stock</t>
  </si>
  <si>
    <t>Determination of Transmission Network Load (MW)</t>
  </si>
  <si>
    <t>(line 1 / line 6)</t>
  </si>
  <si>
    <t>Less: Gross Plant - Incentive Projects</t>
  </si>
  <si>
    <t xml:space="preserve"> (line 2 - line 3)</t>
  </si>
  <si>
    <t>(a - e)</t>
  </si>
  <si>
    <t>(f * line 20)</t>
  </si>
  <si>
    <t>(Ratio of Cost to total)</t>
  </si>
  <si>
    <t>(Ratio * Proj. Net Plant)</t>
  </si>
  <si>
    <t xml:space="preserve">Preferred Dividends </t>
  </si>
  <si>
    <t>Rent from Electric Property, Account 454</t>
  </si>
  <si>
    <t>Transmission:</t>
  </si>
  <si>
    <t>Farm Land Rental</t>
  </si>
  <si>
    <t>Incentive Plant: Projected Balanced Portfolio</t>
  </si>
  <si>
    <t xml:space="preserve">  (321.92.b)</t>
  </si>
  <si>
    <t>TU (True-up)</t>
  </si>
  <si>
    <t xml:space="preserve">     Less: Actual PBOP</t>
  </si>
  <si>
    <t xml:space="preserve">                        References to data from FERC Form 1 are indicated as:  page#.line#.col</t>
  </si>
  <si>
    <t xml:space="preserve">  Stores Expense</t>
  </si>
  <si>
    <t>T3</t>
  </si>
  <si>
    <t>Summary</t>
  </si>
  <si>
    <t>ADIT items in each account will be in the same order as the prior year with any new line items, relative to the prior year, to be highlighted and added at the end of the list of items for each account. A line item maybe deleted when the amount for the line item has been zero through one complete rate cycle.</t>
  </si>
  <si>
    <t>(line 16 / line T1 below)</t>
  </si>
  <si>
    <t>(Projected Gross Rev Req, page 4, line 38)</t>
  </si>
  <si>
    <t>(Projected Gross Rev Req, page 4, line 34-37)</t>
  </si>
  <si>
    <t>354.20.b</t>
  </si>
  <si>
    <t>W&amp;S Allocator</t>
  </si>
  <si>
    <t xml:space="preserve">  Other</t>
  </si>
  <si>
    <t>($ / Allocation)</t>
  </si>
  <si>
    <t>RETURN (R)</t>
  </si>
  <si>
    <t>Cost</t>
  </si>
  <si>
    <t>%</t>
  </si>
  <si>
    <t>Weighted</t>
  </si>
  <si>
    <t>Note</t>
  </si>
  <si>
    <t>Letter</t>
  </si>
  <si>
    <t>G</t>
  </si>
  <si>
    <t>H</t>
  </si>
  <si>
    <t>I</t>
  </si>
  <si>
    <t>J</t>
  </si>
  <si>
    <t xml:space="preserve">  A&amp;G -Adjusted </t>
  </si>
  <si>
    <t xml:space="preserve">  A&amp;G -Adjusted</t>
  </si>
  <si>
    <r>
      <t xml:space="preserve">This column reflects the relationship of the actual load for each month (September, October, November and December) as a percentage of the average transmission network load for January through August.  For example, the September percentage in column </t>
    </r>
    <r>
      <rPr>
        <b/>
        <sz val="12"/>
        <rFont val="Arial"/>
        <family val="2"/>
      </rPr>
      <t>(n)</t>
    </r>
    <r>
      <rPr>
        <sz val="12"/>
        <rFont val="Arial"/>
        <family val="2"/>
      </rPr>
      <t xml:space="preserve"> is equal to the September load in column (</t>
    </r>
    <r>
      <rPr>
        <b/>
        <sz val="12"/>
        <rFont val="Arial"/>
        <family val="2"/>
      </rPr>
      <t>l</t>
    </r>
    <r>
      <rPr>
        <sz val="12"/>
        <rFont val="Arial"/>
        <family val="2"/>
      </rPr>
      <t>) divided by the 8-month average of column (</t>
    </r>
    <r>
      <rPr>
        <b/>
        <sz val="12"/>
        <rFont val="Arial"/>
        <family val="2"/>
      </rPr>
      <t>m</t>
    </r>
    <r>
      <rPr>
        <sz val="12"/>
        <rFont val="Arial"/>
        <family val="2"/>
      </rPr>
      <t>) shown on line 13.</t>
    </r>
  </si>
  <si>
    <r>
      <t xml:space="preserve"> </t>
    </r>
    <r>
      <rPr>
        <sz val="12"/>
        <rFont val="MT Arial"/>
      </rPr>
      <t>None of the following expenses shall be recovered directly or indirectly through the formula rate:</t>
    </r>
  </si>
  <si>
    <r>
      <t>A.</t>
    </r>
    <r>
      <rPr>
        <sz val="12"/>
        <rFont val="MT Arial"/>
      </rPr>
      <t>   </t>
    </r>
    <r>
      <rPr>
        <sz val="7"/>
        <rFont val="MT Arial"/>
      </rPr>
      <t xml:space="preserve"> </t>
    </r>
    <r>
      <rPr>
        <sz val="12"/>
        <rFont val="MT Arial"/>
      </rPr>
      <t>Industry association dues (</t>
    </r>
    <r>
      <rPr>
        <i/>
        <sz val="12"/>
        <rFont val="MT Arial"/>
      </rPr>
      <t>e.g.</t>
    </r>
    <r>
      <rPr>
        <sz val="12"/>
        <rFont val="MT Arial"/>
      </rPr>
      <t>, EEI and EPRI).</t>
    </r>
  </si>
  <si>
    <r>
      <t>B.   </t>
    </r>
    <r>
      <rPr>
        <sz val="7"/>
        <rFont val="MT Arial"/>
      </rPr>
      <t xml:space="preserve"> </t>
    </r>
    <r>
      <rPr>
        <sz val="12"/>
        <rFont val="MT Arial"/>
      </rPr>
      <t>The following charges to Account 930.2: nuclear power research expenses, miscellaneous general expenses related to Wolf Creek Nuclear Generating Station; Nuclear Energy Institute fees, assessments and other costs; and any other nuclear-related expenses.</t>
    </r>
  </si>
  <si>
    <r>
      <t>C.</t>
    </r>
    <r>
      <rPr>
        <sz val="12"/>
        <rFont val="MT Arial"/>
      </rPr>
      <t xml:space="preserve">   Other experimental and general research expenditures (other than those related to transmission which shall be directly assigned to transmission).</t>
    </r>
  </si>
  <si>
    <t xml:space="preserve">TOTAL OTHER TAXES </t>
  </si>
  <si>
    <t xml:space="preserve">  General</t>
  </si>
  <si>
    <t>336.1f</t>
  </si>
  <si>
    <t>1. The Facility Carrying Charge and Monthly Facility Carrying Charge on Page 1, lines 44 and 45 are to be used to compute the revenue requirements for facilities directly assigned to a customer.</t>
  </si>
  <si>
    <t>R=</t>
  </si>
  <si>
    <t>WCLTD=</t>
  </si>
  <si>
    <t xml:space="preserve">Less: Reliability, Planning &amp; Stds Dev. Services </t>
  </si>
  <si>
    <t>Less:  Sch., Syst. Control and Dispatch Services</t>
  </si>
  <si>
    <t xml:space="preserve">  Trans. Lease Pmts &amp; Facility Charges</t>
  </si>
  <si>
    <t>Effective Tax Rate for Incentive Adder</t>
  </si>
  <si>
    <t>NET REVENUE REQUIREMENT AFTER REVENUE CREDITS AND BEFORE TRUE-UP</t>
  </si>
  <si>
    <t>(Note Q)</t>
  </si>
  <si>
    <t xml:space="preserve">     Note: Incentive gross plant and accumulated depreciation values, if applicable,  will be calculated by cell references to the RTO Project Smry and Spon Proj Smry tabs.</t>
  </si>
  <si>
    <t>The Unamortized Abandoned Transmission Plant can only be included in rate base if authorized by the Commission.</t>
  </si>
  <si>
    <r>
      <t xml:space="preserve">Column </t>
    </r>
    <r>
      <rPr>
        <b/>
        <sz val="12"/>
        <rFont val="Arial"/>
        <family val="2"/>
      </rPr>
      <t>(n) -</t>
    </r>
  </si>
  <si>
    <t>Qtr 1 (Current Year)</t>
  </si>
  <si>
    <t>Qtr 2 (Current Year)</t>
  </si>
  <si>
    <t>Interest on True-up Amount ([Average Interest Rate / 12 months]*24 months]</t>
  </si>
  <si>
    <t>True-up Amount (before interest)</t>
  </si>
  <si>
    <t>Interest on True-Up:</t>
  </si>
  <si>
    <t>Annual Short-term Int Rate</t>
  </si>
  <si>
    <t>Q</t>
  </si>
  <si>
    <t xml:space="preserve">Total </t>
  </si>
  <si>
    <t>GROSS PLANT IN SERVICE (ACTUAL HISTORICAL COST)</t>
  </si>
  <si>
    <t>NET PLANT IN SERVICE  (ACTUAL HISTORICAL COST)</t>
  </si>
  <si>
    <t>PLANT IN SERVICE</t>
  </si>
  <si>
    <t>GROSS AND NET PLANT ALLOCATORS</t>
  </si>
  <si>
    <t>Projected net revenue requirements for next calendar year</t>
  </si>
  <si>
    <t>Projected gross revenue requirements for next calendar year</t>
  </si>
  <si>
    <t xml:space="preserve">    Long Term Interest </t>
  </si>
  <si>
    <t>The interest rate for an overcharge is the same rate used in the True -UP schedule.</t>
  </si>
  <si>
    <t>Enter the Projected Revenue Requirement for the Actual period, pending the Actual data.</t>
  </si>
  <si>
    <t>Other</t>
  </si>
  <si>
    <t>Taxes</t>
  </si>
  <si>
    <t>Income</t>
  </si>
  <si>
    <t>I.</t>
  </si>
  <si>
    <t>P</t>
  </si>
  <si>
    <t xml:space="preserve">         Property (Note P)</t>
  </si>
  <si>
    <t>Total True-up</t>
  </si>
  <si>
    <t>(Projected Gross Rev Req, page 1, line 1)</t>
  </si>
  <si>
    <t>(Lines 15-18 / 4)</t>
  </si>
  <si>
    <t>(line 5 / line 7)</t>
  </si>
  <si>
    <t>(line 9 / line 7)</t>
  </si>
  <si>
    <t>(line 13 / line 7)</t>
  </si>
  <si>
    <t>Ratio of Common Stock to Total Debt</t>
  </si>
  <si>
    <t xml:space="preserve">  Common Stock </t>
  </si>
  <si>
    <t xml:space="preserve">Total  </t>
  </si>
  <si>
    <t>Qtr 3 (Previous Year)</t>
  </si>
  <si>
    <t>Accum. Dep.</t>
  </si>
  <si>
    <t>Gross Plant</t>
  </si>
  <si>
    <t>12 Mon Tot</t>
  </si>
  <si>
    <t>Less:  PTP Service Credit</t>
  </si>
  <si>
    <t>Net Schedule 1 Revenue Requirement for Zone</t>
  </si>
  <si>
    <t>If the annual update is for a partial year, monthly interest will be multiplied by 18 plus one-half of the months in the partial year.</t>
  </si>
  <si>
    <t>A-8 (Act. Sponsored Projects)</t>
  </si>
  <si>
    <t>A-9 (Act. Incentive Plant)</t>
  </si>
  <si>
    <t>Unamortized Abandoned Transmission Plant</t>
  </si>
  <si>
    <t>Reference</t>
  </si>
  <si>
    <t>Page 2 Line 26 Investment Tax Credit</t>
  </si>
  <si>
    <t>Change description to reflect Leasehold Improvement  and Land Right.</t>
  </si>
  <si>
    <t xml:space="preserve">         Property </t>
  </si>
  <si>
    <t xml:space="preserve">  Transmission </t>
  </si>
  <si>
    <t xml:space="preserve">     Less Account 565 </t>
  </si>
  <si>
    <t>13-Month Average Balance</t>
  </si>
  <si>
    <t>(P-1, page 2, line 29)</t>
  </si>
  <si>
    <t>Projected 13 mo. Avg. Non-incentive Gross Plant</t>
  </si>
  <si>
    <t>KCP&amp;L Total</t>
  </si>
  <si>
    <t>Balance Portfolio Projects that have been completed and whose costs are in the Form 1 should be entered on this page as well as any CWIP balance for those projects with CWIP incentive.  If a project is completed in phases over multiple years, that project should be entered in sheet P-4 until the entire project is completed and reported in the Form 1.</t>
  </si>
  <si>
    <t>Balance Portfolio Projects  with incentives granted by FERC should be included in Sheet A-9 as well as this sheet.</t>
  </si>
  <si>
    <t>Summary of Actual RTO Directed Transmission Projects</t>
  </si>
  <si>
    <t>In-Service</t>
  </si>
  <si>
    <t>ITP/Priority Project -1 that have been completed and whose costs are in the Form 1 should be entered on this page as well as any CWIP balance for those projects with CWIP incentive.  If a project is completed in phases over multiple years, that project should be entered in sheet P-4 until the entire project is completed and reported in the Form 1.</t>
  </si>
  <si>
    <t>Sponsored Projects  with incentives granted by FERC should be included in Sheet A-9 as well as this sheet.</t>
  </si>
  <si>
    <t>Accrual (B)</t>
  </si>
  <si>
    <t xml:space="preserve">     Plus -Advertising -Transmission</t>
  </si>
  <si>
    <t xml:space="preserve">     Plus -Research Exp -Transmission</t>
  </si>
  <si>
    <t xml:space="preserve">     Plus -Regulatory Exp. -Transmission</t>
  </si>
  <si>
    <t xml:space="preserve">     Plus -Corporate Visibility -Transmission</t>
  </si>
  <si>
    <t xml:space="preserve">     Plus: Advertising -Transmission</t>
  </si>
  <si>
    <t xml:space="preserve">     Plus: Research -Transmission</t>
  </si>
  <si>
    <t xml:space="preserve">     Plus: Regulatory Exp -Transmission</t>
  </si>
  <si>
    <t xml:space="preserve">     Plus: Corporate Visibility -Transmission</t>
  </si>
  <si>
    <t>6b</t>
  </si>
  <si>
    <t>6c</t>
  </si>
  <si>
    <t>6d</t>
  </si>
  <si>
    <t>5b</t>
  </si>
  <si>
    <t>5c</t>
  </si>
  <si>
    <t>5d</t>
  </si>
  <si>
    <t>5e</t>
  </si>
  <si>
    <t>5f</t>
  </si>
  <si>
    <t xml:space="preserve">TOTAL GROSS PLANT </t>
  </si>
  <si>
    <t>Actual gross revenue requirements for most recent calendar year</t>
  </si>
  <si>
    <t>Included $1.5 million GFA with Full Requirement -both loads are in the divisor.</t>
  </si>
  <si>
    <t>A-2</t>
  </si>
  <si>
    <t>Divisor</t>
  </si>
  <si>
    <t>Projected Schedule 1 Rev Req</t>
  </si>
  <si>
    <t xml:space="preserve">  Total </t>
  </si>
  <si>
    <t>Actual 13-Month averages and BOY-EOY averages for rate base items</t>
  </si>
  <si>
    <t>True-up adjustment and interest calculation</t>
  </si>
  <si>
    <t>Actual and projected RTO-directed projects</t>
  </si>
  <si>
    <t>Line 18 X (FERC Interest Rate/12) X 24                        (Note B)</t>
  </si>
  <si>
    <t>Percentage of federal income tax deductible for state income tax purposes</t>
  </si>
  <si>
    <t>Federal Income Tax Rate</t>
  </si>
  <si>
    <t>Composite State Income Tax Rate or Composite SIT</t>
  </si>
  <si>
    <t xml:space="preserve">   Page 4, line 5a, col 6</t>
  </si>
  <si>
    <t xml:space="preserve">   Page 3, line 11, col 6</t>
  </si>
  <si>
    <t xml:space="preserve">   Page 3, line 23, col 6</t>
  </si>
  <si>
    <t>DR =</t>
  </si>
  <si>
    <t xml:space="preserve">323.197.b </t>
  </si>
  <si>
    <t>3a</t>
  </si>
  <si>
    <t xml:space="preserve"> I.  Plant Additions &amp; Accumulated Depreciation Balances</t>
  </si>
  <si>
    <t>End. Balance</t>
  </si>
  <si>
    <t>13 Months</t>
  </si>
  <si>
    <t xml:space="preserve">Less: Net Substation, 34kV, &amp; Radial Lines to Distr. Plt.      </t>
  </si>
  <si>
    <t>Less: Total GSU in Transmission Plant</t>
  </si>
  <si>
    <t>Net  Substation, 34kV, &amp; Radial Lines to Dist. Plt</t>
  </si>
  <si>
    <t>Percentage of transmission plant included in rate base.</t>
  </si>
  <si>
    <r>
      <t xml:space="preserve">(B) </t>
    </r>
    <r>
      <rPr>
        <sz val="10"/>
        <rFont val="Arial MT"/>
      </rPr>
      <t xml:space="preserve"> P-4 projects will be included in total projected transmission projects for P-1</t>
    </r>
  </si>
  <si>
    <t xml:space="preserve">     Less Account 565  </t>
  </si>
  <si>
    <t xml:space="preserve">      Proprietary Capital </t>
  </si>
  <si>
    <t xml:space="preserve">      Less Preferred Stock </t>
  </si>
  <si>
    <t xml:space="preserve">      Less: OCI Account 219</t>
  </si>
  <si>
    <t>NOTES</t>
  </si>
  <si>
    <t>Page 1 of 1</t>
  </si>
  <si>
    <t>Page 1 of 5</t>
  </si>
  <si>
    <t>Page 2 of 5</t>
  </si>
  <si>
    <t>Page 3 of 5</t>
  </si>
  <si>
    <t>Page 4 of 5</t>
  </si>
  <si>
    <t>Page 5 of 5</t>
  </si>
  <si>
    <t>May</t>
  </si>
  <si>
    <t xml:space="preserve">Transmission </t>
  </si>
  <si>
    <t xml:space="preserve">         Other</t>
  </si>
  <si>
    <t xml:space="preserve"> II. Adjustments to Rate Base</t>
  </si>
  <si>
    <t>(112.28.d)</t>
  </si>
  <si>
    <t>(112.28.c)</t>
  </si>
  <si>
    <t>Total of Actual Non-Incentive Projects</t>
  </si>
  <si>
    <t>West Gardner Autotransformer</t>
  </si>
  <si>
    <t xml:space="preserve">Accumulated Depreciation and Amortization  </t>
  </si>
  <si>
    <t>Total of Actual Projects</t>
  </si>
  <si>
    <t>Total of Projected Projects</t>
  </si>
  <si>
    <t>Total (lines T1 + T2)</t>
  </si>
  <si>
    <t xml:space="preserve"> (A)</t>
  </si>
  <si>
    <t>(Wksht P-4)</t>
  </si>
  <si>
    <t>(I - Adder)*line 12 +Adder *line 14</t>
  </si>
  <si>
    <t>Total Non-Incentive Projects (lines T2 + T3)</t>
  </si>
  <si>
    <t>Total of Projected Non-Incentive Projects</t>
  </si>
  <si>
    <t>T</t>
  </si>
  <si>
    <t xml:space="preserve">     Plus: PBOP (Projected 2010 to be used for FY2009 and following)</t>
  </si>
  <si>
    <t>(Wkshts. A-10, line 9)    (Note R)</t>
  </si>
  <si>
    <t xml:space="preserve">     Plus: Safety Advertising</t>
  </si>
  <si>
    <t>Calculate  the difference between the formula rate calculated in Step 7 and Step 1</t>
  </si>
  <si>
    <t>Project ID</t>
  </si>
  <si>
    <t>(5)*(6)</t>
  </si>
  <si>
    <t>Plant Granted Incentive ROE Adder:</t>
  </si>
  <si>
    <t>Construction Work In Progress:</t>
  </si>
  <si>
    <t>Total CWIP</t>
  </si>
  <si>
    <t xml:space="preserve">Total Base Plan Funded Projects </t>
  </si>
  <si>
    <t>Actual net revenue requirements for most recent calendar year</t>
  </si>
  <si>
    <t xml:space="preserve">Net Plant in Service </t>
  </si>
  <si>
    <t>Acum Depr</t>
  </si>
  <si>
    <t xml:space="preserve">  Intangible &amp; Other</t>
  </si>
  <si>
    <t>The interest rate for an undercharge is the same rate used in the True -UP schedule.</t>
  </si>
  <si>
    <t>p =</t>
  </si>
  <si>
    <t xml:space="preserve">         Inputs Required:</t>
  </si>
  <si>
    <t>WS</t>
  </si>
  <si>
    <t xml:space="preserve">  CWC  </t>
  </si>
  <si>
    <t>Facility Carrying Charge</t>
  </si>
  <si>
    <t>TRANSMISSION PLANT INCLUDED IN FORMULA</t>
  </si>
  <si>
    <t>Post results of Step 10</t>
  </si>
  <si>
    <t>Post results from Step 7 and Step 8</t>
  </si>
  <si>
    <t>Return Adder</t>
  </si>
  <si>
    <t>d</t>
  </si>
  <si>
    <t>e</t>
  </si>
  <si>
    <t>f</t>
  </si>
  <si>
    <t>g</t>
  </si>
  <si>
    <t>h</t>
  </si>
  <si>
    <t>i</t>
  </si>
  <si>
    <t>j</t>
  </si>
  <si>
    <t>k</t>
  </si>
  <si>
    <t>l</t>
  </si>
  <si>
    <t>m</t>
  </si>
  <si>
    <t>n</t>
  </si>
  <si>
    <t>This rate will reflect any future FERC approved depreciation rates.</t>
  </si>
  <si>
    <t>ITP/Priority Project -2 that have been completed and whose costs are in the Form 1 should be entered on this page as well as any CWIP balance for those projects with CWIP incentive.  If a project is completed in phases over multiple years, that project should be entered in sheet P-4 until the entire project is completed and reported in the Form 1.</t>
  </si>
  <si>
    <t>ITP/Priority Project -1  with incentives granted by FERC should be included in Sheet A-9 as well as this sheet.</t>
  </si>
  <si>
    <t>Rate</t>
  </si>
  <si>
    <t>South Waverly Capacitor Bank</t>
  </si>
  <si>
    <t>Book accrual for miscellaneous expenses vs actual payments for tax</t>
  </si>
  <si>
    <t>Jurisdictional Diff Iatan 1 and Common</t>
  </si>
  <si>
    <t>Book Depreciation and Carry Cost of Iatan 1 and Common  vs deducted for tax</t>
  </si>
  <si>
    <t>Book accrual of stock compensation vs actual payments for tax</t>
  </si>
  <si>
    <t xml:space="preserve">Book Amortization of Nuclear Fuel Costs vs actual payments for tax </t>
  </si>
  <si>
    <t>Net Reserve for Uncertain Tax positions</t>
  </si>
  <si>
    <t>Balanced Portfolio Net Revenue Req.</t>
  </si>
  <si>
    <t>ITP/Priority Projects-2 Net Revenue Req.</t>
  </si>
  <si>
    <t>a. Removed the KC Earning Tax included in "Other Taxes", based on Chris D. evaluation of the Composite State Tax.</t>
  </si>
  <si>
    <t>a. Chris provide a clean-up of the calculation of the state tax based on analysis during the retail rate, this did not change the rate merely supporting detail.</t>
  </si>
  <si>
    <t>Effective Rate</t>
  </si>
  <si>
    <t>Composite State Income Tax Rate</t>
  </si>
  <si>
    <t>RTO Project Smry</t>
  </si>
  <si>
    <t>(line 10 / line T1  below)</t>
  </si>
  <si>
    <t>(line 16a / line T1 below)</t>
  </si>
  <si>
    <t>FIT =</t>
  </si>
  <si>
    <t>SIT=</t>
  </si>
  <si>
    <t>(Hold future use)</t>
  </si>
  <si>
    <t>Rev. Req</t>
  </si>
  <si>
    <t>Tax deduction of Sec 174 Cost included in CWIP for Books</t>
  </si>
  <si>
    <t>AFUDC Debt in CWIP</t>
  </si>
  <si>
    <t>Rental Substation Property -Cell Towers</t>
  </si>
  <si>
    <t>Other Rental</t>
  </si>
  <si>
    <r>
      <t>(A)</t>
    </r>
    <r>
      <rPr>
        <sz val="10"/>
        <rFont val="Arial MT"/>
      </rPr>
      <t xml:space="preserve"> Special incentive (Depreciation Rate, ROE or CWIP) may be utilized for specific incentive transmission projects if approved by the FERC.</t>
    </r>
  </si>
  <si>
    <t>Revenue Credits (only SFP)</t>
  </si>
  <si>
    <t>Balance Portfolio True-up</t>
  </si>
  <si>
    <t>Bond refunding amortization</t>
  </si>
  <si>
    <t>Prior Years Depr Adj (Combustion Turbine)</t>
  </si>
  <si>
    <t>Bonus Pay Accrual</t>
  </si>
  <si>
    <t>FAS 106 Postretirement Benefits</t>
  </si>
  <si>
    <t>Customer Advances (Retail)</t>
  </si>
  <si>
    <t>Customer advance included in income in year received for tax</t>
  </si>
  <si>
    <t>Tax gross up on CIACs</t>
  </si>
  <si>
    <t>Partnership entries</t>
  </si>
  <si>
    <t>Tax Interest (FIN 48 &amp; other contingencies)</t>
  </si>
  <si>
    <t>Wolf Creek Decomm Co</t>
  </si>
  <si>
    <t>AFDC Debt not in service</t>
  </si>
  <si>
    <t>Tax Interest Capitalized in CWIP</t>
  </si>
  <si>
    <t>Deferred Compensation - Non-current</t>
  </si>
  <si>
    <t>MTM - Interest Rate Lock</t>
  </si>
  <si>
    <t>FIN 48 Adjustments</t>
  </si>
  <si>
    <t>O&amp;M Expenses as a Percentage of Net Plant</t>
  </si>
  <si>
    <t xml:space="preserve">     Plus Safety Advertising</t>
  </si>
  <si>
    <t xml:space="preserve">     Plus Transmission Related Reg. Comm.  Exp.</t>
  </si>
  <si>
    <t>Deprec. Rate:(A)</t>
  </si>
  <si>
    <t>Worksheet P3 - Projected Transmission Network Load</t>
  </si>
  <si>
    <t>Table of Contents</t>
  </si>
  <si>
    <t>Tab</t>
  </si>
  <si>
    <t>Actual Net Rev Req</t>
  </si>
  <si>
    <t>Actual Gross Rev Req</t>
  </si>
  <si>
    <t>ALLOCATION FACTORS</t>
  </si>
  <si>
    <t>Allocators</t>
  </si>
  <si>
    <t>Location of Calculation or First Use of Allocator</t>
  </si>
  <si>
    <t>Percentage of transmission labor included in rates</t>
  </si>
  <si>
    <t>Direct assignment</t>
  </si>
  <si>
    <t>Page 6 of 7</t>
  </si>
  <si>
    <t>Page 5 of 7</t>
  </si>
  <si>
    <t>Page 4 of 7</t>
  </si>
  <si>
    <t>Page 3 of 7</t>
  </si>
  <si>
    <t>Page 2 of 7</t>
  </si>
  <si>
    <t>Page 1 of 7</t>
  </si>
  <si>
    <t>Page 9 of 9</t>
  </si>
  <si>
    <t>Page 8 of 9</t>
  </si>
  <si>
    <t>Page 6 of 9</t>
  </si>
  <si>
    <t>Page 7 of 9</t>
  </si>
  <si>
    <t>Page 4 of 9</t>
  </si>
  <si>
    <t>Page 5 of 9</t>
  </si>
  <si>
    <t>Page 2 of 9</t>
  </si>
  <si>
    <t>Page 3 of 9</t>
  </si>
  <si>
    <t>Page 1 of 9</t>
  </si>
  <si>
    <t>Page 3 of 3</t>
  </si>
  <si>
    <t xml:space="preserve"> Development of Common Stock:</t>
  </si>
  <si>
    <t xml:space="preserve">Proprietary Capital </t>
  </si>
  <si>
    <t xml:space="preserve">Less Preferred Stock </t>
  </si>
  <si>
    <t xml:space="preserve">Less OCI Account 219 </t>
  </si>
  <si>
    <t xml:space="preserve"> Long Term Debt </t>
  </si>
  <si>
    <t>Interest Rate Lock - through P&amp;L</t>
  </si>
  <si>
    <t xml:space="preserve"> Preferred Stock </t>
  </si>
  <si>
    <t xml:space="preserve"> Common Stock </t>
  </si>
  <si>
    <t>FERC</t>
  </si>
  <si>
    <t>LN</t>
  </si>
  <si>
    <t>A/C</t>
  </si>
  <si>
    <t>Organization</t>
  </si>
  <si>
    <t>Franchises</t>
  </si>
  <si>
    <t>Structures and Improvements</t>
  </si>
  <si>
    <t>Station Equipment</t>
  </si>
  <si>
    <t>Towers and Fixtures</t>
  </si>
  <si>
    <t>Poles and Fixtures</t>
  </si>
  <si>
    <t>Overhead Conductors and Devices</t>
  </si>
  <si>
    <t>Underground Conduit</t>
  </si>
  <si>
    <t>Underground Conductors and Devices</t>
  </si>
  <si>
    <t>Land and Land Rights</t>
  </si>
  <si>
    <t>Office Furniture and Equipment</t>
  </si>
  <si>
    <t>Transportation Equipment</t>
  </si>
  <si>
    <t>Stores Equipment</t>
  </si>
  <si>
    <t>Tools, Shop and Garage Equipment</t>
  </si>
  <si>
    <t>Laboratory Equipment</t>
  </si>
  <si>
    <t>Power Operated Equipment</t>
  </si>
  <si>
    <t>Communication Equipment</t>
  </si>
  <si>
    <t>Miscellaneous Equipment</t>
  </si>
  <si>
    <t>Includes only Transmission plant.</t>
  </si>
  <si>
    <t>Transmission assets excluded for rate purpose -updated for FY2008.</t>
  </si>
  <si>
    <t>GSU</t>
  </si>
  <si>
    <t>Montrose &amp; LaCygne GSUs</t>
  </si>
  <si>
    <t>Spearville 34kV switch</t>
  </si>
  <si>
    <t>Radial Line</t>
  </si>
  <si>
    <t>increase due to general improvements -Gardner Cedar Niles</t>
  </si>
  <si>
    <t>Substation</t>
  </si>
  <si>
    <t>increase due:</t>
  </si>
  <si>
    <t>Baldwin City &amp; Greeley Regulatory substation $691,102</t>
  </si>
  <si>
    <t>Both Paola and Ottawa Substation increased.</t>
  </si>
  <si>
    <t>34kV lines</t>
  </si>
  <si>
    <t>increase due primarily to Miami, Franklin and Linn County.</t>
  </si>
  <si>
    <t>A-8</t>
  </si>
  <si>
    <t>A-9</t>
  </si>
  <si>
    <t>Act BPF Project</t>
  </si>
  <si>
    <t>Baseplan projects requested by SPP</t>
  </si>
  <si>
    <t>FY 2006</t>
  </si>
  <si>
    <t>Tomhawk-Bendix Reconductor</t>
  </si>
  <si>
    <t>FY 2007</t>
  </si>
  <si>
    <t xml:space="preserve">FY 2007 </t>
  </si>
  <si>
    <t>FY 2008</t>
  </si>
  <si>
    <t>Vacation Accrual</t>
  </si>
  <si>
    <t>Worksheet P5 - Projected Transmission Plant Related to Sponsored Projects</t>
  </si>
  <si>
    <t>(Projected Net Rev Req, page 1, line 9-12)</t>
  </si>
  <si>
    <t>Other Interest Exp.(Notes, p.117)</t>
  </si>
  <si>
    <t>Notes Payable (Acct. 231-daily balances wksht.)</t>
  </si>
  <si>
    <t xml:space="preserve"> Assets Transferred from Transmission Rate Base</t>
  </si>
  <si>
    <t xml:space="preserve"> II. Radial Lines,  34kV  and Substation Facilities Transferred</t>
  </si>
  <si>
    <r>
      <t xml:space="preserve">Note D:  This tab shows the amount in column </t>
    </r>
    <r>
      <rPr>
        <b/>
        <sz val="10"/>
        <rFont val="Arial MT"/>
      </rPr>
      <t>s</t>
    </r>
    <r>
      <rPr>
        <sz val="10"/>
        <rFont val="Arial MT"/>
      </rPr>
      <t xml:space="preserve"> that SPP is required to recover for each BPF project.</t>
    </r>
  </si>
  <si>
    <t>Transportation Equipment -Autos</t>
  </si>
  <si>
    <t>46a</t>
  </si>
  <si>
    <t>46b</t>
  </si>
  <si>
    <t>46c</t>
  </si>
  <si>
    <t>46d</t>
  </si>
  <si>
    <t>Transportation Equipment -Light Trucks</t>
  </si>
  <si>
    <t>Transportation Equipment -Heavy Trucks</t>
  </si>
  <si>
    <t>Transportation Equipment -Tractors</t>
  </si>
  <si>
    <t>Transportation Equipment -Trailers</t>
  </si>
  <si>
    <t>Composite Depreciation Weighting for FY 2009 and Forward</t>
  </si>
  <si>
    <t>19b</t>
  </si>
  <si>
    <t>Page 1 Line 10  Intangible &amp; Other</t>
  </si>
  <si>
    <t>Estimated Monthly Transmission Network Load for September thru December ( b  X c)</t>
  </si>
  <si>
    <t>Incentive Plant: Projected ITP / Priority Project-1</t>
  </si>
  <si>
    <t>Incentive Plant: Projected ITP / Priority Project-2</t>
  </si>
  <si>
    <t>Income Tax Calculation</t>
  </si>
  <si>
    <t xml:space="preserve">ITC adjustment </t>
  </si>
  <si>
    <t xml:space="preserve">ACCUMULATED DEPRECIATION </t>
  </si>
  <si>
    <t xml:space="preserve"> (ACTUAL HISTORICAL COST)</t>
  </si>
  <si>
    <t xml:space="preserve">NET PLANT IN SERVICE  </t>
  </si>
  <si>
    <t xml:space="preserve">  Total  </t>
  </si>
  <si>
    <t>(Provide data sources and necessary explanations Section V, Notes below.)</t>
  </si>
  <si>
    <t>TO's LSE Sch. 11 Rev. from Sponsored or Direct Assign Facilities - Network Credits</t>
  </si>
  <si>
    <t>TO's LSE Sch. 11 Rev. from Sponsored or Direct Assign Facilities - PtP Credits</t>
  </si>
  <si>
    <t>Point-To-Point Revenue for GFAs Associated with Load Included in the Divisor</t>
  </si>
  <si>
    <t>Revenue Associated with Transmission Plant Excluded From SPP Tariff</t>
  </si>
  <si>
    <t>Wholesale Distribution Revenue</t>
  </si>
  <si>
    <t>Schedule 1 Revenue</t>
  </si>
  <si>
    <t>Schedule 2 Revenue</t>
  </si>
  <si>
    <t>Schedules 3-6 Revenue</t>
  </si>
  <si>
    <t>Net 456.1 Account Activity</t>
  </si>
  <si>
    <t>Total Revenue Credits to Apply to Zonal Revenue Requirement</t>
  </si>
  <si>
    <t>Notes</t>
  </si>
  <si>
    <t>Rate Base Adjustments as a Percentage of Net Plant</t>
  </si>
  <si>
    <t>Non-Incentive</t>
  </si>
  <si>
    <t xml:space="preserve">321.112.b  </t>
  </si>
  <si>
    <t>ROE Adder:</t>
  </si>
  <si>
    <t>3</t>
  </si>
  <si>
    <t>Plant Balance by Month</t>
  </si>
  <si>
    <t xml:space="preserve">Deprec. Rate / 12 </t>
  </si>
  <si>
    <t xml:space="preserve"> Depreciation Expense</t>
  </si>
  <si>
    <t>Prior Yr</t>
  </si>
  <si>
    <t>Dec</t>
  </si>
  <si>
    <t>Current Yr</t>
  </si>
  <si>
    <t>Feb</t>
  </si>
  <si>
    <t>Mar</t>
  </si>
  <si>
    <t>Apr</t>
  </si>
  <si>
    <t>Jul</t>
  </si>
  <si>
    <t>Aug</t>
  </si>
  <si>
    <t>Sep</t>
  </si>
  <si>
    <t>Nov</t>
  </si>
  <si>
    <t>Note A:   All line references are to the "RTO Project Summary" worksheet, page 1.</t>
  </si>
  <si>
    <t>Note B:   The depreciation rate is calculated by: line 1/line 6.</t>
  </si>
  <si>
    <t xml:space="preserve">                 Project Group 1 -Trans Environmental Issues</t>
  </si>
  <si>
    <t xml:space="preserve">                 Project Group 2 -Trans.OH &amp; Increased Power Flows</t>
  </si>
  <si>
    <t>If Actual Revenue Req. &lt; Projected Revenue Req.</t>
  </si>
  <si>
    <t>Less:  Scheduling, System Control and Dispatch Services  (321.88.b)</t>
  </si>
  <si>
    <t>Deprec. Rate / 12    (notes A &amp; B)</t>
  </si>
  <si>
    <t xml:space="preserve">   Actual Projects ( From Wksht A-7)</t>
  </si>
  <si>
    <t xml:space="preserve">    Projected projects (From Wksht P-4)</t>
  </si>
  <si>
    <t>(1) Data for this worksheet came from the FERC Form 1 and the Company's General Ledger.</t>
  </si>
  <si>
    <t>A-1 Revenue Credits for Schedule 11 Revenue Requirements</t>
  </si>
  <si>
    <t>Revenue Received for TO's Facilities Under Schedule 11</t>
  </si>
  <si>
    <t>A-2 (Act. Divisor)</t>
  </si>
  <si>
    <t>A-3 (Act  ADIT)</t>
  </si>
  <si>
    <t>Includes only FICA, unemployment, highway, property, gross receipts, and other assessments charged in the current year.</t>
  </si>
  <si>
    <t>K</t>
  </si>
  <si>
    <t>L</t>
  </si>
  <si>
    <t>M</t>
  </si>
  <si>
    <t>N</t>
  </si>
  <si>
    <t>Note:</t>
  </si>
  <si>
    <t>Accumulated Deferred Income Tax  Other Utility</t>
  </si>
  <si>
    <t>DA</t>
  </si>
  <si>
    <t>TOTAL ADJUSTMENTS</t>
  </si>
  <si>
    <t>B</t>
  </si>
  <si>
    <t>Line No.</t>
  </si>
  <si>
    <t>Date</t>
  </si>
  <si>
    <t>Hour Ending</t>
  </si>
  <si>
    <t>n/a</t>
  </si>
  <si>
    <t>12-CP</t>
  </si>
  <si>
    <t>A</t>
  </si>
  <si>
    <t>Account 4540001 - Other Rev -Rent Electric Property</t>
  </si>
  <si>
    <t>TO's LSE Direct Assignment Revenue Credits</t>
  </si>
  <si>
    <t>TO's LSE Sponsored Upgrade Revenue Credits</t>
  </si>
  <si>
    <t xml:space="preserve">                           Total Advertising for Transmission</t>
  </si>
  <si>
    <t xml:space="preserve">                         Total Transmission Regulatory Expense</t>
  </si>
  <si>
    <t xml:space="preserve">                       Total Corporate Visibility Expenses</t>
  </si>
  <si>
    <t>Total A&amp;G Expense</t>
  </si>
  <si>
    <t>Projected Gross Revenue Requirements</t>
  </si>
  <si>
    <t xml:space="preserve">Projected Net Plant in Service </t>
  </si>
  <si>
    <t>In-Service Date</t>
  </si>
  <si>
    <t>Ad Valorem:</t>
  </si>
  <si>
    <t xml:space="preserve">  Missouri</t>
  </si>
  <si>
    <t xml:space="preserve">  Kansas</t>
  </si>
  <si>
    <t>Projected Plant</t>
  </si>
  <si>
    <t>(Wksht A-1,p 2,Line 14)</t>
  </si>
  <si>
    <t>Average</t>
  </si>
  <si>
    <t>Prior Year</t>
  </si>
  <si>
    <t>Current Year</t>
  </si>
  <si>
    <t>Total ADIT</t>
  </si>
  <si>
    <t>Allocated to</t>
  </si>
  <si>
    <t>(b + c + d)</t>
  </si>
  <si>
    <t>VI. 13 Month Average -Net Plant</t>
  </si>
  <si>
    <t>13 -Month Average Balance</t>
  </si>
  <si>
    <t xml:space="preserve">      Less Excluded Plant</t>
  </si>
  <si>
    <t xml:space="preserve">      Less: Excluded Plant</t>
  </si>
  <si>
    <t>20xx-xx</t>
  </si>
  <si>
    <t>Page 2 of 4</t>
  </si>
  <si>
    <t>Page 4 of 4</t>
  </si>
  <si>
    <t>Page 1 of 4</t>
  </si>
  <si>
    <t xml:space="preserve">  Distribution</t>
  </si>
  <si>
    <t xml:space="preserve">  General &amp; Intangible</t>
  </si>
  <si>
    <t>W/S</t>
  </si>
  <si>
    <t>ACCUMULATED DEPRECIATION</t>
  </si>
  <si>
    <r>
      <t xml:space="preserve">Column f </t>
    </r>
    <r>
      <rPr>
        <sz val="12"/>
        <rFont val="Arial MT"/>
      </rPr>
      <t>contains actual load values for January-August and projected load values for September - December.</t>
    </r>
  </si>
  <si>
    <r>
      <t>(B)</t>
    </r>
    <r>
      <rPr>
        <sz val="10"/>
        <rFont val="Arial MT"/>
      </rPr>
      <t xml:space="preserve"> Actual transmission depreciation expense (Actual Gross Rev Req, page 2, line 8) divided by actual transmission plant in service (Actual Gross Rev Req, page 1, line 2) divided by 12 months.</t>
    </r>
  </si>
  <si>
    <t>Interest Calculation</t>
  </si>
  <si>
    <t>Avg. Ann Short Term Int</t>
  </si>
  <si>
    <t>Worksheet A-6 -  Taxes Other Than Income Taxes</t>
  </si>
  <si>
    <t>Worksheet A-4 -  Excluded Assets</t>
  </si>
  <si>
    <t>Worksheet A-3 - ADIT</t>
  </si>
  <si>
    <t>Worksheet A-2 -Divisor</t>
  </si>
  <si>
    <t>ITP / Priority Project 2 Rev Req.</t>
  </si>
  <si>
    <t>Base Plan Projects</t>
  </si>
  <si>
    <t>ITP /Priority Project -1</t>
  </si>
  <si>
    <t>ITP /Priority Project -2</t>
  </si>
  <si>
    <t>Total Transmission O&amp;M</t>
  </si>
  <si>
    <t>Total GSUs in Transmission Plant</t>
  </si>
  <si>
    <t>Less: Substation  Facilities Transf to Trans. Plant</t>
  </si>
  <si>
    <t>III. Net Transfer From Trans. (ln 7+ln 28)</t>
  </si>
  <si>
    <t>Land Rights</t>
  </si>
  <si>
    <t xml:space="preserve">  Net Incentive Plant</t>
  </si>
  <si>
    <t>Less: Transmission Service Studies</t>
  </si>
  <si>
    <t xml:space="preserve"> (321.90.b)</t>
  </si>
  <si>
    <t>Total Transmission</t>
  </si>
  <si>
    <t>Actual Facility Carrying Chge</t>
  </si>
  <si>
    <t>Actual Incentive           Rev Reg                     (A-9 Incentive Proj)</t>
  </si>
  <si>
    <t>Region-wide Network Revenue for TO's Facilities Under Schedule 11  -(Note 2)</t>
  </si>
  <si>
    <t>Zonal Point-to-Point Revenue for TO's Facilities Under Schedule 11  -(Note 2)</t>
  </si>
  <si>
    <t>Region-wide Point-to-Point Revenue for TO's Facilities Under Schedule 11 - (Note 2)</t>
  </si>
  <si>
    <t>Hold for Future Use</t>
  </si>
  <si>
    <t>The 2008 allocation values for the FERC jurisdiction were based on the applicable factors used by KCP&amp;L to allocate related plant balances in Missouri rate Case No. ER-2007-0291.  These account-specific methods are consistent with those documented in Schedule 1 above.</t>
  </si>
  <si>
    <t>The Allocation Basis codes in Schedule 2 have the same definitions as those in Schedule 1.</t>
  </si>
  <si>
    <t>Antioch-Oxford Reconductor -Switches</t>
  </si>
  <si>
    <t>Utilizing FERC Form 1 Data</t>
  </si>
  <si>
    <t>Less: Amort. of Gain on Reacquired Debt-Credit</t>
  </si>
  <si>
    <t>Note: the asset value for these projects are from property records.</t>
  </si>
  <si>
    <t>A-9A</t>
  </si>
  <si>
    <t>Act.Sponsor Project</t>
  </si>
  <si>
    <t>Vintage</t>
  </si>
  <si>
    <t xml:space="preserve">KCPL's sponsored project: </t>
  </si>
  <si>
    <t>LaCygne-West Gardner Reconductor</t>
  </si>
  <si>
    <t>$ Increase</t>
  </si>
  <si>
    <t>Reason for Increase</t>
  </si>
  <si>
    <t>A-10</t>
  </si>
  <si>
    <t>Wages &amp; Salaries</t>
  </si>
  <si>
    <t>Worksheet A-1 Revenue Credits</t>
  </si>
  <si>
    <t>Balanced Portfolio True-Up</t>
  </si>
  <si>
    <t>ITP/Priority Projects-1 True-UP</t>
  </si>
  <si>
    <t>Projected Revenue Requirements</t>
  </si>
  <si>
    <t>Actual            Rev Reg</t>
  </si>
  <si>
    <t>Total Actual                   Rev Reg</t>
  </si>
  <si>
    <t>Total Base Plan Projects</t>
  </si>
  <si>
    <t>Projected and Trued Up Facilities Carrying Charges</t>
  </si>
  <si>
    <t>Page 2 Line 3A &amp; 4 - Post-Employment Benefits Other than Pensions (PBOP)</t>
  </si>
  <si>
    <t xml:space="preserve">Page 2 Line 20 -KC Earning Tax </t>
  </si>
  <si>
    <t>b. Original source for the information is FN1 page 263 Ln 11.</t>
  </si>
  <si>
    <t xml:space="preserve">Page 2 Line 24 -Calculation of Tax Rate </t>
  </si>
  <si>
    <t xml:space="preserve">     Less:  General Advertising Costs</t>
  </si>
  <si>
    <t xml:space="preserve">     Less:  Regulatory Commission Expenses</t>
  </si>
  <si>
    <t xml:space="preserve">     Less: Misc Nuclear Expenses ( included in Account 930.2)</t>
  </si>
  <si>
    <t xml:space="preserve">     Plus: Corporate Visibility Expenses:</t>
  </si>
  <si>
    <t xml:space="preserve">                  Regulatory</t>
  </si>
  <si>
    <t xml:space="preserve">                  Reporting</t>
  </si>
  <si>
    <t xml:space="preserve">                  Compliance</t>
  </si>
  <si>
    <t xml:space="preserve">                  Shareholder Communications</t>
  </si>
  <si>
    <t xml:space="preserve">                     Formula Rate</t>
  </si>
  <si>
    <t xml:space="preserve">                     Other-Specifically Assignable to Transmission</t>
  </si>
  <si>
    <t xml:space="preserve">ADIT impacts related to Contributions in Aid of Construction (CIAC) shall be designated as non-transmission related unless both of the following conditions apply:  a) the facility for which the CIAC is paid is a Transmission Facility pursuant to Attachment AI of the SPP Open Access Transmission Tariff, and b) the FERC-approved tariffs or rate schedules under which the payment is made do not provide for full recovery by KCP&amp;L of the ADIT impacts.  More generally, ADIT items that are to be treated as 100% Non-Transmission  should be so treated on the basis of the actual tax item, not based on the title used.  </t>
  </si>
  <si>
    <t>Subtotal      ( p.234.Notes)</t>
  </si>
  <si>
    <t>Subtotal         (p.277.Notes)</t>
  </si>
  <si>
    <t>( 321.Notes)</t>
  </si>
  <si>
    <t xml:space="preserve">      (321.Notes)                    (Note E)</t>
  </si>
  <si>
    <t>KS City</t>
  </si>
  <si>
    <t>% of FIT</t>
  </si>
  <si>
    <t>Deductible</t>
  </si>
  <si>
    <t>Composite Portion of FIT Deduction for State Returns</t>
  </si>
  <si>
    <t>(source -FN1, page 400)</t>
  </si>
  <si>
    <t>Page 263, (i)</t>
  </si>
  <si>
    <t>(Reference to Act. Gross Rev Req Wksht)</t>
  </si>
  <si>
    <t xml:space="preserve">Listed in Schedule 2 are the allocation methods used to weight the depreciation rates for each jurisdiction to determine a composite depreciation rate for KCP&amp;L as reflected in the FY 2008 Form 1.  The methodology used in FY 2008 relied on allocation methods and values specific to Missouri and Kansas. The FERC allocations were determined consistently with the methods documented above in Schedule 1.  Listed below is a description of the allocation for each jurisdiction:  </t>
  </si>
  <si>
    <t>The 2008 allocation values for the Missouri jurisdiction were based on allocators calculated by the Missouri PSC (MPSC) staff in support of the Final Order in Missouri rate Case No. ER-2007-0291. </t>
  </si>
  <si>
    <t xml:space="preserve">The 2008 allocation values for the Kansas jurisdiction were based on the methods used by KCP&amp;L to allocate related plant balances in Kansas rate case Docket No. 07-KCPE-905-RTS. </t>
  </si>
  <si>
    <t>Allocation of ADIT</t>
  </si>
  <si>
    <t>ADIT-255</t>
  </si>
  <si>
    <t>(Note P)</t>
  </si>
  <si>
    <t>Accumulated Deferred Income Taxes</t>
  </si>
  <si>
    <t>Amortization of Loss on Reacquired Debt</t>
  </si>
  <si>
    <t>(P-4)</t>
  </si>
  <si>
    <t>Prior Years Acc Dep:</t>
  </si>
  <si>
    <t>Deprec. Rate / 12 (notes A &amp; B)</t>
  </si>
  <si>
    <t>Balanced Portfolio</t>
  </si>
  <si>
    <t>ITP/Priority Projects-1</t>
  </si>
  <si>
    <t>ITP/Priority Projects-2</t>
  </si>
  <si>
    <t>February</t>
  </si>
  <si>
    <t>March</t>
  </si>
  <si>
    <t>April</t>
  </si>
  <si>
    <t>June</t>
  </si>
  <si>
    <t>July</t>
  </si>
  <si>
    <t>August</t>
  </si>
  <si>
    <t>September</t>
  </si>
  <si>
    <t>October</t>
  </si>
  <si>
    <t>November</t>
  </si>
  <si>
    <t>December</t>
  </si>
  <si>
    <t>b</t>
  </si>
  <si>
    <t>c</t>
  </si>
  <si>
    <t>a</t>
  </si>
  <si>
    <t>MW</t>
  </si>
  <si>
    <t xml:space="preserve">Worksheet A-7 - Actual RTO Directed Transmission Projects </t>
  </si>
  <si>
    <t xml:space="preserve">Total Balanced Portfolio Projects </t>
  </si>
  <si>
    <t>TO's LSE Network Upgrades for Generation Interconnection - Credits</t>
  </si>
  <si>
    <t>Balance</t>
  </si>
  <si>
    <t>Bad Debt</t>
  </si>
  <si>
    <t>Page 1 Line 31 -Interest Network Credit-what is the basis of this calculation?</t>
  </si>
  <si>
    <t>Tax-Adjusted Return on Abandoned Plant</t>
  </si>
  <si>
    <t>6a</t>
  </si>
  <si>
    <t>NOTES:</t>
  </si>
  <si>
    <t>23a</t>
  </si>
  <si>
    <t>23b</t>
  </si>
  <si>
    <t>(Worksheet P-1, Line 34)</t>
  </si>
  <si>
    <t xml:space="preserve"> Utilizing FERC Form 1 Data</t>
  </si>
  <si>
    <t>Reserved for future use.</t>
  </si>
  <si>
    <t>ITC adjustment</t>
  </si>
  <si>
    <t xml:space="preserve">Other </t>
  </si>
  <si>
    <t>Notes:</t>
  </si>
  <si>
    <t>Actual Net</t>
  </si>
  <si>
    <t>Projected Net</t>
  </si>
  <si>
    <t>(a - b - e)</t>
  </si>
  <si>
    <t>o</t>
  </si>
  <si>
    <t>(f * line 18)</t>
  </si>
  <si>
    <t>13 Mon Avg</t>
  </si>
  <si>
    <t xml:space="preserve">    1. Greg used a cost of long term interest greater than the amount  reported on FN1.</t>
  </si>
  <si>
    <t>b. John W. reviewed and we agreed to us the FN1 cost of long term interest.</t>
  </si>
  <si>
    <t>Projected Gross Rev Req</t>
  </si>
  <si>
    <t>Qtr 4 (Previous Year)</t>
  </si>
  <si>
    <t>Actual Gross Rev</t>
  </si>
  <si>
    <t xml:space="preserve">GROSS REV. REQUIREMENT </t>
  </si>
  <si>
    <t>(line 11 / line 12 )</t>
  </si>
  <si>
    <t>Other Tangible Property</t>
  </si>
  <si>
    <t>Worksheet P2 - Projected Expenses and Revenue Credits</t>
  </si>
  <si>
    <t>Worksheet P1 - Projected Transmission Plant</t>
  </si>
  <si>
    <t>Actual Sch 1 Rev Req</t>
  </si>
  <si>
    <t>(d + e)</t>
  </si>
  <si>
    <t>Summary of Actual Incentive Projects</t>
  </si>
  <si>
    <t>Description - Zonal  Projects</t>
  </si>
  <si>
    <t>Amort. of Debt Disc. and Expense</t>
  </si>
  <si>
    <t>Less: Amort. of Premium on Debt-Credit</t>
  </si>
  <si>
    <t>(g)</t>
  </si>
  <si>
    <t>(h)</t>
  </si>
  <si>
    <t>(i)</t>
  </si>
  <si>
    <t>(j)</t>
  </si>
  <si>
    <t>(k)</t>
  </si>
  <si>
    <t>(l)</t>
  </si>
  <si>
    <t>( c )</t>
  </si>
  <si>
    <t>ADJUSTMENTS TO RATE BASE</t>
  </si>
  <si>
    <t>Rate Base</t>
  </si>
  <si>
    <t>Return</t>
  </si>
  <si>
    <t>Income Taxes</t>
  </si>
  <si>
    <t>Expenses</t>
  </si>
  <si>
    <t>Month</t>
  </si>
  <si>
    <t>Plant</t>
  </si>
  <si>
    <t>Depreciation</t>
  </si>
  <si>
    <t>Avg Balance</t>
  </si>
  <si>
    <t>Production-Steam</t>
  </si>
  <si>
    <t>Production-Other</t>
  </si>
  <si>
    <t>Distribution</t>
  </si>
  <si>
    <t>General Plant</t>
  </si>
  <si>
    <t>Book accrual of deferred compensation vs. actual payments for tax</t>
  </si>
  <si>
    <t>Book accrual of Market to Market on Interest Rate Hedge vs. included when settled for tax</t>
  </si>
  <si>
    <t>Book accrual of stock compensation vs. actual payments for tax</t>
  </si>
  <si>
    <t>Total Prepayments</t>
  </si>
  <si>
    <t>Total Stores Expense</t>
  </si>
  <si>
    <t xml:space="preserve">    GRCF =  1 / (1 - T)  </t>
  </si>
  <si>
    <t>ACCUMULATED DEPRECIATION  (ACTUAL HISTORICAL COST)          (Note Q)</t>
  </si>
  <si>
    <t>Total Plant</t>
  </si>
  <si>
    <t>Westar uses this to break out Wolf Creek Labor -pointing to WCNOC FN1.</t>
  </si>
  <si>
    <t xml:space="preserve">A-11 </t>
  </si>
  <si>
    <t>Placeholder</t>
  </si>
  <si>
    <t>A-12</t>
  </si>
  <si>
    <t>Actual Econ Project</t>
  </si>
  <si>
    <t>Actual Incentive Project</t>
  </si>
  <si>
    <t>TU</t>
  </si>
  <si>
    <t>Need to determine when date changes FY 2009 or FY 2010.</t>
  </si>
  <si>
    <t xml:space="preserve">Actual Accumulated Deferred Income Taxes (ADIT) </t>
  </si>
  <si>
    <t>23c</t>
  </si>
  <si>
    <t>23d</t>
  </si>
  <si>
    <t>23e</t>
  </si>
  <si>
    <t>23f</t>
  </si>
  <si>
    <t>23g</t>
  </si>
  <si>
    <t>100% Non-Trans.</t>
  </si>
  <si>
    <t>100% Trans.</t>
  </si>
  <si>
    <t>Page 4 Line 21 -Return on Debit</t>
  </si>
  <si>
    <t>FASB 109</t>
  </si>
  <si>
    <t>Retail Regulatory Assets/Liabilities</t>
  </si>
  <si>
    <t>Total Material &amp; Supplies</t>
  </si>
  <si>
    <t>P-4 (Proj. RTO Projects)</t>
  </si>
  <si>
    <t xml:space="preserve"> ITP / Priority Projects -2:</t>
  </si>
  <si>
    <t>ITP / Priority Project 1 Rev Req.</t>
  </si>
  <si>
    <t xml:space="preserve"> (Wksht.  A-4, ln 7)   (Note K)</t>
  </si>
  <si>
    <t>Taxes related to income are excluded.  Gross receipts taxes are not included in transmission revenue requirement in the Rate Formula Template.</t>
  </si>
  <si>
    <t>Gross Plant Allocator</t>
  </si>
  <si>
    <t>Adjustment</t>
  </si>
  <si>
    <t>Type:</t>
  </si>
  <si>
    <r>
      <t>D.</t>
    </r>
    <r>
      <rPr>
        <b/>
        <sz val="7"/>
        <rFont val="MT Arial"/>
      </rPr>
      <t>  </t>
    </r>
    <r>
      <rPr>
        <sz val="7"/>
        <rFont val="MT Arial"/>
      </rPr>
      <t>   </t>
    </r>
    <r>
      <rPr>
        <sz val="12"/>
        <rFont val="MT Arial"/>
      </rPr>
      <t>Expenses to Maintain Corporate Visibility (except such costs related to regulatory, reporting, compliance, and shareholder communications).</t>
    </r>
  </si>
  <si>
    <r>
      <t>E.</t>
    </r>
    <r>
      <rPr>
        <b/>
        <sz val="7"/>
        <rFont val="MT Arial"/>
      </rPr>
      <t> </t>
    </r>
    <r>
      <rPr>
        <sz val="7"/>
        <rFont val="MT Arial"/>
      </rPr>
      <t xml:space="preserve">    </t>
    </r>
    <r>
      <rPr>
        <sz val="12"/>
        <rFont val="MT Arial"/>
      </rPr>
      <t>Regulatory Commission expenses, other than FERC transmission-related dockets which shall be directly assigned to transmission.  Transmission-related dockets shall not include transmission-related rulemakings or notices of inquiry proceedings, except those related to siting or reliability.</t>
    </r>
  </si>
  <si>
    <t>Projects projected to be completed by Transmission Engineering in FY 2009.</t>
  </si>
  <si>
    <t>Book amortization vs inclusion in year received for tax for transmission projects only</t>
  </si>
  <si>
    <t xml:space="preserve">The timing of deduction for 1 KC Place lease is different between book and tax.  </t>
  </si>
  <si>
    <t>TAXES OTHER THAN INCOME TAXES  (Note G)</t>
  </si>
  <si>
    <t xml:space="preserve"> (Note H)</t>
  </si>
  <si>
    <t>Description</t>
  </si>
  <si>
    <t>REVENUE REQUIREMENTS</t>
  </si>
  <si>
    <t>Page 1 Line 24 -Prepayment (allocation)</t>
  </si>
  <si>
    <t>a. Change factor to labor factor because prepayment most labor related costs</t>
  </si>
  <si>
    <t>A-11 (Act. 13-Mo &amp; BOY and EOY Aver.)</t>
  </si>
  <si>
    <t>Actual sponsor-funded projects</t>
  </si>
  <si>
    <t xml:space="preserve">Actual incentive returns </t>
  </si>
  <si>
    <t>a. ITC is not applicable to transmission: Chris determined ,during the retail rate case, the remaining Investment Tax Credit relates to Wolf Creek and Iatan 1.</t>
  </si>
  <si>
    <t>5a</t>
  </si>
  <si>
    <t>S</t>
  </si>
  <si>
    <t>N/A</t>
  </si>
  <si>
    <t xml:space="preserve"> (D)</t>
  </si>
  <si>
    <t>b. The separation of the additional depreciation is based on Plant Account 399 -MO &amp; KS -as reflected in PowerPlant Report 1033 Depreciation.</t>
  </si>
  <si>
    <t>c. The use of the GP allocator based on the fact that a portion of acceleration depreciation is applicable to transmission assets.</t>
  </si>
  <si>
    <t>Total Transmission Facilities</t>
  </si>
  <si>
    <t>Base Plan Gross Revenue Requirements</t>
  </si>
  <si>
    <t xml:space="preserve">Average of the last 4 quarters </t>
  </si>
  <si>
    <t>KCP&amp;L  Total</t>
  </si>
  <si>
    <t>Tomahawk -Bendix Reconductor</t>
  </si>
  <si>
    <t xml:space="preserve">Base Plan Project Description </t>
  </si>
  <si>
    <t>Sponsored Project Description</t>
  </si>
  <si>
    <t xml:space="preserve">Balanced Portfolio Project Description </t>
  </si>
  <si>
    <t xml:space="preserve">TIP/ Priority Project-1 Description </t>
  </si>
  <si>
    <t xml:space="preserve">ITP/ Priority Project-2 Description </t>
  </si>
  <si>
    <t>Ratio of allocated transmission, general, &amp; intangible plant to total gross plant.</t>
  </si>
  <si>
    <t>Ratio of net transmission,  general, &amp; intangible plant to total net plant.</t>
  </si>
  <si>
    <t>4-8</t>
  </si>
  <si>
    <t>Wage &amp; Salary Allocator Calculation</t>
  </si>
  <si>
    <t xml:space="preserve">   Page 3, line 5, col 6</t>
  </si>
  <si>
    <t>WS=</t>
  </si>
  <si>
    <t xml:space="preserve">   First used on page 1, line 13, col 6</t>
  </si>
  <si>
    <t>Craig -College Base Plan Part of Accel Upgrade</t>
  </si>
  <si>
    <t>Antioch -Oxford Reconductor &amp; Switches</t>
  </si>
  <si>
    <t>Substation Facilities -Transfer to Distribution Plant</t>
  </si>
  <si>
    <t>Actual and projected sponsor-funded projects</t>
  </si>
  <si>
    <t>Projected revenue requirements for Schedule 1</t>
  </si>
  <si>
    <t>Projected transmission plant for next calendar year and incentive returns</t>
  </si>
  <si>
    <t xml:space="preserve">Projected transmission system load </t>
  </si>
  <si>
    <t>Projected RTO-directed projects:  Base Plan, Balanced Portfolio, ITP/Priority Projects</t>
  </si>
  <si>
    <t>Projected sponsor-funded projects</t>
  </si>
  <si>
    <t>(Point-to-Point Subtotal:</t>
  </si>
  <si>
    <t>)</t>
  </si>
  <si>
    <t>A-4</t>
  </si>
  <si>
    <t>KCPL O&amp;M</t>
  </si>
  <si>
    <t>Used to determine material and supplies.</t>
  </si>
  <si>
    <t>A-5</t>
  </si>
  <si>
    <t>Account 283 - changed Transition KS&amp;MO Costs -from labor to plant -primarily consulting fees.</t>
  </si>
  <si>
    <t>(Actual Gross Rev, p2, ln 3)</t>
  </si>
  <si>
    <t>(Actual Gross Rev, p2, ln 3a)</t>
  </si>
  <si>
    <t>(Actual Gross Rev, p2, ln 6)</t>
  </si>
  <si>
    <t>(Actual Gross Rev, p2, ln 14)</t>
  </si>
  <si>
    <t xml:space="preserve">                 Transmission Facilities Siting</t>
  </si>
  <si>
    <t xml:space="preserve">Accumulated Depreciation  </t>
  </si>
  <si>
    <t xml:space="preserve"> (Wksht  A-4, ln 28)  (Note I)</t>
  </si>
  <si>
    <t>The  Post-Employment Benefits Other than Pensions (PBOP) expense projected for FY 2010 set forth below will be used in lieu of the actual PBOP in 2009 and subsequent years absent a filing with FERC that alters the amount.</t>
  </si>
  <si>
    <t>Sponsored Upgrade Projects that have been completed and whose costs are in the Form 1 should be entered on this page as well as any CWIP balance for those projects with CWIP incentive.  If a project is completed in phases over multiple years, that project should be entered in sheet P-4 until the entire project is completed and reported in the Form 1.</t>
  </si>
  <si>
    <t>Worksheet TU - True-up Adjustment and Timeline</t>
  </si>
  <si>
    <t>256 &amp; 257  notes   (Note O)</t>
  </si>
  <si>
    <t xml:space="preserve">GROSS REV. REQUIREMENT FOR INCENTIVE PROJECTS </t>
  </si>
  <si>
    <t>Plus:              3rd Party Network Load         (incl. gen.)</t>
  </si>
  <si>
    <t>ADIT-Account 190  (Note 1)</t>
  </si>
  <si>
    <t>ADIT- Account 255  (Note 1)</t>
  </si>
  <si>
    <t>ADIT- Account 281 &amp; 282  (Note 1)</t>
  </si>
  <si>
    <t>ADIT-Account 283   (Note 1)</t>
  </si>
  <si>
    <t>Direct Assign Allocator</t>
  </si>
  <si>
    <t>Plant Additions ( C )</t>
  </si>
  <si>
    <r>
      <t>( C )</t>
    </r>
    <r>
      <rPr>
        <sz val="10"/>
        <rFont val="Arial MT"/>
      </rPr>
      <t xml:space="preserve"> Projected transmission plant will include those projects in P-4 and P-5, as well as other transmission projects.</t>
    </r>
  </si>
  <si>
    <r>
      <t xml:space="preserve">(B) </t>
    </r>
    <r>
      <rPr>
        <sz val="10"/>
        <rFont val="Arial MT"/>
      </rPr>
      <t xml:space="preserve"> P-5 projects will be included in total projected transmission projects for P-1</t>
    </r>
  </si>
  <si>
    <t>Less Noncontrolling Interest</t>
  </si>
  <si>
    <t>U</t>
  </si>
  <si>
    <t xml:space="preserve">      Less Noncontrolling Interest</t>
  </si>
  <si>
    <r>
      <t>Column b</t>
    </r>
    <r>
      <rPr>
        <sz val="12"/>
        <rFont val="Arial MT"/>
      </rPr>
      <t xml:space="preserve"> is the monthly transmission network load for September, October, November and December as a percentage of the average of the monthly transmission network load values for January through August, based on monthly load values in Worksheet A-2.</t>
    </r>
  </si>
  <si>
    <t>Less FASB 109 Above if not separately removed</t>
  </si>
  <si>
    <t>Less FASB 106 Above if not separately removed</t>
  </si>
  <si>
    <t>Accumulated Deferred Income Tax Other Property</t>
  </si>
  <si>
    <t>(incl. Approved Incentives, if any)</t>
  </si>
  <si>
    <t>Accounting impairment</t>
  </si>
  <si>
    <t>Amortized Investment Tax Credit</t>
  </si>
  <si>
    <t>Monthly Facility Carrying Charge</t>
  </si>
  <si>
    <t>Taxes Other than Income</t>
  </si>
  <si>
    <t>Electric Acct 408.1, 409.1           ( I )</t>
  </si>
  <si>
    <t>Payroll</t>
  </si>
  <si>
    <t>Highway &amp; Vehicle</t>
  </si>
  <si>
    <t>Property</t>
  </si>
  <si>
    <t>Total of Cost Distribution</t>
  </si>
  <si>
    <t>Sponsored Projects</t>
  </si>
  <si>
    <t>Projected  future Economic projects</t>
  </si>
  <si>
    <t>FY 2009</t>
  </si>
  <si>
    <t>Craig-College Reconductor</t>
  </si>
  <si>
    <t xml:space="preserve">   First used on page 1, line 2, col 6</t>
  </si>
  <si>
    <t xml:space="preserve"> (ACTUAL HISTORICAL COST) </t>
  </si>
  <si>
    <t>321.96.b                              (Note D)</t>
  </si>
  <si>
    <t>Non Incentive Net Plant(deduct Incentive Plt, as applicable)</t>
  </si>
  <si>
    <t>Source</t>
  </si>
  <si>
    <t xml:space="preserve"> (E)</t>
  </si>
  <si>
    <t xml:space="preserve">Beginning Bal: </t>
  </si>
  <si>
    <t>CWIP (A)</t>
  </si>
  <si>
    <t xml:space="preserve"> (266.8f) (enter negative)</t>
  </si>
  <si>
    <t>A-4 (Act. Excluded Assets)</t>
  </si>
  <si>
    <t>A-5 (Act. Depreciation Rate)</t>
  </si>
  <si>
    <t>A-6 (Act. Taxes Other)</t>
  </si>
  <si>
    <t xml:space="preserve">A-7 (Act. RTO Directed Projects) </t>
  </si>
  <si>
    <t>Page 1 of 2</t>
  </si>
  <si>
    <t>O&amp;M Expenses</t>
  </si>
  <si>
    <t>Incentive Net Plant</t>
  </si>
  <si>
    <t>Page 2 of 2</t>
  </si>
  <si>
    <t>Requirement</t>
  </si>
  <si>
    <t>(a)</t>
  </si>
  <si>
    <t>(b)</t>
  </si>
  <si>
    <t>(d)</t>
  </si>
  <si>
    <t>(e)</t>
  </si>
  <si>
    <t>(f)</t>
  </si>
  <si>
    <t>Step</t>
  </si>
  <si>
    <t>Action</t>
  </si>
  <si>
    <t>Year 2</t>
  </si>
  <si>
    <t>Reconciliation details</t>
  </si>
  <si>
    <t>Year 1</t>
  </si>
  <si>
    <t>Projected 12 mo avg non-incentive depr. exp.</t>
  </si>
  <si>
    <t>(P-1, page 2, line 28)</t>
  </si>
  <si>
    <t>(Projected Gross Rev Req, page 2, line 18)</t>
  </si>
  <si>
    <t>(Projected Gross Rev Req.: Page 2, Line 20)</t>
  </si>
  <si>
    <t>(Projected Gross Rev Req, page 2, line 25)</t>
  </si>
  <si>
    <t>(TU, page 1, line 23)</t>
  </si>
  <si>
    <t>Schedule 1 Proj. for the Actual Period ( Note C)</t>
  </si>
  <si>
    <t>Overview</t>
  </si>
  <si>
    <t xml:space="preserve"> I. GSU Values Transferred from Transmission</t>
  </si>
  <si>
    <t>Asset</t>
  </si>
  <si>
    <t>Reserve</t>
  </si>
  <si>
    <t>zero</t>
  </si>
  <si>
    <t>(o * line 24)</t>
  </si>
  <si>
    <t>(o * line 19)</t>
  </si>
  <si>
    <t xml:space="preserve">TOTAL WORKING CAPITAL </t>
  </si>
  <si>
    <t xml:space="preserve">TOTAL NET PLANT </t>
  </si>
  <si>
    <t xml:space="preserve">TOTAL ACCUM. DEPRECIATION </t>
  </si>
  <si>
    <t>Total Incentive, non-incentive and SPP Plant</t>
  </si>
  <si>
    <t>( c)</t>
  </si>
  <si>
    <t>E</t>
  </si>
  <si>
    <t>F</t>
  </si>
  <si>
    <t>D</t>
  </si>
  <si>
    <t>II.</t>
  </si>
  <si>
    <t>III.</t>
  </si>
  <si>
    <t>IV.</t>
  </si>
  <si>
    <t>Total Rev. Req.</t>
  </si>
  <si>
    <t>Wages &amp; Salary Allocator</t>
  </si>
  <si>
    <t>Page 7 of 7</t>
  </si>
  <si>
    <t>47c</t>
  </si>
  <si>
    <t>SO2 Allowance Write-down</t>
  </si>
  <si>
    <t>Bond Refinancing (Loss on Reacq Debt)</t>
  </si>
  <si>
    <t>Book amortization of discounts/losses on debt vs inclusion for tax purposes when paid</t>
  </si>
  <si>
    <t>Clearing Accounts</t>
  </si>
  <si>
    <t>Book accrual for costs not assigned to projects deducted for tax purposes</t>
  </si>
  <si>
    <t>Employee pensions</t>
  </si>
  <si>
    <t>Prepaid Gross Receipts Tax</t>
  </si>
  <si>
    <t>Prepaid gross receipts tax deducted for tax purposes</t>
  </si>
  <si>
    <t>(line 7 - net incentive plt)</t>
  </si>
  <si>
    <t>47d</t>
  </si>
  <si>
    <t>Impairment Iatan 1 &amp; 2</t>
  </si>
  <si>
    <t>Regulatory disallowance of original construction cost on Iatan 1 &amp; 2</t>
  </si>
  <si>
    <t>Active Health and Welfare Benefits</t>
  </si>
  <si>
    <t>Accumulated Deferred Income Tax - Accelerated Amortization Property</t>
  </si>
  <si>
    <t xml:space="preserve">Deferred tax related to pollution control factilies </t>
  </si>
  <si>
    <t>31d</t>
  </si>
  <si>
    <t>Subtotal        ( p.266.Notes)</t>
  </si>
  <si>
    <t>Book vs. Tax difference for Active Health and Welfare Benefits</t>
  </si>
  <si>
    <t>Subtotal   (p.272.Notes) ( p.275.Notes)</t>
  </si>
  <si>
    <t>ADIT-281&amp;282</t>
  </si>
  <si>
    <t>Craig Sub 161kV Capacitor</t>
  </si>
  <si>
    <t>Mayview Line Terminal</t>
  </si>
  <si>
    <t>Page 22a of 68</t>
  </si>
  <si>
    <t>13b</t>
  </si>
  <si>
    <r>
      <t xml:space="preserve">Misc Intangible - </t>
    </r>
    <r>
      <rPr>
        <sz val="8"/>
        <rFont val="Arial"/>
        <family val="2"/>
      </rPr>
      <t>Steam Prod  Structures (like A/C 312)</t>
    </r>
  </si>
  <si>
    <r>
      <t>Misc Intangible -</t>
    </r>
    <r>
      <rPr>
        <sz val="8"/>
        <rFont val="Arial"/>
        <family val="2"/>
      </rPr>
      <t xml:space="preserve"> Transmission Structure (like A/C 355)</t>
    </r>
  </si>
  <si>
    <r>
      <t xml:space="preserve">Misc Intangible - </t>
    </r>
    <r>
      <rPr>
        <sz val="8"/>
        <rFont val="Arial"/>
        <family val="2"/>
      </rPr>
      <t>Transmission Structure (like A/C 311)</t>
    </r>
  </si>
  <si>
    <t>53c</t>
  </si>
  <si>
    <t>53d</t>
  </si>
  <si>
    <t>NOL due primarily to charitable contributions</t>
  </si>
  <si>
    <t>NOL related to accelerated depreciation including bonus depreciation.</t>
  </si>
  <si>
    <t>Federal NOL -Accelerated Depreciation</t>
  </si>
  <si>
    <t>State NOL -Accelerated Depreciation</t>
  </si>
  <si>
    <t>9a</t>
  </si>
  <si>
    <t xml:space="preserve">2. The beginning balance reflects the reclassification of additional amortization from general plant to steam plant as directed by the Stipulation and Agreement in the Missouri Case ER2010-0356. </t>
  </si>
  <si>
    <r>
      <t>End. Bal.</t>
    </r>
    <r>
      <rPr>
        <sz val="10"/>
        <rFont val="Arial"/>
        <family val="2"/>
      </rPr>
      <t xml:space="preserve"> (Note 2)</t>
    </r>
  </si>
  <si>
    <r>
      <t xml:space="preserve">Gross Plant  </t>
    </r>
    <r>
      <rPr>
        <sz val="10"/>
        <rFont val="Arial"/>
        <family val="2"/>
      </rPr>
      <t xml:space="preserve"> (Note 1)</t>
    </r>
  </si>
  <si>
    <t>*391</t>
  </si>
  <si>
    <t>*393</t>
  </si>
  <si>
    <t>*394</t>
  </si>
  <si>
    <t>*395</t>
  </si>
  <si>
    <t>*397</t>
  </si>
  <si>
    <t>*398</t>
  </si>
  <si>
    <t>*  For these General Plant accounts, the amortization is determined on the amortizable plant base.</t>
  </si>
  <si>
    <t>For the 12 months ended - December 31, 2013</t>
  </si>
  <si>
    <t>For the 12 months ended - December 31, 2012</t>
  </si>
  <si>
    <t>KCP&amp;L -Detailed Revenue Credits -FY 2012</t>
  </si>
  <si>
    <t>Jan. 12, 2012</t>
  </si>
  <si>
    <t>Feb. 10, 2012</t>
  </si>
  <si>
    <t>Mar. 29, 2012</t>
  </si>
  <si>
    <t>Apr. 2, 2012</t>
  </si>
  <si>
    <t>May 29, 2012</t>
  </si>
  <si>
    <t>June 28, 2012</t>
  </si>
  <si>
    <t>July 25, 2012</t>
  </si>
  <si>
    <t>Aug. 07, 2012</t>
  </si>
  <si>
    <t>Sept. 04, 2012</t>
  </si>
  <si>
    <t>Oct. 24, 2012</t>
  </si>
  <si>
    <t>Nov. 27, 2012</t>
  </si>
  <si>
    <t xml:space="preserve">Dec. 20, 2012 </t>
  </si>
  <si>
    <t>47e</t>
  </si>
  <si>
    <t>Smart Grid Grant</t>
  </si>
  <si>
    <t>47f</t>
  </si>
  <si>
    <t>State NOL -Current</t>
  </si>
  <si>
    <t>31e</t>
  </si>
  <si>
    <t>Section 174 Ded in CWIP (LaCygne Production)</t>
  </si>
  <si>
    <t>31f</t>
  </si>
  <si>
    <t>Tax Interest  (FIN 48 &amp; other contingencies)</t>
  </si>
  <si>
    <t>Smart grid grants applied to reduce basis of book additions</t>
  </si>
  <si>
    <t>NOL related to accelerated depreciation, including bonus depreciation.</t>
  </si>
  <si>
    <t>Book accrual for interest on tax liabilities vs inclusion when determinable for tax</t>
  </si>
  <si>
    <t>At December 31, 2012</t>
  </si>
  <si>
    <t>Deprec. Rate    / 12                    (notes A &amp; B)</t>
  </si>
  <si>
    <t>Deprec. Rate      / 12                    (notes A &amp; B)</t>
  </si>
  <si>
    <t xml:space="preserve"> Loma Vista E.-Winchester Jct -161kV</t>
  </si>
  <si>
    <t xml:space="preserve"> W. Gardner Line Terminals</t>
  </si>
  <si>
    <t>7a</t>
  </si>
  <si>
    <t>7b</t>
  </si>
  <si>
    <t>7c</t>
  </si>
  <si>
    <t>FY2014 Annual Update</t>
  </si>
  <si>
    <t>For the 12 months ended - December 31, 2014</t>
  </si>
  <si>
    <t>1.</t>
  </si>
  <si>
    <t>2.</t>
  </si>
  <si>
    <t>1. Swissvale-Stillwell Tap at W. Gardner</t>
  </si>
  <si>
    <t>Plant Balances as of Dec 31,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</si>
</sst>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0"/>
    <numFmt numFmtId="169" formatCode="&quot;$&quot;#,##0"/>
    <numFmt numFmtId="170" formatCode="&quot;$&quot;#,##0.00"/>
    <numFmt numFmtId="171" formatCode="_(* #,##0_);_(* \(#,##0\);_(* &quot;-&quot;??_);_(@_)"/>
    <numFmt numFmtId="172" formatCode="_(&quot;$&quot;* #,##0_);_(&quot;$&quot;* \(#,##0\);_(&quot;$&quot;* &quot;-&quot;??_);_(@_)"/>
    <numFmt numFmtId="173" formatCode="0.0000%"/>
    <numFmt numFmtId="174" formatCode="_(* #,##0.0000_);_(* \(#,##0.0000\);_(* &quot;-&quot;??_);_(@_)"/>
    <numFmt numFmtId="175" formatCode="_(* #,##0.00000_);_(* \(#,##0.00000\);_(* &quot;-&quot;??_);_(@_)"/>
    <numFmt numFmtId="176" formatCode="0_);\(0\)"/>
    <numFmt numFmtId="177" formatCode="[$-409]mmm\-yy;@"/>
    <numFmt numFmtId="178" formatCode="_(* #,##0.0000_);_(* \(#,##0.0000\);_(* &quot;-&quot;_);_(@_)"/>
    <numFmt numFmtId="179" formatCode="_(* #,##0.000000_);_(* \(#,##0.000000\);_(* &quot;-&quot;??_);_(@_)"/>
    <numFmt numFmtId="180" formatCode="_(* #,##0.00_);_(* \(#,##0.00\);_(* &quot;-&quot;_);_(@_)"/>
    <numFmt numFmtId="181" formatCode="0.000000"/>
    <numFmt numFmtId="182" formatCode="[$-409]dd\-mmm\-yy;@"/>
    <numFmt numFmtId="183" formatCode="_(* #,##0.00000_);_(* \(#,##0.00000\);_(* &quot;-&quot;?????_);_(@_)"/>
    <numFmt numFmtId="184" formatCode="0;[Red]0"/>
    <numFmt numFmtId="185" formatCode="_(&quot;$&quot;* #,##0.000_);_(&quot;$&quot;* \(#,##0.000\);_(&quot;$&quot;* &quot;-&quot;???_);_(@_)"/>
    <numFmt numFmtId="186" formatCode="0.000000%"/>
    <numFmt numFmtId="187" formatCode="0.00000%"/>
    <numFmt numFmtId="188" formatCode="_(* #,##0.000000_);_(* \(#,##0.000000\);_(* &quot;-&quot;??????_);_(@_)"/>
    <numFmt numFmtId="189" formatCode="_(* #,##0.0_);_(* \(#,##0.0\);_(* &quot;-&quot;?_);_(@_)"/>
    <numFmt numFmtId="190" formatCode="_(&quot;$&quot;* #,##0.00000_);_(&quot;$&quot;* \(#,##0.00000\);_(&quot;$&quot;* &quot;-&quot;??_);_(@_)"/>
    <numFmt numFmtId="191" formatCode="_(&quot;$&quot;* #,##0.0_);_(&quot;$&quot;* \(#,##0.0\);_(&quot;$&quot;* &quot;-&quot;?_);_(@_)"/>
    <numFmt numFmtId="192" formatCode="mm/dd/yy;@"/>
  </numFmts>
  <fonts count="101">
    <font>
      <sz val="12"/>
      <name val="Arial MT"/>
    </font>
    <font>
      <b/>
      <sz val="10"/>
      <name val="Arial"/>
      <family val="2"/>
    </font>
    <font>
      <sz val="12"/>
      <name val="Arial MT"/>
    </font>
    <font>
      <sz val="10"/>
      <name val="Arial MT"/>
    </font>
    <font>
      <sz val="12"/>
      <name val="Arial"/>
      <family val="2"/>
    </font>
    <font>
      <b/>
      <u/>
      <sz val="12"/>
      <name val="Arial"/>
      <family val="2"/>
    </font>
    <font>
      <b/>
      <sz val="12"/>
      <name val="Arial"/>
      <family val="2"/>
    </font>
    <font>
      <sz val="14"/>
      <name val="Arial MT"/>
    </font>
    <font>
      <sz val="16"/>
      <name val="Arial MT"/>
    </font>
    <font>
      <sz val="10"/>
      <name val="Arial"/>
      <family val="2"/>
    </font>
    <font>
      <sz val="10"/>
      <name val="Arial"/>
      <family val="2"/>
    </font>
    <font>
      <b/>
      <sz val="10"/>
      <name val="Arial"/>
      <family val="2"/>
    </font>
    <font>
      <b/>
      <i/>
      <sz val="12"/>
      <name val="Arial"/>
      <family val="2"/>
    </font>
    <font>
      <b/>
      <i/>
      <sz val="10"/>
      <name val="Arial"/>
      <family val="2"/>
    </font>
    <font>
      <sz val="9"/>
      <name val="Arial"/>
      <family val="2"/>
    </font>
    <font>
      <sz val="8"/>
      <name val="Arial"/>
      <family val="2"/>
    </font>
    <font>
      <b/>
      <sz val="16"/>
      <name val="Arial MT"/>
    </font>
    <font>
      <b/>
      <sz val="16"/>
      <name val="Arial"/>
      <family val="2"/>
    </font>
    <font>
      <b/>
      <sz val="14"/>
      <name val="Arial"/>
      <family val="2"/>
    </font>
    <font>
      <u/>
      <sz val="12"/>
      <name val="Arial"/>
      <family val="2"/>
    </font>
    <font>
      <sz val="14"/>
      <name val="Arial"/>
      <family val="2"/>
    </font>
    <font>
      <b/>
      <sz val="14"/>
      <name val="Arial MT"/>
    </font>
    <font>
      <sz val="12"/>
      <name val="Arial"/>
      <family val="2"/>
    </font>
    <font>
      <sz val="12"/>
      <color indexed="10"/>
      <name val="Arial"/>
      <family val="2"/>
    </font>
    <font>
      <u/>
      <sz val="7.2"/>
      <color indexed="12"/>
      <name val="Arial MT"/>
    </font>
    <font>
      <i/>
      <sz val="12"/>
      <name val="Arial"/>
      <family val="2"/>
    </font>
    <font>
      <sz val="12"/>
      <name val="Arial Narrow"/>
      <family val="2"/>
    </font>
    <font>
      <b/>
      <sz val="10"/>
      <name val="Arial MT"/>
    </font>
    <font>
      <sz val="8"/>
      <name val="Arial MT"/>
    </font>
    <font>
      <b/>
      <sz val="12"/>
      <name val="Arial MT"/>
    </font>
    <font>
      <b/>
      <u/>
      <sz val="10"/>
      <name val="Arial"/>
      <family val="2"/>
    </font>
    <font>
      <u/>
      <sz val="12"/>
      <color indexed="12"/>
      <name val="Arial MT"/>
    </font>
    <font>
      <sz val="12"/>
      <name val="Arial MT"/>
    </font>
    <font>
      <b/>
      <u/>
      <sz val="10"/>
      <name val="Arial MT"/>
    </font>
    <font>
      <sz val="11"/>
      <name val="Arial MT"/>
    </font>
    <font>
      <b/>
      <sz val="11"/>
      <name val="Arial MT"/>
    </font>
    <font>
      <b/>
      <u/>
      <sz val="11"/>
      <name val="Arial MT"/>
    </font>
    <font>
      <sz val="10"/>
      <name val="Arial"/>
      <family val="2"/>
    </font>
    <font>
      <sz val="12"/>
      <name val="Arial"/>
      <family val="2"/>
    </font>
    <font>
      <b/>
      <sz val="12"/>
      <name val="Arial"/>
      <family val="2"/>
    </font>
    <font>
      <sz val="11"/>
      <name val="Arial"/>
      <family val="2"/>
    </font>
    <font>
      <b/>
      <sz val="10"/>
      <name val="Arial Narrow"/>
      <family val="2"/>
    </font>
    <font>
      <b/>
      <sz val="12"/>
      <name val="Arial Narrow"/>
      <family val="2"/>
    </font>
    <font>
      <sz val="12"/>
      <color indexed="12"/>
      <name val="Arial"/>
      <family val="2"/>
    </font>
    <font>
      <b/>
      <sz val="10"/>
      <color indexed="10"/>
      <name val="Arial"/>
      <family val="2"/>
    </font>
    <font>
      <sz val="12"/>
      <color indexed="12"/>
      <name val="Arial MT"/>
    </font>
    <font>
      <sz val="12"/>
      <color indexed="21"/>
      <name val="Arial"/>
      <family val="2"/>
    </font>
    <font>
      <b/>
      <sz val="12"/>
      <color indexed="10"/>
      <name val="Arial"/>
      <family val="2"/>
    </font>
    <font>
      <b/>
      <u/>
      <sz val="11"/>
      <name val="Arial"/>
      <family val="2"/>
    </font>
    <font>
      <b/>
      <sz val="12"/>
      <color indexed="10"/>
      <name val="Arial MT"/>
    </font>
    <font>
      <b/>
      <i/>
      <sz val="12"/>
      <color indexed="10"/>
      <name val="Arial"/>
      <family val="2"/>
    </font>
    <font>
      <b/>
      <i/>
      <sz val="10"/>
      <name val="Arial MT"/>
    </font>
    <font>
      <sz val="12"/>
      <color indexed="10"/>
      <name val="Arial MT"/>
    </font>
    <font>
      <sz val="11"/>
      <color indexed="12"/>
      <name val="Arial"/>
      <family val="2"/>
    </font>
    <font>
      <b/>
      <u/>
      <sz val="12"/>
      <name val="Arial MT"/>
    </font>
    <font>
      <b/>
      <i/>
      <sz val="12"/>
      <name val="Arial MT"/>
    </font>
    <font>
      <b/>
      <i/>
      <u/>
      <sz val="12"/>
      <name val="Arial MT"/>
    </font>
    <font>
      <sz val="12"/>
      <name val="Arial MT"/>
    </font>
    <font>
      <b/>
      <sz val="8"/>
      <name val="Arial"/>
      <family val="2"/>
    </font>
    <font>
      <b/>
      <sz val="10"/>
      <color indexed="12"/>
      <name val="Arial MT"/>
    </font>
    <font>
      <b/>
      <sz val="10"/>
      <color indexed="10"/>
      <name val="Arial MT"/>
    </font>
    <font>
      <sz val="12"/>
      <color indexed="12"/>
      <name val="Arial"/>
      <family val="2"/>
    </font>
    <font>
      <b/>
      <sz val="12"/>
      <name val="MS Serif"/>
      <family val="1"/>
    </font>
    <font>
      <sz val="11"/>
      <color indexed="10"/>
      <name val="Arial"/>
      <family val="2"/>
    </font>
    <font>
      <b/>
      <sz val="11"/>
      <name val="Arial"/>
      <family val="2"/>
    </font>
    <font>
      <sz val="12"/>
      <name val="Arial MT"/>
    </font>
    <font>
      <u/>
      <sz val="10"/>
      <name val="Arial MT"/>
    </font>
    <font>
      <sz val="9"/>
      <name val="Arial MT"/>
    </font>
    <font>
      <b/>
      <sz val="14"/>
      <name val="Times New Roman"/>
      <family val="1"/>
    </font>
    <font>
      <b/>
      <i/>
      <sz val="14"/>
      <name val="Arial"/>
      <family val="2"/>
    </font>
    <font>
      <b/>
      <sz val="14"/>
      <color indexed="10"/>
      <name val="Arial"/>
      <family val="2"/>
    </font>
    <font>
      <b/>
      <sz val="14"/>
      <color indexed="10"/>
      <name val="Arial MT"/>
    </font>
    <font>
      <b/>
      <sz val="9"/>
      <name val="Arial MT"/>
    </font>
    <font>
      <b/>
      <sz val="16"/>
      <color indexed="10"/>
      <name val="Arial MT"/>
    </font>
    <font>
      <sz val="11"/>
      <color indexed="10"/>
      <name val="Arial MT"/>
    </font>
    <font>
      <sz val="10"/>
      <color indexed="12"/>
      <name val="Arial"/>
      <family val="2"/>
    </font>
    <font>
      <b/>
      <sz val="11"/>
      <color indexed="10"/>
      <name val="Arial MT"/>
    </font>
    <font>
      <b/>
      <sz val="13"/>
      <name val="Arial"/>
      <family val="2"/>
    </font>
    <font>
      <b/>
      <sz val="12"/>
      <color indexed="12"/>
      <name val="Arial MT"/>
    </font>
    <font>
      <sz val="10"/>
      <name val="MS Sans Serif"/>
      <family val="2"/>
    </font>
    <font>
      <b/>
      <sz val="12"/>
      <color indexed="10"/>
      <name val="Arial Narrow"/>
      <family val="2"/>
    </font>
    <font>
      <b/>
      <sz val="9"/>
      <name val="Arial"/>
      <family val="2"/>
    </font>
    <font>
      <sz val="12"/>
      <name val="MT Arial"/>
    </font>
    <font>
      <sz val="7"/>
      <name val="MT Arial"/>
    </font>
    <font>
      <i/>
      <sz val="12"/>
      <name val="MT Arial"/>
    </font>
    <font>
      <b/>
      <sz val="12"/>
      <name val="MT Arial"/>
    </font>
    <font>
      <b/>
      <sz val="7"/>
      <name val="MT Arial"/>
    </font>
    <font>
      <sz val="10"/>
      <color indexed="12"/>
      <name val="Arial MT"/>
    </font>
    <font>
      <sz val="8.5"/>
      <name val="MS Sans Serif"/>
      <family val="2"/>
    </font>
    <font>
      <i/>
      <sz val="11"/>
      <name val="Arial"/>
      <family val="2"/>
    </font>
    <font>
      <b/>
      <sz val="11"/>
      <color indexed="12"/>
      <name val="Arial MT"/>
    </font>
    <font>
      <b/>
      <sz val="12"/>
      <color indexed="12"/>
      <name val="Arial"/>
      <family val="2"/>
    </font>
    <font>
      <b/>
      <i/>
      <sz val="12"/>
      <color indexed="10"/>
      <name val="Arial MT"/>
    </font>
    <font>
      <b/>
      <sz val="14"/>
      <color indexed="12"/>
      <name val="Arial MT"/>
    </font>
    <font>
      <b/>
      <sz val="10"/>
      <color indexed="12"/>
      <name val="Arial"/>
      <family val="2"/>
    </font>
    <font>
      <b/>
      <sz val="12"/>
      <color rgb="FFFF0000"/>
      <name val="Arial MT"/>
    </font>
    <font>
      <sz val="12"/>
      <color rgb="FF0000FF"/>
      <name val="Arial"/>
      <family val="2"/>
    </font>
    <font>
      <b/>
      <sz val="12"/>
      <color rgb="FF0000FF"/>
      <name val="Arial MT"/>
    </font>
    <font>
      <sz val="11"/>
      <color rgb="FFFF0000"/>
      <name val="Arial MT"/>
    </font>
    <font>
      <sz val="10"/>
      <color rgb="FFFF0000"/>
      <name val="Arial MT"/>
    </font>
    <font>
      <sz val="10"/>
      <color theme="3"/>
      <name val="Arial MT"/>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theme="4" tint="0.59999389629810485"/>
        <bgColor indexed="64"/>
      </patternFill>
    </fill>
    <fill>
      <patternFill patternType="solid">
        <fgColor rgb="FFFFFFCC"/>
        <bgColor indexed="64"/>
      </patternFill>
    </fill>
    <fill>
      <patternFill patternType="solid">
        <fgColor rgb="FFFFFF00"/>
        <bgColor indexed="64"/>
      </patternFill>
    </fill>
    <fill>
      <patternFill patternType="solid">
        <fgColor rgb="FFCCFFCC"/>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4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top style="thin">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s>
  <cellStyleXfs count="16">
    <xf numFmtId="37" fontId="0" fillId="0" borderId="0" applyFon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4" fontId="10" fillId="0" borderId="0" applyFont="0" applyFill="0" applyBorder="0" applyAlignment="0" applyProtection="0"/>
    <xf numFmtId="0" fontId="24" fillId="0" borderId="0" applyNumberFormat="0" applyFill="0" applyBorder="0" applyAlignment="0" applyProtection="0">
      <alignment vertical="top"/>
      <protection locked="0"/>
    </xf>
    <xf numFmtId="37" fontId="88" fillId="0" borderId="0"/>
    <xf numFmtId="0" fontId="10" fillId="0" borderId="0"/>
    <xf numFmtId="0" fontId="9" fillId="0" borderId="0"/>
    <xf numFmtId="0" fontId="10" fillId="0" borderId="0"/>
    <xf numFmtId="170" fontId="2" fillId="0" borderId="0" applyProtection="0"/>
    <xf numFmtId="37" fontId="79" fillId="0" borderId="0" applyFont="0" applyFill="0" applyBorder="0" applyAlignment="0" applyProtection="0"/>
    <xf numFmtId="170" fontId="2" fillId="0" borderId="0" applyProtection="0"/>
    <xf numFmtId="37" fontId="79" fillId="0" borderId="0" applyFont="0" applyFill="0" applyBorder="0" applyAlignment="0" applyProtection="0"/>
    <xf numFmtId="0" fontId="9" fillId="0" borderId="0"/>
    <xf numFmtId="0" fontId="22" fillId="0" borderId="0"/>
    <xf numFmtId="9" fontId="10" fillId="0" borderId="0" applyFont="0" applyFill="0" applyBorder="0" applyAlignment="0" applyProtection="0"/>
  </cellStyleXfs>
  <cellXfs count="2283">
    <xf numFmtId="170" fontId="0" fillId="0" borderId="0" xfId="0" applyNumberFormat="1" applyAlignment="1"/>
    <xf numFmtId="0" fontId="4" fillId="0" borderId="0" xfId="0" applyNumberFormat="1" applyFont="1"/>
    <xf numFmtId="0" fontId="4" fillId="0" borderId="0" xfId="0" applyNumberFormat="1" applyFont="1" applyAlignment="1"/>
    <xf numFmtId="0" fontId="4" fillId="0" borderId="0" xfId="0" applyNumberFormat="1" applyFont="1" applyAlignment="1">
      <alignment horizontal="center"/>
    </xf>
    <xf numFmtId="3" fontId="4" fillId="0" borderId="0" xfId="0" applyNumberFormat="1" applyFont="1" applyAlignment="1"/>
    <xf numFmtId="49" fontId="4" fillId="0" borderId="0" xfId="0" applyNumberFormat="1" applyFont="1" applyAlignment="1">
      <alignment horizontal="left"/>
    </xf>
    <xf numFmtId="49" fontId="4" fillId="0" borderId="0" xfId="0" applyNumberFormat="1" applyFont="1" applyAlignment="1">
      <alignment horizontal="center"/>
    </xf>
    <xf numFmtId="0" fontId="5" fillId="0" borderId="0" xfId="0" applyNumberFormat="1" applyFont="1" applyAlignment="1">
      <alignment horizontal="center"/>
    </xf>
    <xf numFmtId="3" fontId="5" fillId="0" borderId="0" xfId="0" applyNumberFormat="1" applyFont="1" applyAlignment="1"/>
    <xf numFmtId="0" fontId="6" fillId="0" borderId="0" xfId="0" applyNumberFormat="1" applyFont="1" applyAlignment="1">
      <alignment horizontal="center"/>
    </xf>
    <xf numFmtId="170" fontId="4" fillId="0" borderId="0" xfId="0" applyNumberFormat="1" applyFont="1" applyAlignment="1"/>
    <xf numFmtId="0" fontId="6" fillId="0" borderId="0" xfId="0" applyNumberFormat="1" applyFont="1" applyAlignment="1"/>
    <xf numFmtId="3" fontId="6" fillId="0" borderId="0" xfId="0" applyNumberFormat="1" applyFont="1" applyAlignment="1">
      <alignment horizontal="center"/>
    </xf>
    <xf numFmtId="0" fontId="4" fillId="0" borderId="0" xfId="0" applyNumberFormat="1" applyFont="1" applyAlignment="1" applyProtection="1">
      <alignment horizontal="center"/>
      <protection locked="0"/>
    </xf>
    <xf numFmtId="0" fontId="6" fillId="0" borderId="0" xfId="0" applyNumberFormat="1" applyFont="1" applyAlignment="1" applyProtection="1">
      <alignment horizontal="center"/>
      <protection locked="0"/>
    </xf>
    <xf numFmtId="3" fontId="4" fillId="0" borderId="0" xfId="0" applyNumberFormat="1" applyFont="1" applyFill="1" applyAlignment="1"/>
    <xf numFmtId="0" fontId="4" fillId="0" borderId="1" xfId="0" applyNumberFormat="1" applyFont="1" applyBorder="1" applyAlignment="1" applyProtection="1">
      <alignment horizontal="center"/>
      <protection locked="0"/>
    </xf>
    <xf numFmtId="170" fontId="6" fillId="0" borderId="0" xfId="0" applyNumberFormat="1" applyFont="1" applyAlignment="1">
      <alignment horizontal="center"/>
    </xf>
    <xf numFmtId="3" fontId="6" fillId="0" borderId="0" xfId="0" applyNumberFormat="1" applyFont="1" applyAlignment="1"/>
    <xf numFmtId="0" fontId="6" fillId="0" borderId="0" xfId="0" applyNumberFormat="1" applyFont="1" applyProtection="1">
      <protection locked="0"/>
    </xf>
    <xf numFmtId="0" fontId="4" fillId="0" borderId="0" xfId="0" applyNumberFormat="1" applyFont="1" applyFill="1" applyProtection="1">
      <protection locked="0"/>
    </xf>
    <xf numFmtId="0" fontId="4" fillId="0" borderId="0" xfId="0" applyNumberFormat="1" applyFont="1" applyFill="1"/>
    <xf numFmtId="170" fontId="4" fillId="0" borderId="0" xfId="0" applyNumberFormat="1" applyFont="1" applyFill="1" applyAlignment="1"/>
    <xf numFmtId="0" fontId="6" fillId="0" borderId="0" xfId="0" applyNumberFormat="1" applyFont="1" applyFill="1" applyAlignment="1"/>
    <xf numFmtId="0" fontId="4" fillId="0" borderId="0" xfId="0" applyNumberFormat="1" applyFont="1" applyFill="1" applyAlignment="1"/>
    <xf numFmtId="170" fontId="9" fillId="0" borderId="0" xfId="0" applyNumberFormat="1" applyFont="1"/>
    <xf numFmtId="170" fontId="3" fillId="0" borderId="0" xfId="0" applyNumberFormat="1" applyFont="1"/>
    <xf numFmtId="3" fontId="6" fillId="0" borderId="0" xfId="0" quotePrefix="1" applyNumberFormat="1" applyFont="1" applyAlignment="1"/>
    <xf numFmtId="170" fontId="6" fillId="0" borderId="0" xfId="0" quotePrefix="1" applyNumberFormat="1" applyFont="1" applyAlignment="1"/>
    <xf numFmtId="170" fontId="0" fillId="0" borderId="0" xfId="0" applyNumberFormat="1" applyAlignment="1">
      <alignment horizontal="center"/>
    </xf>
    <xf numFmtId="0" fontId="13" fillId="0" borderId="0" xfId="6" applyFont="1" applyAlignment="1">
      <alignment horizontal="center"/>
    </xf>
    <xf numFmtId="170" fontId="11" fillId="0" borderId="0" xfId="0" applyNumberFormat="1" applyFont="1"/>
    <xf numFmtId="170" fontId="9" fillId="0" borderId="0" xfId="0" applyNumberFormat="1" applyFont="1" applyFill="1"/>
    <xf numFmtId="170" fontId="3" fillId="0" borderId="0" xfId="0" applyNumberFormat="1" applyFont="1" applyFill="1"/>
    <xf numFmtId="170" fontId="11" fillId="0" borderId="0" xfId="0" applyNumberFormat="1" applyFont="1" applyFill="1"/>
    <xf numFmtId="170" fontId="11" fillId="0" borderId="2" xfId="0" applyNumberFormat="1" applyFont="1" applyFill="1" applyBorder="1" applyAlignment="1">
      <alignment horizontal="center"/>
    </xf>
    <xf numFmtId="170" fontId="11" fillId="0" borderId="2" xfId="0" applyNumberFormat="1" applyFont="1" applyBorder="1" applyAlignment="1">
      <alignment horizontal="center" wrapText="1"/>
    </xf>
    <xf numFmtId="170" fontId="11" fillId="0" borderId="2" xfId="0" applyNumberFormat="1" applyFont="1" applyBorder="1" applyAlignment="1">
      <alignment horizontal="center"/>
    </xf>
    <xf numFmtId="170" fontId="15" fillId="0" borderId="0" xfId="0" applyNumberFormat="1" applyFont="1"/>
    <xf numFmtId="170" fontId="4" fillId="0" borderId="0" xfId="0" applyNumberFormat="1" applyFont="1"/>
    <xf numFmtId="170" fontId="4" fillId="0" borderId="0" xfId="0" applyNumberFormat="1" applyFont="1" applyAlignment="1">
      <alignment horizontal="right"/>
    </xf>
    <xf numFmtId="0" fontId="4" fillId="0" borderId="0" xfId="0" applyNumberFormat="1" applyFont="1" applyAlignment="1" applyProtection="1">
      <alignment horizontal="right"/>
      <protection locked="0"/>
    </xf>
    <xf numFmtId="0" fontId="12" fillId="0" borderId="0" xfId="6" applyFont="1" applyFill="1" applyAlignment="1">
      <alignment horizontal="left"/>
    </xf>
    <xf numFmtId="0" fontId="17" fillId="0" borderId="0" xfId="6" applyFont="1" applyFill="1" applyAlignment="1">
      <alignment horizontal="left"/>
    </xf>
    <xf numFmtId="170" fontId="19" fillId="0" borderId="0" xfId="0" applyNumberFormat="1" applyFont="1" applyAlignment="1"/>
    <xf numFmtId="170" fontId="17" fillId="0" borderId="0" xfId="0" applyNumberFormat="1" applyFont="1"/>
    <xf numFmtId="170" fontId="6" fillId="0" borderId="0" xfId="0" applyNumberFormat="1" applyFont="1" applyFill="1"/>
    <xf numFmtId="170" fontId="4" fillId="0" borderId="0" xfId="0" applyNumberFormat="1" applyFont="1" applyFill="1"/>
    <xf numFmtId="170" fontId="23" fillId="0" borderId="0" xfId="0" applyNumberFormat="1" applyFont="1" applyAlignment="1"/>
    <xf numFmtId="170" fontId="6" fillId="0" borderId="0" xfId="0" applyNumberFormat="1" applyFont="1" applyAlignment="1"/>
    <xf numFmtId="0" fontId="12" fillId="0" borderId="0" xfId="6" applyFont="1" applyFill="1" applyAlignment="1">
      <alignment horizontal="center" vertical="center"/>
    </xf>
    <xf numFmtId="9" fontId="12" fillId="0" borderId="0" xfId="6" applyNumberFormat="1" applyFont="1" applyFill="1" applyAlignment="1">
      <alignment horizontal="center" vertical="center"/>
    </xf>
    <xf numFmtId="0" fontId="25" fillId="0" borderId="0" xfId="6" applyFont="1" applyAlignment="1">
      <alignment vertical="center"/>
    </xf>
    <xf numFmtId="9" fontId="12" fillId="0" borderId="0" xfId="6" applyNumberFormat="1" applyFont="1" applyFill="1" applyAlignment="1">
      <alignment horizontal="center"/>
    </xf>
    <xf numFmtId="170" fontId="4" fillId="0" borderId="0" xfId="0" applyNumberFormat="1" applyFont="1" applyBorder="1" applyAlignment="1"/>
    <xf numFmtId="9" fontId="6" fillId="0" borderId="0" xfId="6" applyNumberFormat="1" applyFont="1" applyFill="1" applyAlignment="1">
      <alignment horizontal="center"/>
    </xf>
    <xf numFmtId="170" fontId="6" fillId="0" borderId="0" xfId="0" applyNumberFormat="1" applyFont="1"/>
    <xf numFmtId="0" fontId="6" fillId="0" borderId="0" xfId="0" applyNumberFormat="1" applyFont="1" applyFill="1" applyAlignment="1" applyProtection="1">
      <protection locked="0"/>
    </xf>
    <xf numFmtId="170" fontId="4" fillId="0" borderId="0" xfId="0" applyNumberFormat="1" applyFont="1" applyFill="1" applyBorder="1"/>
    <xf numFmtId="0" fontId="4" fillId="0" borderId="0" xfId="0" applyNumberFormat="1" applyFont="1" applyFill="1" applyAlignment="1" applyProtection="1">
      <alignment horizontal="center"/>
      <protection locked="0"/>
    </xf>
    <xf numFmtId="170" fontId="6" fillId="0" borderId="0" xfId="0" applyNumberFormat="1" applyFont="1" applyAlignment="1">
      <alignment horizontal="right"/>
    </xf>
    <xf numFmtId="170" fontId="18" fillId="0" borderId="0" xfId="0" applyNumberFormat="1" applyFont="1" applyFill="1"/>
    <xf numFmtId="170" fontId="6" fillId="0" borderId="0" xfId="0" applyNumberFormat="1" applyFont="1" applyFill="1" applyAlignment="1">
      <alignment horizontal="center"/>
    </xf>
    <xf numFmtId="0" fontId="4" fillId="0" borderId="0" xfId="0" quotePrefix="1" applyNumberFormat="1" applyFont="1" applyAlignment="1">
      <alignment horizontal="center"/>
    </xf>
    <xf numFmtId="49" fontId="4" fillId="0" borderId="0" xfId="0" quotePrefix="1" applyNumberFormat="1" applyFont="1" applyAlignment="1">
      <alignment horizontal="center"/>
    </xf>
    <xf numFmtId="0" fontId="4" fillId="0" borderId="0" xfId="14" applyNumberFormat="1" applyFont="1" applyFill="1" applyAlignment="1">
      <alignment horizontal="left"/>
    </xf>
    <xf numFmtId="170" fontId="4" fillId="0" borderId="0" xfId="0" applyNumberFormat="1" applyFont="1" applyFill="1" applyBorder="1" applyAlignment="1"/>
    <xf numFmtId="3" fontId="6" fillId="0" borderId="1" xfId="0" applyNumberFormat="1" applyFont="1" applyBorder="1" applyAlignment="1">
      <alignment horizontal="center"/>
    </xf>
    <xf numFmtId="41" fontId="4" fillId="0" borderId="0" xfId="0" applyNumberFormat="1" applyFont="1" applyFill="1" applyAlignment="1"/>
    <xf numFmtId="0" fontId="6" fillId="0" borderId="0" xfId="0" applyNumberFormat="1" applyFont="1" applyAlignment="1" applyProtection="1">
      <protection locked="0"/>
    </xf>
    <xf numFmtId="172" fontId="4" fillId="0" borderId="0" xfId="3" applyNumberFormat="1" applyFont="1" applyFill="1" applyAlignment="1"/>
    <xf numFmtId="41" fontId="4" fillId="0" borderId="0" xfId="0" applyNumberFormat="1" applyFont="1" applyFill="1" applyBorder="1" applyAlignment="1"/>
    <xf numFmtId="0" fontId="4" fillId="0" borderId="0" xfId="0" applyNumberFormat="1" applyFont="1" applyFill="1" applyAlignment="1">
      <alignment horizontal="left"/>
    </xf>
    <xf numFmtId="3" fontId="6" fillId="0" borderId="0" xfId="0" applyNumberFormat="1" applyFont="1" applyFill="1" applyAlignment="1">
      <alignment horizontal="center"/>
    </xf>
    <xf numFmtId="170" fontId="29" fillId="0" borderId="0" xfId="0" applyNumberFormat="1" applyFont="1" applyAlignment="1"/>
    <xf numFmtId="171" fontId="4" fillId="0" borderId="0" xfId="1" applyNumberFormat="1" applyFont="1" applyFill="1" applyAlignment="1"/>
    <xf numFmtId="170" fontId="2" fillId="0" borderId="0" xfId="0" applyNumberFormat="1" applyFont="1" applyAlignment="1"/>
    <xf numFmtId="170" fontId="0" fillId="0" borderId="0" xfId="0" applyNumberFormat="1" applyFill="1" applyAlignment="1"/>
    <xf numFmtId="170" fontId="29" fillId="0" borderId="0" xfId="0" applyNumberFormat="1" applyFont="1" applyBorder="1" applyAlignment="1">
      <alignment horizontal="center"/>
    </xf>
    <xf numFmtId="43" fontId="4" fillId="0" borderId="0" xfId="1" applyFont="1" applyFill="1"/>
    <xf numFmtId="170" fontId="25" fillId="0" borderId="0" xfId="0" applyNumberFormat="1" applyFont="1"/>
    <xf numFmtId="172" fontId="9" fillId="0" borderId="0" xfId="3" applyNumberFormat="1" applyFont="1" applyFill="1"/>
    <xf numFmtId="169" fontId="3" fillId="0" borderId="0" xfId="0" applyNumberFormat="1" applyFont="1"/>
    <xf numFmtId="0" fontId="9" fillId="0" borderId="0" xfId="6" applyFont="1"/>
    <xf numFmtId="0" fontId="6" fillId="0" borderId="0" xfId="6" applyNumberFormat="1" applyFont="1" applyFill="1" applyAlignment="1">
      <alignment horizontal="center"/>
    </xf>
    <xf numFmtId="41" fontId="6" fillId="0" borderId="0" xfId="6" applyNumberFormat="1" applyFont="1" applyFill="1" applyAlignment="1">
      <alignment horizontal="center"/>
    </xf>
    <xf numFmtId="0" fontId="17" fillId="0" borderId="0" xfId="6" applyFont="1" applyAlignment="1">
      <alignment horizontal="left" vertical="center"/>
    </xf>
    <xf numFmtId="170" fontId="7" fillId="0" borderId="0" xfId="0" applyNumberFormat="1" applyFont="1" applyFill="1" applyAlignment="1">
      <alignment horizontal="center"/>
    </xf>
    <xf numFmtId="170" fontId="3" fillId="0" borderId="0" xfId="0" applyNumberFormat="1" applyFont="1" applyFill="1" applyAlignment="1"/>
    <xf numFmtId="172" fontId="3" fillId="0" borderId="0" xfId="3" applyNumberFormat="1" applyFont="1" applyFill="1" applyAlignment="1"/>
    <xf numFmtId="172" fontId="3" fillId="0" borderId="0" xfId="3" applyNumberFormat="1" applyFont="1" applyFill="1" applyBorder="1" applyAlignment="1"/>
    <xf numFmtId="170" fontId="17" fillId="0" borderId="0" xfId="0" applyNumberFormat="1" applyFont="1" applyFill="1" applyBorder="1" applyAlignment="1">
      <alignment horizontal="left"/>
    </xf>
    <xf numFmtId="170" fontId="18" fillId="0" borderId="0" xfId="0" applyNumberFormat="1" applyFont="1" applyFill="1" applyBorder="1" applyAlignment="1">
      <alignment horizontal="left"/>
    </xf>
    <xf numFmtId="170" fontId="6" fillId="0" borderId="0" xfId="0" applyNumberFormat="1" applyFont="1" applyFill="1" applyBorder="1" applyAlignment="1">
      <alignment horizontal="center"/>
    </xf>
    <xf numFmtId="0" fontId="11" fillId="0" borderId="0" xfId="8" applyFont="1" applyFill="1" applyAlignment="1">
      <alignment horizontal="left"/>
    </xf>
    <xf numFmtId="0" fontId="9" fillId="0" borderId="0" xfId="8" applyFont="1" applyFill="1" applyAlignment="1">
      <alignment horizontal="center"/>
    </xf>
    <xf numFmtId="0" fontId="9" fillId="0" borderId="0" xfId="8" applyFont="1" applyFill="1"/>
    <xf numFmtId="0" fontId="9" fillId="0" borderId="0" xfId="8" applyFont="1" applyFill="1" applyAlignment="1">
      <alignment horizontal="left"/>
    </xf>
    <xf numFmtId="16" fontId="9" fillId="0" borderId="0" xfId="8" applyNumberFormat="1" applyFont="1" applyFill="1" applyAlignment="1">
      <alignment horizontal="center"/>
    </xf>
    <xf numFmtId="0" fontId="9" fillId="0" borderId="0" xfId="8" applyFont="1" applyFill="1" applyAlignment="1">
      <alignment horizontal="left" wrapText="1"/>
    </xf>
    <xf numFmtId="0" fontId="9" fillId="0" borderId="0" xfId="8" applyFont="1" applyFill="1" applyAlignment="1"/>
    <xf numFmtId="171" fontId="9" fillId="0" borderId="0" xfId="1" applyNumberFormat="1" applyFont="1" applyFill="1"/>
    <xf numFmtId="171" fontId="9" fillId="0" borderId="0" xfId="8" applyNumberFormat="1" applyFont="1" applyFill="1"/>
    <xf numFmtId="172" fontId="9" fillId="0" borderId="0" xfId="8" applyNumberFormat="1" applyFont="1" applyFill="1"/>
    <xf numFmtId="0" fontId="9" fillId="0" borderId="0" xfId="8" applyFont="1" applyFill="1" applyBorder="1" applyAlignment="1">
      <alignment horizontal="center"/>
    </xf>
    <xf numFmtId="0" fontId="9" fillId="0" borderId="0" xfId="8" applyFont="1" applyFill="1" applyBorder="1"/>
    <xf numFmtId="172" fontId="9" fillId="0" borderId="0" xfId="3" applyNumberFormat="1" applyFont="1" applyFill="1" applyAlignment="1">
      <alignment horizontal="left"/>
    </xf>
    <xf numFmtId="0" fontId="9" fillId="0" borderId="0" xfId="8" applyFont="1" applyFill="1" applyAlignment="1">
      <alignment wrapText="1"/>
    </xf>
    <xf numFmtId="171" fontId="9" fillId="0" borderId="0" xfId="1" applyNumberFormat="1" applyFont="1" applyFill="1" applyBorder="1" applyAlignment="1">
      <alignment wrapText="1"/>
    </xf>
    <xf numFmtId="0" fontId="26" fillId="0" borderId="0" xfId="8" applyFont="1" applyFill="1" applyAlignment="1">
      <alignment horizontal="center"/>
    </xf>
    <xf numFmtId="0" fontId="26" fillId="0" borderId="0" xfId="8" applyFont="1" applyFill="1"/>
    <xf numFmtId="172" fontId="9" fillId="0" borderId="0" xfId="8" applyNumberFormat="1" applyFont="1" applyFill="1" applyBorder="1" applyAlignment="1"/>
    <xf numFmtId="41" fontId="4" fillId="0" borderId="0" xfId="0" applyNumberFormat="1" applyFont="1" applyBorder="1"/>
    <xf numFmtId="172" fontId="4" fillId="0" borderId="0" xfId="3" applyNumberFormat="1" applyFont="1" applyFill="1" applyBorder="1" applyAlignment="1"/>
    <xf numFmtId="170" fontId="16" fillId="0" borderId="0" xfId="0" applyNumberFormat="1" applyFont="1" applyAlignment="1"/>
    <xf numFmtId="170" fontId="32" fillId="0" borderId="0" xfId="0" applyNumberFormat="1" applyFont="1" applyAlignment="1"/>
    <xf numFmtId="170" fontId="4" fillId="0" borderId="0" xfId="0" applyNumberFormat="1" applyFont="1" applyFill="1" applyAlignment="1">
      <alignment horizontal="left"/>
    </xf>
    <xf numFmtId="170" fontId="27" fillId="0" borderId="3" xfId="0" applyNumberFormat="1" applyFont="1" applyBorder="1" applyAlignment="1">
      <alignment horizontal="center"/>
    </xf>
    <xf numFmtId="170" fontId="3" fillId="0" borderId="0" xfId="0" applyNumberFormat="1" applyFont="1" applyAlignment="1"/>
    <xf numFmtId="0" fontId="3" fillId="0" borderId="0" xfId="0" applyNumberFormat="1" applyFont="1" applyAlignment="1"/>
    <xf numFmtId="171" fontId="3" fillId="0" borderId="0" xfId="1" applyNumberFormat="1" applyFont="1" applyAlignment="1"/>
    <xf numFmtId="170" fontId="33" fillId="0" borderId="4" xfId="0" applyNumberFormat="1" applyFont="1" applyBorder="1" applyAlignment="1"/>
    <xf numFmtId="170" fontId="3" fillId="0" borderId="5" xfId="0" applyNumberFormat="1" applyFont="1" applyBorder="1" applyAlignment="1"/>
    <xf numFmtId="170" fontId="3" fillId="0" borderId="0" xfId="0" applyNumberFormat="1" applyFont="1" applyBorder="1" applyAlignment="1"/>
    <xf numFmtId="171" fontId="3" fillId="0" borderId="6" xfId="1" applyNumberFormat="1" applyFont="1" applyBorder="1" applyAlignment="1"/>
    <xf numFmtId="171" fontId="3" fillId="0" borderId="3" xfId="1" applyNumberFormat="1" applyFont="1" applyBorder="1" applyAlignment="1"/>
    <xf numFmtId="171" fontId="3" fillId="2" borderId="0" xfId="1" applyNumberFormat="1" applyFont="1" applyFill="1" applyBorder="1" applyAlignment="1"/>
    <xf numFmtId="0" fontId="3" fillId="2" borderId="0" xfId="0" applyNumberFormat="1" applyFont="1" applyFill="1" applyAlignment="1"/>
    <xf numFmtId="170" fontId="3" fillId="0" borderId="6" xfId="0" applyNumberFormat="1" applyFont="1" applyBorder="1" applyAlignment="1">
      <alignment horizontal="center"/>
    </xf>
    <xf numFmtId="170" fontId="3" fillId="0" borderId="3" xfId="0" applyNumberFormat="1" applyFont="1" applyBorder="1" applyAlignment="1">
      <alignment horizontal="center"/>
    </xf>
    <xf numFmtId="170" fontId="3" fillId="0" borderId="5" xfId="0" applyNumberFormat="1" applyFont="1" applyBorder="1" applyAlignment="1">
      <alignment horizontal="center"/>
    </xf>
    <xf numFmtId="170" fontId="3" fillId="0" borderId="0" xfId="0" applyNumberFormat="1" applyFont="1" applyBorder="1" applyAlignment="1">
      <alignment horizontal="center"/>
    </xf>
    <xf numFmtId="172" fontId="3" fillId="0" borderId="0" xfId="3" applyNumberFormat="1" applyFont="1" applyBorder="1" applyAlignment="1"/>
    <xf numFmtId="172" fontId="3" fillId="2" borderId="0" xfId="3" applyNumberFormat="1" applyFont="1" applyFill="1" applyBorder="1" applyAlignment="1"/>
    <xf numFmtId="170" fontId="3" fillId="0" borderId="5" xfId="0" applyNumberFormat="1" applyFont="1" applyFill="1" applyBorder="1" applyAlignment="1"/>
    <xf numFmtId="170" fontId="3" fillId="0" borderId="0" xfId="0" applyNumberFormat="1" applyFont="1" applyFill="1" applyBorder="1" applyAlignment="1"/>
    <xf numFmtId="170" fontId="3" fillId="2" borderId="7" xfId="0" applyNumberFormat="1" applyFont="1" applyFill="1" applyBorder="1" applyAlignment="1"/>
    <xf numFmtId="172" fontId="3" fillId="0" borderId="5" xfId="3" applyNumberFormat="1" applyFont="1" applyBorder="1" applyAlignment="1">
      <alignment horizontal="right"/>
    </xf>
    <xf numFmtId="172" fontId="3" fillId="0" borderId="3" xfId="3" applyNumberFormat="1" applyFont="1" applyBorder="1" applyAlignment="1"/>
    <xf numFmtId="0" fontId="3" fillId="0" borderId="0" xfId="0" applyNumberFormat="1" applyFont="1" applyFill="1" applyAlignment="1"/>
    <xf numFmtId="169" fontId="3" fillId="0" borderId="0" xfId="0" applyNumberFormat="1" applyFont="1" applyAlignment="1"/>
    <xf numFmtId="170" fontId="27" fillId="0" borderId="8" xfId="0" applyNumberFormat="1" applyFont="1" applyBorder="1" applyAlignment="1">
      <alignment horizontal="center"/>
    </xf>
    <xf numFmtId="170" fontId="31" fillId="0" borderId="0" xfId="4" applyNumberFormat="1" applyFont="1" applyFill="1" applyAlignment="1" applyProtection="1"/>
    <xf numFmtId="170" fontId="32" fillId="0" borderId="0" xfId="0" applyNumberFormat="1" applyFont="1" applyFill="1" applyAlignment="1"/>
    <xf numFmtId="170" fontId="3" fillId="2" borderId="9" xfId="0" applyNumberFormat="1" applyFont="1" applyFill="1" applyBorder="1" applyAlignment="1"/>
    <xf numFmtId="170" fontId="3" fillId="0" borderId="10" xfId="0" applyNumberFormat="1" applyFont="1" applyFill="1" applyBorder="1" applyAlignment="1"/>
    <xf numFmtId="170" fontId="3" fillId="0" borderId="10" xfId="0" applyNumberFormat="1" applyFont="1" applyBorder="1" applyAlignment="1"/>
    <xf numFmtId="170" fontId="3" fillId="0" borderId="8" xfId="0" applyNumberFormat="1" applyFont="1" applyBorder="1" applyAlignment="1">
      <alignment horizontal="center"/>
    </xf>
    <xf numFmtId="170" fontId="3" fillId="0" borderId="10" xfId="0" applyNumberFormat="1" applyFont="1" applyBorder="1" applyAlignment="1">
      <alignment horizontal="center"/>
    </xf>
    <xf numFmtId="172" fontId="3" fillId="0" borderId="10" xfId="3" applyNumberFormat="1" applyFont="1" applyBorder="1" applyAlignment="1"/>
    <xf numFmtId="172" fontId="3" fillId="0" borderId="8" xfId="3" applyNumberFormat="1" applyFont="1" applyBorder="1" applyAlignment="1"/>
    <xf numFmtId="49" fontId="4" fillId="0" borderId="0" xfId="0" applyNumberFormat="1" applyFont="1" applyFill="1" applyAlignment="1">
      <alignment horizontal="left"/>
    </xf>
    <xf numFmtId="177" fontId="3" fillId="0" borderId="0" xfId="0" applyNumberFormat="1" applyFont="1" applyFill="1" applyAlignment="1"/>
    <xf numFmtId="177" fontId="3" fillId="2" borderId="0" xfId="0" quotePrefix="1" applyNumberFormat="1" applyFont="1" applyFill="1" applyAlignment="1">
      <alignment horizontal="left"/>
    </xf>
    <xf numFmtId="177" fontId="3" fillId="0" borderId="0" xfId="0" applyNumberFormat="1" applyFont="1" applyFill="1" applyAlignment="1">
      <alignment horizontal="left"/>
    </xf>
    <xf numFmtId="171" fontId="3" fillId="0" borderId="0" xfId="1" applyNumberFormat="1" applyFont="1" applyBorder="1" applyAlignment="1"/>
    <xf numFmtId="171" fontId="3" fillId="0" borderId="10" xfId="1" applyNumberFormat="1" applyFont="1" applyBorder="1" applyAlignment="1"/>
    <xf numFmtId="170" fontId="27" fillId="0" borderId="0" xfId="0" applyNumberFormat="1" applyFont="1" applyAlignment="1"/>
    <xf numFmtId="0" fontId="6" fillId="0" borderId="1" xfId="0" applyNumberFormat="1" applyFont="1" applyBorder="1" applyAlignment="1"/>
    <xf numFmtId="170" fontId="6" fillId="0" borderId="1" xfId="0" applyNumberFormat="1" applyFont="1" applyBorder="1" applyAlignment="1">
      <alignment horizontal="center"/>
    </xf>
    <xf numFmtId="3" fontId="6" fillId="0" borderId="1" xfId="0" applyNumberFormat="1" applyFont="1" applyFill="1" applyBorder="1" applyAlignment="1">
      <alignment horizontal="center"/>
    </xf>
    <xf numFmtId="170" fontId="6" fillId="0" borderId="1" xfId="0" applyNumberFormat="1" applyFont="1" applyFill="1" applyBorder="1" applyAlignment="1">
      <alignment horizontal="center"/>
    </xf>
    <xf numFmtId="0" fontId="6" fillId="0" borderId="1" xfId="0" applyNumberFormat="1" applyFont="1" applyBorder="1" applyAlignment="1" applyProtection="1">
      <alignment horizontal="center"/>
      <protection locked="0"/>
    </xf>
    <xf numFmtId="170" fontId="35" fillId="0" borderId="3" xfId="0" applyNumberFormat="1" applyFont="1" applyBorder="1" applyAlignment="1">
      <alignment horizontal="center"/>
    </xf>
    <xf numFmtId="170" fontId="3" fillId="0" borderId="0" xfId="0" applyNumberFormat="1" applyFont="1" applyBorder="1" applyAlignment="1">
      <alignment horizontal="right"/>
    </xf>
    <xf numFmtId="170" fontId="3" fillId="2" borderId="0" xfId="0" applyNumberFormat="1" applyFont="1" applyFill="1" applyBorder="1" applyAlignment="1"/>
    <xf numFmtId="170" fontId="3" fillId="0" borderId="11" xfId="0" applyNumberFormat="1" applyFont="1" applyBorder="1" applyAlignment="1"/>
    <xf numFmtId="170" fontId="3" fillId="0" borderId="0" xfId="0" quotePrefix="1" applyNumberFormat="1" applyFont="1" applyAlignment="1"/>
    <xf numFmtId="172" fontId="3" fillId="2" borderId="5" xfId="3" applyNumberFormat="1" applyFont="1" applyFill="1" applyBorder="1" applyAlignment="1">
      <alignment horizontal="right"/>
    </xf>
    <xf numFmtId="172" fontId="3" fillId="2" borderId="0" xfId="3" applyNumberFormat="1" applyFont="1" applyFill="1" applyBorder="1" applyAlignment="1">
      <alignment horizontal="center"/>
    </xf>
    <xf numFmtId="170" fontId="3" fillId="2" borderId="10" xfId="0" applyNumberFormat="1" applyFont="1" applyFill="1" applyBorder="1" applyAlignment="1"/>
    <xf numFmtId="172" fontId="3" fillId="0" borderId="10" xfId="3" applyNumberFormat="1" applyFont="1" applyFill="1" applyBorder="1" applyAlignment="1"/>
    <xf numFmtId="171" fontId="3" fillId="0" borderId="8" xfId="1" applyNumberFormat="1" applyFont="1" applyBorder="1" applyAlignment="1"/>
    <xf numFmtId="0" fontId="3" fillId="2" borderId="0" xfId="15" applyNumberFormat="1" applyFont="1" applyFill="1" applyBorder="1" applyAlignment="1">
      <alignment horizontal="right"/>
    </xf>
    <xf numFmtId="173" fontId="3" fillId="2" borderId="0" xfId="15" applyNumberFormat="1" applyFont="1" applyFill="1" applyBorder="1" applyAlignment="1"/>
    <xf numFmtId="10" fontId="3" fillId="0" borderId="0" xfId="15" quotePrefix="1" applyNumberFormat="1" applyFont="1" applyBorder="1" applyAlignment="1">
      <alignment horizontal="left"/>
    </xf>
    <xf numFmtId="0" fontId="3" fillId="0" borderId="0" xfId="0" applyNumberFormat="1" applyFont="1" applyBorder="1" applyAlignment="1"/>
    <xf numFmtId="173" fontId="3" fillId="0" borderId="0" xfId="15" applyNumberFormat="1" applyFont="1" applyFill="1" applyBorder="1" applyAlignment="1"/>
    <xf numFmtId="177" fontId="34" fillId="0" borderId="0" xfId="0" quotePrefix="1" applyNumberFormat="1" applyFont="1" applyFill="1" applyAlignment="1">
      <alignment horizontal="left"/>
    </xf>
    <xf numFmtId="170" fontId="34" fillId="0" borderId="0" xfId="0" applyNumberFormat="1" applyFont="1" applyAlignment="1"/>
    <xf numFmtId="170" fontId="34" fillId="0" borderId="5" xfId="0" applyNumberFormat="1" applyFont="1" applyBorder="1" applyAlignment="1"/>
    <xf numFmtId="170" fontId="34" fillId="0" borderId="0" xfId="0" applyNumberFormat="1" applyFont="1" applyBorder="1" applyAlignment="1"/>
    <xf numFmtId="170" fontId="34" fillId="0" borderId="10" xfId="0" applyNumberFormat="1" applyFont="1" applyBorder="1" applyAlignment="1"/>
    <xf numFmtId="177" fontId="34" fillId="0" borderId="0" xfId="0" applyNumberFormat="1" applyFont="1" applyFill="1" applyAlignment="1">
      <alignment horizontal="left"/>
    </xf>
    <xf numFmtId="172" fontId="34" fillId="0" borderId="0" xfId="3" applyNumberFormat="1" applyFont="1" applyFill="1" applyBorder="1" applyAlignment="1"/>
    <xf numFmtId="170" fontId="34" fillId="0" borderId="6" xfId="0" applyNumberFormat="1" applyFont="1" applyBorder="1" applyAlignment="1"/>
    <xf numFmtId="170" fontId="34" fillId="0" borderId="3" xfId="0" applyNumberFormat="1" applyFont="1" applyBorder="1" applyAlignment="1"/>
    <xf numFmtId="172" fontId="34" fillId="0" borderId="0" xfId="3" applyNumberFormat="1" applyFont="1" applyBorder="1" applyAlignment="1"/>
    <xf numFmtId="172" fontId="34" fillId="0" borderId="5" xfId="3" applyNumberFormat="1" applyFont="1" applyBorder="1" applyAlignment="1">
      <alignment horizontal="right"/>
    </xf>
    <xf numFmtId="0" fontId="34" fillId="0" borderId="0" xfId="0" applyNumberFormat="1" applyFont="1" applyFill="1" applyAlignment="1"/>
    <xf numFmtId="172" fontId="34" fillId="0" borderId="10" xfId="3" applyNumberFormat="1" applyFont="1" applyBorder="1" applyAlignment="1"/>
    <xf numFmtId="0" fontId="34" fillId="0" borderId="0" xfId="0" applyNumberFormat="1" applyFont="1" applyAlignment="1"/>
    <xf numFmtId="170" fontId="35" fillId="0" borderId="0" xfId="0" applyNumberFormat="1" applyFont="1" applyAlignment="1"/>
    <xf numFmtId="170" fontId="35" fillId="0" borderId="12" xfId="0" applyNumberFormat="1" applyFont="1" applyBorder="1" applyAlignment="1"/>
    <xf numFmtId="170" fontId="34" fillId="0" borderId="7" xfId="0" applyNumberFormat="1" applyFont="1" applyBorder="1" applyAlignment="1"/>
    <xf numFmtId="0" fontId="34" fillId="0" borderId="9" xfId="0" applyNumberFormat="1" applyFont="1" applyBorder="1" applyAlignment="1"/>
    <xf numFmtId="170" fontId="34" fillId="0" borderId="11" xfId="0" applyNumberFormat="1" applyFont="1" applyBorder="1" applyAlignment="1"/>
    <xf numFmtId="170" fontId="34" fillId="0" borderId="3" xfId="0" applyNumberFormat="1" applyFont="1" applyBorder="1" applyAlignment="1">
      <alignment horizontal="center"/>
    </xf>
    <xf numFmtId="10" fontId="34" fillId="0" borderId="10" xfId="15" quotePrefix="1" applyNumberFormat="1" applyFont="1" applyBorder="1" applyAlignment="1">
      <alignment horizontal="left"/>
    </xf>
    <xf numFmtId="170" fontId="34" fillId="2" borderId="0" xfId="0" applyNumberFormat="1" applyFont="1" applyFill="1" applyBorder="1" applyAlignment="1"/>
    <xf numFmtId="170" fontId="34" fillId="0" borderId="5" xfId="0" applyNumberFormat="1" applyFont="1" applyFill="1" applyBorder="1" applyAlignment="1"/>
    <xf numFmtId="10" fontId="34" fillId="2" borderId="0" xfId="15" applyNumberFormat="1" applyFont="1" applyFill="1" applyBorder="1" applyAlignment="1"/>
    <xf numFmtId="10" fontId="34" fillId="0" borderId="0" xfId="15" applyNumberFormat="1" applyFont="1" applyFill="1" applyBorder="1" applyAlignment="1"/>
    <xf numFmtId="172" fontId="34" fillId="2" borderId="0" xfId="3" applyNumberFormat="1" applyFont="1" applyFill="1" applyBorder="1" applyAlignment="1"/>
    <xf numFmtId="171" fontId="34" fillId="2" borderId="0" xfId="1" applyNumberFormat="1" applyFont="1" applyFill="1" applyBorder="1" applyAlignment="1"/>
    <xf numFmtId="171" fontId="34" fillId="0" borderId="0" xfId="1" applyNumberFormat="1" applyFont="1" applyFill="1" applyBorder="1" applyAlignment="1"/>
    <xf numFmtId="0" fontId="34" fillId="2" borderId="0" xfId="15" applyNumberFormat="1" applyFont="1" applyFill="1" applyBorder="1" applyAlignment="1"/>
    <xf numFmtId="0" fontId="34" fillId="0" borderId="0" xfId="15" applyNumberFormat="1" applyFont="1" applyFill="1" applyBorder="1" applyAlignment="1"/>
    <xf numFmtId="172" fontId="34" fillId="2" borderId="5" xfId="3" applyNumberFormat="1" applyFont="1" applyFill="1" applyBorder="1" applyAlignment="1">
      <alignment horizontal="right"/>
    </xf>
    <xf numFmtId="172" fontId="34" fillId="2" borderId="0" xfId="3" applyNumberFormat="1" applyFont="1" applyFill="1" applyBorder="1" applyAlignment="1">
      <alignment horizontal="center"/>
    </xf>
    <xf numFmtId="172" fontId="3" fillId="2" borderId="0" xfId="3" applyNumberFormat="1" applyFont="1" applyFill="1" applyAlignment="1"/>
    <xf numFmtId="170" fontId="3" fillId="2" borderId="0" xfId="0" applyNumberFormat="1" applyFont="1" applyFill="1" applyBorder="1" applyAlignment="1">
      <alignment horizontal="center"/>
    </xf>
    <xf numFmtId="173" fontId="34" fillId="2" borderId="0" xfId="15" applyNumberFormat="1" applyFont="1" applyFill="1" applyBorder="1" applyAlignment="1"/>
    <xf numFmtId="0" fontId="38" fillId="0" borderId="0" xfId="6" applyFont="1" applyAlignment="1">
      <alignment horizontal="left"/>
    </xf>
    <xf numFmtId="0" fontId="39" fillId="0" borderId="0" xfId="6" applyFont="1"/>
    <xf numFmtId="0" fontId="38" fillId="0" borderId="0" xfId="6" applyFont="1"/>
    <xf numFmtId="172" fontId="38" fillId="0" borderId="0" xfId="3" applyNumberFormat="1" applyFont="1" applyFill="1"/>
    <xf numFmtId="171" fontId="37" fillId="0" borderId="0" xfId="1" applyNumberFormat="1" applyFont="1" applyAlignment="1">
      <alignment horizontal="left"/>
    </xf>
    <xf numFmtId="172" fontId="38" fillId="0" borderId="0" xfId="3" applyNumberFormat="1" applyFont="1"/>
    <xf numFmtId="0" fontId="39" fillId="0" borderId="0" xfId="6" applyFont="1" applyFill="1"/>
    <xf numFmtId="0" fontId="38" fillId="0" borderId="0" xfId="6" applyFont="1" applyFill="1" applyAlignment="1">
      <alignment vertical="center"/>
    </xf>
    <xf numFmtId="0" fontId="38" fillId="0" borderId="0" xfId="6" applyFont="1" applyAlignment="1">
      <alignment vertical="center"/>
    </xf>
    <xf numFmtId="171" fontId="38" fillId="0" borderId="0" xfId="6" applyNumberFormat="1" applyFont="1" applyFill="1" applyAlignment="1">
      <alignment vertical="center"/>
    </xf>
    <xf numFmtId="171" fontId="38" fillId="0" borderId="0" xfId="6" applyNumberFormat="1" applyFont="1" applyAlignment="1">
      <alignment vertical="center"/>
    </xf>
    <xf numFmtId="0" fontId="38" fillId="0" borderId="0" xfId="6" applyFont="1" applyAlignment="1">
      <alignment horizontal="left" vertical="center"/>
    </xf>
    <xf numFmtId="0" fontId="38" fillId="0" borderId="0" xfId="6" applyFont="1" applyFill="1" applyAlignment="1">
      <alignment horizontal="center" vertical="center"/>
    </xf>
    <xf numFmtId="171" fontId="38" fillId="0" borderId="0" xfId="6" applyNumberFormat="1" applyFont="1"/>
    <xf numFmtId="171" fontId="38" fillId="0" borderId="0" xfId="1" applyNumberFormat="1" applyFont="1" applyFill="1" applyAlignment="1">
      <alignment horizontal="right"/>
    </xf>
    <xf numFmtId="170" fontId="22" fillId="0" borderId="0" xfId="0" applyNumberFormat="1" applyFont="1" applyAlignment="1"/>
    <xf numFmtId="170" fontId="22" fillId="0" borderId="0" xfId="0" applyNumberFormat="1" applyFont="1" applyFill="1" applyAlignment="1"/>
    <xf numFmtId="3" fontId="22" fillId="0" borderId="0" xfId="0" applyNumberFormat="1" applyFont="1" applyAlignment="1"/>
    <xf numFmtId="0" fontId="22" fillId="0" borderId="0" xfId="0" applyNumberFormat="1" applyFont="1" applyAlignment="1" applyProtection="1">
      <protection locked="0"/>
    </xf>
    <xf numFmtId="3" fontId="22" fillId="0" borderId="0" xfId="0" applyNumberFormat="1" applyFont="1" applyFill="1" applyAlignment="1"/>
    <xf numFmtId="0" fontId="22" fillId="0" borderId="0" xfId="0" applyNumberFormat="1" applyFont="1" applyAlignment="1"/>
    <xf numFmtId="171" fontId="22" fillId="0" borderId="1" xfId="1" applyNumberFormat="1" applyFont="1" applyFill="1" applyBorder="1" applyAlignment="1"/>
    <xf numFmtId="172" fontId="22" fillId="0" borderId="0" xfId="3" applyNumberFormat="1" applyFont="1" applyFill="1" applyAlignment="1"/>
    <xf numFmtId="164" fontId="22" fillId="0" borderId="0" xfId="0" applyNumberFormat="1" applyFont="1" applyAlignment="1">
      <alignment horizontal="center"/>
    </xf>
    <xf numFmtId="172" fontId="22" fillId="0" borderId="0" xfId="3" applyNumberFormat="1" applyFont="1" applyAlignment="1"/>
    <xf numFmtId="0" fontId="22" fillId="0" borderId="0" xfId="0" applyNumberFormat="1" applyFont="1"/>
    <xf numFmtId="3" fontId="22" fillId="0" borderId="0" xfId="0" applyNumberFormat="1" applyFont="1" applyFill="1" applyAlignment="1">
      <alignment vertical="top" wrapText="1"/>
    </xf>
    <xf numFmtId="41" fontId="22" fillId="0" borderId="0" xfId="0" applyNumberFormat="1" applyFont="1" applyAlignment="1"/>
    <xf numFmtId="165" fontId="22" fillId="0" borderId="0" xfId="0" applyNumberFormat="1" applyFont="1" applyAlignment="1"/>
    <xf numFmtId="171" fontId="22" fillId="0" borderId="0" xfId="1" applyNumberFormat="1" applyFont="1" applyAlignment="1"/>
    <xf numFmtId="41" fontId="22" fillId="0" borderId="1" xfId="0" applyNumberFormat="1" applyFont="1" applyFill="1" applyBorder="1" applyAlignment="1"/>
    <xf numFmtId="165" fontId="22" fillId="0" borderId="0" xfId="0" applyNumberFormat="1" applyFont="1" applyFill="1" applyAlignment="1"/>
    <xf numFmtId="0" fontId="22" fillId="0" borderId="0" xfId="0" applyNumberFormat="1" applyFont="1" applyFill="1" applyAlignment="1"/>
    <xf numFmtId="172" fontId="22" fillId="0" borderId="0" xfId="3" applyNumberFormat="1" applyFont="1" applyBorder="1" applyAlignment="1"/>
    <xf numFmtId="172" fontId="22" fillId="0" borderId="13" xfId="3" applyNumberFormat="1" applyFont="1" applyBorder="1" applyAlignment="1"/>
    <xf numFmtId="170" fontId="3" fillId="0" borderId="3" xfId="0" applyNumberFormat="1" applyFont="1" applyBorder="1" applyAlignment="1"/>
    <xf numFmtId="177" fontId="34" fillId="0" borderId="11" xfId="0" quotePrefix="1" applyNumberFormat="1" applyFont="1" applyBorder="1" applyAlignment="1">
      <alignment horizontal="center"/>
    </xf>
    <xf numFmtId="170" fontId="34" fillId="0" borderId="0" xfId="0" applyNumberFormat="1" applyFont="1" applyBorder="1" applyAlignment="1">
      <alignment horizontal="center"/>
    </xf>
    <xf numFmtId="170" fontId="34" fillId="0" borderId="10" xfId="0" applyNumberFormat="1" applyFont="1" applyBorder="1" applyAlignment="1">
      <alignment horizontal="center"/>
    </xf>
    <xf numFmtId="170" fontId="34" fillId="0" borderId="1" xfId="0" applyNumberFormat="1" applyFont="1" applyBorder="1" applyAlignment="1">
      <alignment horizontal="center"/>
    </xf>
    <xf numFmtId="170" fontId="34" fillId="0" borderId="14" xfId="0" applyNumberFormat="1" applyFont="1" applyBorder="1" applyAlignment="1">
      <alignment horizontal="center"/>
    </xf>
    <xf numFmtId="3" fontId="22" fillId="0" borderId="1" xfId="0" applyNumberFormat="1" applyFont="1" applyBorder="1" applyAlignment="1">
      <alignment horizontal="center"/>
    </xf>
    <xf numFmtId="3" fontId="22" fillId="0" borderId="0" xfId="0" applyNumberFormat="1" applyFont="1" applyBorder="1" applyAlignment="1">
      <alignment horizontal="center"/>
    </xf>
    <xf numFmtId="41" fontId="22" fillId="0" borderId="0" xfId="0" quotePrefix="1" applyNumberFormat="1" applyFont="1" applyAlignment="1"/>
    <xf numFmtId="41" fontId="22" fillId="0" borderId="1" xfId="0" quotePrefix="1" applyNumberFormat="1" applyFont="1" applyBorder="1" applyAlignment="1"/>
    <xf numFmtId="3" fontId="22" fillId="0" borderId="1" xfId="0" applyNumberFormat="1" applyFont="1" applyBorder="1" applyAlignment="1"/>
    <xf numFmtId="42" fontId="22" fillId="0" borderId="0" xfId="9" applyNumberFormat="1" applyFont="1" applyFill="1" applyAlignment="1" applyProtection="1">
      <alignment horizontal="right"/>
      <protection locked="0"/>
    </xf>
    <xf numFmtId="172" fontId="22" fillId="0" borderId="0" xfId="3" applyNumberFormat="1" applyFont="1" applyFill="1" applyAlignment="1" applyProtection="1">
      <protection locked="0"/>
    </xf>
    <xf numFmtId="41" fontId="22" fillId="0" borderId="0" xfId="0" applyNumberFormat="1" applyFont="1" applyFill="1" applyAlignment="1" applyProtection="1">
      <protection locked="0"/>
    </xf>
    <xf numFmtId="0" fontId="22" fillId="0" borderId="0" xfId="0" applyNumberFormat="1" applyFont="1" applyProtection="1">
      <protection locked="0"/>
    </xf>
    <xf numFmtId="3" fontId="22" fillId="0" borderId="0" xfId="0" applyNumberFormat="1" applyFont="1" applyAlignment="1">
      <alignment horizontal="center"/>
    </xf>
    <xf numFmtId="0" fontId="22" fillId="0" borderId="1" xfId="0" applyNumberFormat="1" applyFont="1" applyBorder="1" applyAlignment="1" applyProtection="1">
      <alignment horizontal="center"/>
      <protection locked="0"/>
    </xf>
    <xf numFmtId="10" fontId="22" fillId="0" borderId="0" xfId="0" applyNumberFormat="1" applyFont="1" applyFill="1" applyAlignment="1"/>
    <xf numFmtId="168" fontId="22" fillId="0" borderId="0" xfId="0" applyNumberFormat="1" applyFont="1" applyFill="1" applyAlignment="1"/>
    <xf numFmtId="174" fontId="22" fillId="0" borderId="0" xfId="1" applyNumberFormat="1" applyFont="1" applyFill="1" applyAlignment="1"/>
    <xf numFmtId="168" fontId="22" fillId="0" borderId="0" xfId="0" applyNumberFormat="1" applyFont="1" applyAlignment="1"/>
    <xf numFmtId="3" fontId="22" fillId="0" borderId="0" xfId="0" quotePrefix="1" applyNumberFormat="1" applyFont="1" applyAlignment="1"/>
    <xf numFmtId="41" fontId="22" fillId="0" borderId="0" xfId="0" applyNumberFormat="1" applyFont="1" applyFill="1" applyAlignment="1">
      <alignment horizontal="right"/>
    </xf>
    <xf numFmtId="10" fontId="22" fillId="0" borderId="0" xfId="15" applyNumberFormat="1" applyFont="1" applyFill="1" applyAlignment="1"/>
    <xf numFmtId="171" fontId="22" fillId="0" borderId="0" xfId="1" applyNumberFormat="1" applyFont="1" applyFill="1" applyBorder="1" applyAlignment="1"/>
    <xf numFmtId="41" fontId="22" fillId="0" borderId="0" xfId="0" applyNumberFormat="1" applyFont="1" applyFill="1" applyBorder="1" applyAlignment="1">
      <alignment horizontal="right"/>
    </xf>
    <xf numFmtId="10" fontId="22" fillId="0" borderId="1" xfId="15" applyNumberFormat="1" applyFont="1" applyFill="1" applyBorder="1" applyAlignment="1"/>
    <xf numFmtId="168" fontId="22" fillId="0" borderId="1" xfId="0" applyNumberFormat="1" applyFont="1" applyBorder="1" applyAlignment="1"/>
    <xf numFmtId="41" fontId="22" fillId="0" borderId="0" xfId="0" applyNumberFormat="1" applyFont="1" applyFill="1" applyAlignment="1"/>
    <xf numFmtId="44" fontId="3" fillId="0" borderId="0" xfId="3" applyFont="1" applyBorder="1" applyAlignment="1">
      <alignment horizontal="right"/>
    </xf>
    <xf numFmtId="170" fontId="7" fillId="0" borderId="0" xfId="0" applyNumberFormat="1" applyFont="1" applyAlignment="1">
      <alignment horizontal="center"/>
    </xf>
    <xf numFmtId="164" fontId="3" fillId="0" borderId="0" xfId="15" applyNumberFormat="1" applyFont="1" applyBorder="1" applyAlignment="1"/>
    <xf numFmtId="10" fontId="3" fillId="0" borderId="0" xfId="15" applyNumberFormat="1" applyFont="1" applyAlignment="1"/>
    <xf numFmtId="170" fontId="17" fillId="0" borderId="0" xfId="0" applyNumberFormat="1" applyFont="1" applyBorder="1"/>
    <xf numFmtId="170" fontId="32" fillId="0" borderId="0" xfId="0" quotePrefix="1" applyNumberFormat="1" applyFont="1" applyAlignment="1">
      <alignment horizontal="center"/>
    </xf>
    <xf numFmtId="170" fontId="20" fillId="0" borderId="0" xfId="0" applyNumberFormat="1" applyFont="1" applyFill="1" applyAlignment="1">
      <alignment horizontal="left"/>
    </xf>
    <xf numFmtId="172" fontId="22" fillId="0" borderId="0" xfId="3" applyNumberFormat="1" applyFont="1" applyFill="1" applyBorder="1" applyAlignment="1"/>
    <xf numFmtId="4" fontId="4" fillId="0" borderId="0" xfId="14" applyNumberFormat="1" applyFont="1" applyFill="1" applyBorder="1" applyAlignment="1"/>
    <xf numFmtId="170" fontId="4" fillId="0" borderId="0" xfId="0" applyNumberFormat="1" applyFont="1" applyFill="1" applyBorder="1" applyAlignment="1">
      <alignment horizontal="center" wrapText="1"/>
    </xf>
    <xf numFmtId="172" fontId="34" fillId="2" borderId="0" xfId="3" applyNumberFormat="1" applyFont="1" applyFill="1" applyBorder="1" applyAlignment="1">
      <alignment horizontal="right"/>
    </xf>
    <xf numFmtId="170" fontId="11" fillId="0" borderId="15" xfId="0" applyNumberFormat="1" applyFont="1" applyBorder="1" applyAlignment="1">
      <alignment horizontal="center" wrapText="1"/>
    </xf>
    <xf numFmtId="170" fontId="29" fillId="0" borderId="0" xfId="0" applyNumberFormat="1" applyFont="1" applyAlignment="1">
      <alignment horizontal="center"/>
    </xf>
    <xf numFmtId="4" fontId="22" fillId="0" borderId="0" xfId="0" applyNumberFormat="1" applyFont="1" applyAlignment="1">
      <alignment horizontal="center"/>
    </xf>
    <xf numFmtId="4" fontId="22" fillId="0" borderId="0" xfId="0" applyNumberFormat="1" applyFont="1" applyAlignment="1"/>
    <xf numFmtId="0" fontId="22" fillId="0" borderId="0" xfId="0" applyNumberFormat="1" applyFont="1" applyAlignment="1" applyProtection="1">
      <alignment horizontal="center"/>
      <protection locked="0"/>
    </xf>
    <xf numFmtId="0" fontId="22" fillId="0" borderId="0" xfId="0" applyNumberFormat="1" applyFont="1" applyAlignment="1">
      <alignment horizontal="center"/>
    </xf>
    <xf numFmtId="170" fontId="22" fillId="0" borderId="1" xfId="0" applyNumberFormat="1" applyFont="1" applyBorder="1" applyAlignment="1"/>
    <xf numFmtId="0" fontId="22" fillId="0" borderId="0" xfId="0" applyNumberFormat="1" applyFont="1" applyFill="1" applyAlignment="1">
      <alignment vertical="top"/>
    </xf>
    <xf numFmtId="170" fontId="32" fillId="0" borderId="0" xfId="0" applyNumberFormat="1" applyFont="1" applyBorder="1" applyAlignment="1"/>
    <xf numFmtId="0" fontId="22" fillId="0" borderId="0" xfId="0" applyNumberFormat="1" applyFont="1" applyFill="1" applyAlignment="1" applyProtection="1">
      <protection locked="0"/>
    </xf>
    <xf numFmtId="164" fontId="22" fillId="0" borderId="0" xfId="0" applyNumberFormat="1" applyFont="1" applyFill="1" applyAlignment="1">
      <alignment horizontal="right"/>
    </xf>
    <xf numFmtId="164" fontId="22" fillId="0" borderId="0" xfId="0" applyNumberFormat="1" applyFont="1" applyFill="1" applyAlignment="1">
      <alignment horizontal="center"/>
    </xf>
    <xf numFmtId="172" fontId="22" fillId="0" borderId="1" xfId="3" applyNumberFormat="1" applyFont="1" applyFill="1" applyBorder="1" applyAlignment="1"/>
    <xf numFmtId="10" fontId="22" fillId="0" borderId="0" xfId="0" applyNumberFormat="1" applyFont="1"/>
    <xf numFmtId="170" fontId="22" fillId="0" borderId="0" xfId="0" applyNumberFormat="1" applyFont="1" applyAlignment="1">
      <alignment horizontal="right"/>
    </xf>
    <xf numFmtId="3" fontId="22" fillId="0" borderId="0" xfId="0" applyNumberFormat="1" applyFont="1" applyAlignment="1">
      <alignment horizontal="right"/>
    </xf>
    <xf numFmtId="170" fontId="22" fillId="0" borderId="0" xfId="0" applyNumberFormat="1" applyFont="1" applyAlignment="1">
      <alignment horizontal="center"/>
    </xf>
    <xf numFmtId="0" fontId="22" fillId="0" borderId="0" xfId="0" quotePrefix="1" applyNumberFormat="1" applyFont="1" applyAlignment="1">
      <alignment horizontal="center"/>
    </xf>
    <xf numFmtId="49" fontId="22" fillId="0" borderId="0" xfId="0" quotePrefix="1" applyNumberFormat="1" applyFont="1" applyAlignment="1">
      <alignment horizontal="center"/>
    </xf>
    <xf numFmtId="0" fontId="22" fillId="0" borderId="0" xfId="0" applyNumberFormat="1" applyFont="1" applyFill="1" applyAlignment="1" applyProtection="1">
      <alignment horizontal="center"/>
      <protection locked="0"/>
    </xf>
    <xf numFmtId="3" fontId="22" fillId="0" borderId="0" xfId="0" quotePrefix="1" applyNumberFormat="1" applyFont="1" applyFill="1" applyAlignment="1"/>
    <xf numFmtId="41" fontId="22" fillId="0" borderId="1" xfId="0" applyNumberFormat="1" applyFont="1" applyBorder="1" applyAlignment="1"/>
    <xf numFmtId="41" fontId="22" fillId="0" borderId="0" xfId="0" applyNumberFormat="1" applyFont="1" applyFill="1" applyBorder="1" applyAlignment="1"/>
    <xf numFmtId="166" fontId="22" fillId="0" borderId="0" xfId="0" applyNumberFormat="1" applyFont="1" applyAlignment="1"/>
    <xf numFmtId="3" fontId="22" fillId="0" borderId="0" xfId="0" applyNumberFormat="1" applyFont="1" applyFill="1" applyAlignment="1">
      <alignment horizontal="right"/>
    </xf>
    <xf numFmtId="166" fontId="22" fillId="0" borderId="0" xfId="0" applyNumberFormat="1" applyFont="1" applyFill="1" applyAlignment="1"/>
    <xf numFmtId="166" fontId="22" fillId="0" borderId="0" xfId="0" applyNumberFormat="1" applyFont="1" applyFill="1" applyAlignment="1">
      <alignment horizontal="right"/>
    </xf>
    <xf numFmtId="166" fontId="22" fillId="0" borderId="0" xfId="0" applyNumberFormat="1" applyFont="1" applyAlignment="1">
      <alignment horizontal="center"/>
    </xf>
    <xf numFmtId="10" fontId="22" fillId="0" borderId="0" xfId="0" applyNumberFormat="1" applyFont="1" applyFill="1" applyAlignment="1">
      <alignment horizontal="right"/>
    </xf>
    <xf numFmtId="0" fontId="22" fillId="3" borderId="0" xfId="0" applyNumberFormat="1" applyFont="1" applyFill="1" applyAlignment="1" applyProtection="1">
      <alignment horizontal="center"/>
      <protection locked="0"/>
    </xf>
    <xf numFmtId="179" fontId="22" fillId="0" borderId="0" xfId="1" applyNumberFormat="1" applyFont="1" applyFill="1" applyAlignment="1">
      <alignment horizontal="right"/>
    </xf>
    <xf numFmtId="3" fontId="22" fillId="0" borderId="0" xfId="0" applyNumberFormat="1" applyFont="1" applyAlignment="1">
      <alignment horizontal="left"/>
    </xf>
    <xf numFmtId="164" fontId="22" fillId="0" borderId="0" xfId="0" applyNumberFormat="1" applyFont="1" applyAlignment="1" applyProtection="1">
      <alignment horizontal="left"/>
      <protection locked="0"/>
    </xf>
    <xf numFmtId="172" fontId="22" fillId="0" borderId="0" xfId="3" applyNumberFormat="1" applyFont="1" applyFill="1" applyAlignment="1">
      <alignment horizontal="right"/>
    </xf>
    <xf numFmtId="170" fontId="22" fillId="0" borderId="0" xfId="0" applyNumberFormat="1" applyFont="1"/>
    <xf numFmtId="176" fontId="18" fillId="0" borderId="0" xfId="0" quotePrefix="1" applyNumberFormat="1" applyFont="1" applyFill="1" applyAlignment="1">
      <alignment horizontal="center"/>
    </xf>
    <xf numFmtId="170" fontId="22" fillId="0" borderId="0" xfId="0" applyNumberFormat="1" applyFont="1" applyBorder="1"/>
    <xf numFmtId="170" fontId="22" fillId="0" borderId="0" xfId="0" applyNumberFormat="1" applyFont="1" applyBorder="1" applyAlignment="1">
      <alignment horizontal="right"/>
    </xf>
    <xf numFmtId="37" fontId="22" fillId="0" borderId="0" xfId="0" applyNumberFormat="1" applyFont="1" applyBorder="1"/>
    <xf numFmtId="170" fontId="6" fillId="0" borderId="0" xfId="0" applyNumberFormat="1" applyFont="1" applyBorder="1" applyAlignment="1">
      <alignment horizontal="left"/>
    </xf>
    <xf numFmtId="7" fontId="22" fillId="0" borderId="0" xfId="0" applyNumberFormat="1" applyFont="1" applyBorder="1"/>
    <xf numFmtId="37" fontId="22" fillId="0" borderId="0" xfId="0" applyNumberFormat="1" applyFont="1"/>
    <xf numFmtId="39" fontId="22" fillId="0" borderId="0" xfId="0" applyNumberFormat="1" applyFont="1"/>
    <xf numFmtId="170" fontId="11" fillId="0" borderId="16" xfId="0" applyNumberFormat="1" applyFont="1" applyFill="1" applyBorder="1" applyAlignment="1">
      <alignment horizontal="center"/>
    </xf>
    <xf numFmtId="170" fontId="11" fillId="0" borderId="17" xfId="0" applyNumberFormat="1" applyFont="1" applyBorder="1" applyAlignment="1">
      <alignment horizontal="center" wrapText="1"/>
    </xf>
    <xf numFmtId="170" fontId="11" fillId="0" borderId="18" xfId="0" applyNumberFormat="1" applyFont="1" applyBorder="1" applyAlignment="1">
      <alignment horizontal="center" wrapText="1"/>
    </xf>
    <xf numFmtId="170" fontId="11" fillId="0" borderId="16" xfId="0" applyNumberFormat="1" applyFont="1" applyBorder="1" applyAlignment="1">
      <alignment horizontal="center"/>
    </xf>
    <xf numFmtId="170" fontId="11" fillId="0" borderId="16" xfId="0" applyNumberFormat="1" applyFont="1" applyBorder="1" applyAlignment="1">
      <alignment horizontal="center" wrapText="1"/>
    </xf>
    <xf numFmtId="170" fontId="22" fillId="0" borderId="0" xfId="0" applyNumberFormat="1" applyFont="1" applyFill="1" applyAlignment="1">
      <alignment horizontal="left"/>
    </xf>
    <xf numFmtId="170" fontId="22" fillId="0" borderId="0" xfId="0" applyNumberFormat="1" applyFont="1" applyFill="1" applyBorder="1" applyAlignment="1"/>
    <xf numFmtId="0" fontId="22" fillId="0" borderId="0" xfId="0" applyNumberFormat="1" applyFont="1" applyFill="1" applyBorder="1"/>
    <xf numFmtId="3" fontId="22" fillId="0" borderId="0" xfId="0" applyNumberFormat="1" applyFont="1" applyFill="1" applyBorder="1" applyAlignment="1"/>
    <xf numFmtId="170" fontId="17" fillId="0" borderId="0" xfId="0" applyNumberFormat="1" applyFont="1" applyFill="1" applyAlignment="1">
      <alignment horizontal="left"/>
    </xf>
    <xf numFmtId="170" fontId="32" fillId="0" borderId="0" xfId="0" applyNumberFormat="1" applyFont="1" applyFill="1" applyAlignment="1">
      <alignment horizontal="right"/>
    </xf>
    <xf numFmtId="170" fontId="21" fillId="0" borderId="0" xfId="0" applyNumberFormat="1" applyFont="1" applyFill="1" applyAlignment="1"/>
    <xf numFmtId="170" fontId="27" fillId="0" borderId="1" xfId="0" applyNumberFormat="1" applyFont="1" applyFill="1" applyBorder="1" applyAlignment="1">
      <alignment horizontal="right"/>
    </xf>
    <xf numFmtId="171" fontId="3" fillId="0" borderId="0" xfId="1" applyNumberFormat="1" applyFont="1" applyFill="1" applyAlignment="1"/>
    <xf numFmtId="170" fontId="3" fillId="0" borderId="0" xfId="0" quotePrefix="1" applyNumberFormat="1" applyFont="1" applyFill="1" applyAlignment="1"/>
    <xf numFmtId="171" fontId="3" fillId="0" borderId="0" xfId="0" applyNumberFormat="1" applyFont="1" applyFill="1" applyAlignment="1"/>
    <xf numFmtId="10" fontId="3" fillId="0" borderId="0" xfId="0" applyNumberFormat="1" applyFont="1" applyFill="1" applyAlignment="1"/>
    <xf numFmtId="10" fontId="3" fillId="0" borderId="0" xfId="15" applyNumberFormat="1" applyFont="1" applyFill="1" applyAlignment="1"/>
    <xf numFmtId="10" fontId="3" fillId="0" borderId="0" xfId="0" applyNumberFormat="1" applyFont="1" applyFill="1" applyAlignment="1">
      <alignment horizontal="right"/>
    </xf>
    <xf numFmtId="170" fontId="3" fillId="0" borderId="0" xfId="0" applyNumberFormat="1" applyFont="1" applyFill="1" applyAlignment="1">
      <alignment horizontal="center"/>
    </xf>
    <xf numFmtId="170" fontId="27" fillId="0" borderId="0" xfId="0" applyNumberFormat="1" applyFont="1" applyFill="1" applyAlignment="1">
      <alignment horizontal="right"/>
    </xf>
    <xf numFmtId="170" fontId="27" fillId="0" borderId="0" xfId="0" applyNumberFormat="1" applyFont="1" applyFill="1" applyAlignment="1">
      <alignment horizontal="center"/>
    </xf>
    <xf numFmtId="170" fontId="27" fillId="0" borderId="1" xfId="0" applyNumberFormat="1" applyFont="1" applyFill="1" applyBorder="1" applyAlignment="1">
      <alignment horizontal="left"/>
    </xf>
    <xf numFmtId="170" fontId="27" fillId="0" borderId="1" xfId="0" applyNumberFormat="1" applyFont="1" applyFill="1" applyBorder="1" applyAlignment="1">
      <alignment horizontal="center"/>
    </xf>
    <xf numFmtId="170" fontId="27" fillId="0" borderId="0" xfId="0" applyNumberFormat="1" applyFont="1" applyFill="1" applyAlignment="1">
      <alignment horizontal="left"/>
    </xf>
    <xf numFmtId="171" fontId="27" fillId="0" borderId="0" xfId="1" applyNumberFormat="1" applyFont="1" applyFill="1" applyAlignment="1"/>
    <xf numFmtId="170" fontId="3" fillId="2" borderId="0" xfId="0" applyNumberFormat="1" applyFont="1" applyFill="1" applyAlignment="1"/>
    <xf numFmtId="173" fontId="3" fillId="0" borderId="0" xfId="0" applyNumberFormat="1" applyFont="1" applyFill="1" applyAlignment="1"/>
    <xf numFmtId="10" fontId="3" fillId="0" borderId="0" xfId="0" quotePrefix="1" applyNumberFormat="1" applyFont="1" applyFill="1" applyAlignment="1">
      <alignment horizontal="center"/>
    </xf>
    <xf numFmtId="0" fontId="3" fillId="0" borderId="0" xfId="0" applyNumberFormat="1" applyFont="1" applyFill="1" applyAlignment="1">
      <alignment horizontal="center"/>
    </xf>
    <xf numFmtId="170" fontId="27" fillId="0" borderId="0" xfId="0" applyNumberFormat="1" applyFont="1" applyFill="1" applyAlignment="1"/>
    <xf numFmtId="170" fontId="27" fillId="0" borderId="0" xfId="0" quotePrefix="1" applyNumberFormat="1" applyFont="1" applyFill="1" applyAlignment="1"/>
    <xf numFmtId="172" fontId="3" fillId="0" borderId="3" xfId="3" applyNumberFormat="1" applyFont="1" applyFill="1" applyBorder="1" applyAlignment="1"/>
    <xf numFmtId="10" fontId="3" fillId="2" borderId="0" xfId="0" applyNumberFormat="1" applyFont="1" applyFill="1" applyAlignment="1"/>
    <xf numFmtId="10" fontId="3" fillId="2" borderId="0" xfId="15" applyNumberFormat="1" applyFont="1" applyFill="1" applyAlignment="1"/>
    <xf numFmtId="172" fontId="3" fillId="0" borderId="0" xfId="3" applyNumberFormat="1" applyFont="1" applyFill="1" applyAlignment="1">
      <alignment horizontal="center"/>
    </xf>
    <xf numFmtId="10" fontId="3" fillId="0" borderId="3" xfId="0" applyNumberFormat="1" applyFont="1" applyFill="1" applyBorder="1" applyAlignment="1"/>
    <xf numFmtId="0" fontId="22" fillId="0" borderId="0" xfId="0" applyNumberFormat="1" applyFont="1" applyAlignment="1" applyProtection="1">
      <alignment horizontal="right"/>
      <protection locked="0"/>
    </xf>
    <xf numFmtId="0" fontId="22" fillId="0" borderId="19" xfId="0" applyNumberFormat="1" applyFont="1" applyBorder="1"/>
    <xf numFmtId="0" fontId="22" fillId="0" borderId="19" xfId="0" applyNumberFormat="1" applyFont="1" applyBorder="1" applyAlignment="1" applyProtection="1">
      <alignment horizontal="center"/>
      <protection locked="0"/>
    </xf>
    <xf numFmtId="0" fontId="22" fillId="0" borderId="0" xfId="0" applyNumberFormat="1" applyFont="1" applyBorder="1" applyAlignment="1" applyProtection="1">
      <alignment horizontal="center"/>
      <protection locked="0"/>
    </xf>
    <xf numFmtId="0" fontId="22" fillId="0" borderId="0" xfId="0" applyNumberFormat="1" applyFont="1" applyFill="1"/>
    <xf numFmtId="3" fontId="22" fillId="0" borderId="0" xfId="0" applyNumberFormat="1" applyFont="1" applyFill="1" applyBorder="1"/>
    <xf numFmtId="3" fontId="22" fillId="0" borderId="0" xfId="0" applyNumberFormat="1" applyFont="1" applyFill="1" applyAlignment="1">
      <alignment horizontal="fill"/>
    </xf>
    <xf numFmtId="42" fontId="22" fillId="0" borderId="0" xfId="0" applyNumberFormat="1" applyFont="1" applyFill="1" applyBorder="1" applyAlignment="1" applyProtection="1">
      <alignment horizontal="right"/>
      <protection locked="0"/>
    </xf>
    <xf numFmtId="0" fontId="22" fillId="0" borderId="0" xfId="0" applyNumberFormat="1" applyFont="1" applyFill="1" applyProtection="1">
      <protection locked="0"/>
    </xf>
    <xf numFmtId="173" fontId="22" fillId="0" borderId="0" xfId="0" applyNumberFormat="1" applyFont="1" applyFill="1"/>
    <xf numFmtId="172" fontId="22" fillId="0" borderId="0" xfId="3" applyNumberFormat="1" applyFont="1" applyFill="1" applyAlignment="1" applyProtection="1">
      <alignment vertical="center"/>
      <protection locked="0"/>
    </xf>
    <xf numFmtId="0" fontId="22" fillId="0" borderId="1" xfId="0" applyNumberFormat="1" applyFont="1" applyBorder="1" applyAlignment="1"/>
    <xf numFmtId="171" fontId="22" fillId="0" borderId="0" xfId="1" applyNumberFormat="1" applyFont="1" applyFill="1" applyAlignment="1"/>
    <xf numFmtId="3" fontId="22" fillId="0" borderId="0" xfId="0" applyNumberFormat="1" applyFont="1" applyBorder="1" applyAlignment="1"/>
    <xf numFmtId="0" fontId="22" fillId="0" borderId="0" xfId="0" applyNumberFormat="1" applyFont="1" applyAlignment="1">
      <alignment horizontal="centerContinuous"/>
    </xf>
    <xf numFmtId="0" fontId="22" fillId="0" borderId="1" xfId="0" applyNumberFormat="1" applyFont="1" applyFill="1" applyBorder="1" applyProtection="1">
      <protection locked="0"/>
    </xf>
    <xf numFmtId="0" fontId="22" fillId="0" borderId="1" xfId="0" applyNumberFormat="1" applyFont="1" applyFill="1" applyBorder="1"/>
    <xf numFmtId="3" fontId="22" fillId="0" borderId="0" xfId="0" applyNumberFormat="1" applyFont="1" applyFill="1" applyAlignment="1">
      <alignment horizontal="center"/>
    </xf>
    <xf numFmtId="49" fontId="22" fillId="0" borderId="0" xfId="0" applyNumberFormat="1" applyFont="1" applyFill="1"/>
    <xf numFmtId="49" fontId="22" fillId="0" borderId="0" xfId="0" applyNumberFormat="1" applyFont="1" applyFill="1" applyAlignment="1"/>
    <xf numFmtId="49" fontId="22" fillId="0" borderId="0" xfId="0" applyNumberFormat="1" applyFont="1" applyFill="1" applyBorder="1" applyAlignment="1"/>
    <xf numFmtId="165" fontId="22" fillId="0" borderId="0" xfId="0" applyNumberFormat="1" applyFont="1" applyFill="1" applyAlignment="1">
      <alignment horizontal="right"/>
    </xf>
    <xf numFmtId="3" fontId="22" fillId="0" borderId="1" xfId="0" applyNumberFormat="1" applyFont="1" applyFill="1" applyBorder="1" applyAlignment="1"/>
    <xf numFmtId="170" fontId="22" fillId="0" borderId="0" xfId="0" applyNumberFormat="1" applyFont="1" applyAlignment="1" applyProtection="1">
      <protection locked="0"/>
    </xf>
    <xf numFmtId="170" fontId="22" fillId="0" borderId="0" xfId="0" applyNumberFormat="1" applyFont="1" applyFill="1" applyAlignment="1" applyProtection="1"/>
    <xf numFmtId="169" fontId="22" fillId="0" borderId="0" xfId="0" applyNumberFormat="1" applyFont="1" applyAlignment="1" applyProtection="1">
      <alignment horizontal="right"/>
      <protection locked="0"/>
    </xf>
    <xf numFmtId="169" fontId="22" fillId="0" borderId="0" xfId="0" applyNumberFormat="1" applyFont="1" applyProtection="1">
      <protection locked="0"/>
    </xf>
    <xf numFmtId="3" fontId="22" fillId="0" borderId="0" xfId="0" applyNumberFormat="1" applyFont="1" applyFill="1" applyAlignment="1" applyProtection="1"/>
    <xf numFmtId="4" fontId="22" fillId="0" borderId="0" xfId="14" applyNumberFormat="1" applyFont="1" applyFill="1" applyAlignment="1">
      <alignment horizontal="center"/>
    </xf>
    <xf numFmtId="4" fontId="22" fillId="0" borderId="0" xfId="14" applyNumberFormat="1" applyFont="1" applyFill="1" applyAlignment="1"/>
    <xf numFmtId="10" fontId="22" fillId="0" borderId="0" xfId="14" applyNumberFormat="1" applyFont="1" applyFill="1" applyAlignment="1"/>
    <xf numFmtId="4" fontId="22" fillId="0" borderId="0" xfId="14" applyNumberFormat="1" applyFont="1" applyFill="1" applyBorder="1" applyAlignment="1"/>
    <xf numFmtId="4" fontId="4" fillId="0" borderId="0" xfId="14" applyNumberFormat="1" applyFont="1" applyFill="1" applyAlignment="1"/>
    <xf numFmtId="3" fontId="4" fillId="0" borderId="0" xfId="14" applyNumberFormat="1" applyFont="1" applyFill="1" applyAlignment="1">
      <alignment horizontal="left"/>
    </xf>
    <xf numFmtId="170" fontId="22" fillId="0" borderId="0" xfId="0" applyNumberFormat="1" applyFont="1" applyFill="1"/>
    <xf numFmtId="43" fontId="22" fillId="0" borderId="0" xfId="1" applyFont="1" applyFill="1"/>
    <xf numFmtId="3" fontId="22" fillId="0" borderId="0" xfId="14" applyNumberFormat="1" applyFont="1" applyFill="1" applyAlignment="1">
      <alignment horizontal="left"/>
    </xf>
    <xf numFmtId="43" fontId="22" fillId="0" borderId="0" xfId="0" applyNumberFormat="1" applyFont="1"/>
    <xf numFmtId="43" fontId="22" fillId="0" borderId="0" xfId="0" applyNumberFormat="1" applyFont="1" applyFill="1" applyBorder="1"/>
    <xf numFmtId="3" fontId="22" fillId="0" borderId="0" xfId="14" applyNumberFormat="1" applyFont="1" applyFill="1" applyBorder="1" applyAlignment="1">
      <alignment horizontal="left"/>
    </xf>
    <xf numFmtId="170" fontId="34" fillId="2" borderId="11" xfId="0" applyNumberFormat="1" applyFont="1" applyFill="1" applyBorder="1" applyAlignment="1"/>
    <xf numFmtId="172" fontId="40" fillId="2" borderId="0" xfId="3" applyNumberFormat="1" applyFont="1" applyFill="1" applyBorder="1" applyAlignment="1" applyProtection="1">
      <alignment vertical="center"/>
      <protection locked="0"/>
    </xf>
    <xf numFmtId="172" fontId="40" fillId="0" borderId="0" xfId="0" applyNumberFormat="1" applyFont="1" applyFill="1" applyBorder="1" applyAlignment="1"/>
    <xf numFmtId="172" fontId="40" fillId="2" borderId="10" xfId="3" applyNumberFormat="1" applyFont="1" applyFill="1" applyBorder="1" applyAlignment="1"/>
    <xf numFmtId="10" fontId="9" fillId="0" borderId="0" xfId="15" applyNumberFormat="1" applyFont="1" applyFill="1" applyBorder="1" applyAlignment="1" applyProtection="1">
      <alignment vertical="center"/>
      <protection locked="0"/>
    </xf>
    <xf numFmtId="172" fontId="9" fillId="0" borderId="0" xfId="0" applyNumberFormat="1" applyFont="1" applyFill="1" applyBorder="1" applyAlignment="1"/>
    <xf numFmtId="172" fontId="9" fillId="0" borderId="0" xfId="3" applyNumberFormat="1" applyFont="1" applyFill="1" applyBorder="1" applyAlignment="1"/>
    <xf numFmtId="172" fontId="9" fillId="0" borderId="0" xfId="3" applyNumberFormat="1" applyFont="1" applyFill="1" applyBorder="1" applyAlignment="1" applyProtection="1">
      <alignment vertical="center"/>
      <protection locked="0"/>
    </xf>
    <xf numFmtId="170" fontId="29" fillId="0" borderId="0" xfId="0" applyNumberFormat="1" applyFont="1" applyBorder="1" applyAlignment="1"/>
    <xf numFmtId="170" fontId="32" fillId="0" borderId="1" xfId="0" applyNumberFormat="1" applyFont="1" applyBorder="1" applyAlignment="1"/>
    <xf numFmtId="170" fontId="29" fillId="0" borderId="1" xfId="0" applyNumberFormat="1" applyFont="1" applyBorder="1" applyAlignment="1">
      <alignment horizontal="center"/>
    </xf>
    <xf numFmtId="170" fontId="29" fillId="0" borderId="1" xfId="0" applyNumberFormat="1" applyFont="1" applyFill="1" applyBorder="1" applyAlignment="1">
      <alignment horizontal="center"/>
    </xf>
    <xf numFmtId="170" fontId="32" fillId="0" borderId="0" xfId="0" applyNumberFormat="1" applyFont="1" applyFill="1" applyBorder="1" applyAlignment="1"/>
    <xf numFmtId="169" fontId="32" fillId="0" borderId="0" xfId="0" applyNumberFormat="1" applyFont="1" applyBorder="1" applyAlignment="1"/>
    <xf numFmtId="0" fontId="32" fillId="0" borderId="0" xfId="0" applyNumberFormat="1" applyFont="1" applyAlignment="1"/>
    <xf numFmtId="41" fontId="4" fillId="0" borderId="0" xfId="9" applyNumberFormat="1" applyFont="1" applyFill="1" applyBorder="1" applyAlignment="1" applyProtection="1">
      <protection locked="0"/>
    </xf>
    <xf numFmtId="177" fontId="32" fillId="0" borderId="0" xfId="0" quotePrefix="1" applyNumberFormat="1" applyFont="1" applyFill="1" applyAlignment="1">
      <alignment horizontal="left"/>
    </xf>
    <xf numFmtId="170" fontId="22" fillId="0" borderId="0" xfId="0" applyNumberFormat="1" applyFont="1" applyBorder="1" applyAlignment="1"/>
    <xf numFmtId="41" fontId="22" fillId="0" borderId="0" xfId="9" applyNumberFormat="1" applyFont="1" applyFill="1" applyAlignment="1" applyProtection="1">
      <alignment vertical="center"/>
      <protection locked="0"/>
    </xf>
    <xf numFmtId="41" fontId="22" fillId="0" borderId="0" xfId="9" applyNumberFormat="1" applyFont="1" applyFill="1" applyAlignment="1" applyProtection="1">
      <protection locked="0"/>
    </xf>
    <xf numFmtId="0" fontId="9" fillId="0" borderId="0" xfId="8" applyFont="1" applyAlignment="1">
      <alignment wrapText="1"/>
    </xf>
    <xf numFmtId="0" fontId="9" fillId="0" borderId="3" xfId="8" applyFont="1" applyFill="1" applyBorder="1"/>
    <xf numFmtId="173" fontId="3" fillId="0" borderId="3" xfId="0" applyNumberFormat="1" applyFont="1" applyFill="1" applyBorder="1" applyAlignment="1"/>
    <xf numFmtId="10" fontId="3" fillId="0" borderId="3" xfId="15" applyNumberFormat="1" applyFont="1" applyFill="1" applyBorder="1" applyAlignment="1"/>
    <xf numFmtId="10" fontId="3" fillId="0" borderId="3" xfId="0" quotePrefix="1" applyNumberFormat="1" applyFont="1" applyFill="1" applyBorder="1" applyAlignment="1">
      <alignment horizontal="center"/>
    </xf>
    <xf numFmtId="170" fontId="3" fillId="0" borderId="3" xfId="0" applyNumberFormat="1" applyFont="1" applyFill="1" applyBorder="1" applyAlignment="1"/>
    <xf numFmtId="172" fontId="3" fillId="0" borderId="3" xfId="3" applyNumberFormat="1" applyFont="1" applyFill="1" applyBorder="1" applyAlignment="1">
      <alignment horizontal="center"/>
    </xf>
    <xf numFmtId="170" fontId="3" fillId="0" borderId="13" xfId="0" applyNumberFormat="1" applyFont="1" applyFill="1" applyBorder="1" applyAlignment="1"/>
    <xf numFmtId="0" fontId="11" fillId="0" borderId="0" xfId="8" applyFont="1" applyFill="1" applyBorder="1" applyAlignment="1">
      <alignment horizontal="center" wrapText="1"/>
    </xf>
    <xf numFmtId="171" fontId="32" fillId="0" borderId="0" xfId="1" applyNumberFormat="1" applyFont="1" applyBorder="1" applyAlignment="1">
      <alignment horizontal="left"/>
    </xf>
    <xf numFmtId="0" fontId="9" fillId="0" borderId="0" xfId="6" applyFont="1" applyFill="1" applyAlignment="1">
      <alignment horizontal="center"/>
    </xf>
    <xf numFmtId="0" fontId="9" fillId="0" borderId="0" xfId="6" applyFont="1" applyAlignment="1">
      <alignment horizontal="left"/>
    </xf>
    <xf numFmtId="0" fontId="9" fillId="0" borderId="0" xfId="6" applyFont="1" applyAlignment="1">
      <alignment horizontal="center"/>
    </xf>
    <xf numFmtId="0" fontId="9" fillId="0" borderId="0" xfId="6" applyFont="1" applyFill="1"/>
    <xf numFmtId="0" fontId="6" fillId="0" borderId="0" xfId="6" applyFont="1" applyBorder="1" applyAlignment="1">
      <alignment horizontal="left" vertical="center"/>
    </xf>
    <xf numFmtId="0" fontId="6" fillId="0" borderId="0" xfId="6" applyFont="1" applyFill="1" applyBorder="1" applyAlignment="1">
      <alignment horizontal="left" vertical="center"/>
    </xf>
    <xf numFmtId="0" fontId="42" fillId="0" borderId="0" xfId="6" applyFont="1" applyFill="1" applyBorder="1" applyAlignment="1">
      <alignment horizontal="left" vertical="center"/>
    </xf>
    <xf numFmtId="0" fontId="42" fillId="0" borderId="0" xfId="6" applyFont="1" applyFill="1" applyBorder="1" applyAlignment="1">
      <alignment vertical="center"/>
    </xf>
    <xf numFmtId="0" fontId="6" fillId="0" borderId="0" xfId="6" applyFont="1" applyBorder="1" applyAlignment="1">
      <alignment vertical="center"/>
    </xf>
    <xf numFmtId="0" fontId="6" fillId="0" borderId="0" xfId="6" applyFont="1" applyFill="1" applyBorder="1" applyAlignment="1">
      <alignment vertical="center"/>
    </xf>
    <xf numFmtId="0" fontId="6" fillId="0" borderId="0" xfId="6" applyFont="1" applyFill="1" applyBorder="1"/>
    <xf numFmtId="0" fontId="41" fillId="0" borderId="0" xfId="6" applyFont="1" applyFill="1" applyBorder="1"/>
    <xf numFmtId="37" fontId="9" fillId="0" borderId="0" xfId="6" applyNumberFormat="1" applyFont="1" applyFill="1"/>
    <xf numFmtId="0" fontId="41" fillId="0" borderId="0" xfId="6" applyFont="1" applyFill="1" applyBorder="1" applyAlignment="1">
      <alignment horizontal="left"/>
    </xf>
    <xf numFmtId="0" fontId="4" fillId="0" borderId="0" xfId="0" applyNumberFormat="1" applyFont="1" applyProtection="1">
      <protection locked="0"/>
    </xf>
    <xf numFmtId="0" fontId="4" fillId="0" borderId="0" xfId="0" applyNumberFormat="1" applyFont="1" applyFill="1" applyAlignment="1" applyProtection="1">
      <alignment horizontal="right"/>
      <protection locked="0"/>
    </xf>
    <xf numFmtId="10" fontId="4" fillId="2" borderId="0" xfId="0" applyNumberFormat="1" applyFont="1" applyFill="1" applyProtection="1">
      <protection locked="0"/>
    </xf>
    <xf numFmtId="0" fontId="4" fillId="0" borderId="0" xfId="0" applyNumberFormat="1" applyFont="1" applyAlignment="1" applyProtection="1">
      <protection locked="0"/>
    </xf>
    <xf numFmtId="170" fontId="22" fillId="0" borderId="0" xfId="0" quotePrefix="1" applyNumberFormat="1" applyFont="1" applyAlignment="1">
      <alignment horizontal="center"/>
    </xf>
    <xf numFmtId="173" fontId="22" fillId="0" borderId="0" xfId="15" applyNumberFormat="1" applyFont="1" applyFill="1" applyBorder="1" applyAlignment="1" applyProtection="1">
      <alignment horizontal="right"/>
      <protection locked="0"/>
    </xf>
    <xf numFmtId="0" fontId="9" fillId="0" borderId="0" xfId="8" applyFont="1" applyAlignment="1"/>
    <xf numFmtId="0" fontId="11" fillId="0" borderId="1" xfId="8" applyFont="1" applyFill="1" applyBorder="1" applyAlignment="1">
      <alignment horizontal="center" wrapText="1"/>
    </xf>
    <xf numFmtId="0" fontId="11" fillId="0" borderId="0" xfId="8" quotePrefix="1" applyFont="1" applyFill="1" applyBorder="1" applyAlignment="1">
      <alignment horizontal="center" wrapText="1"/>
    </xf>
    <xf numFmtId="42" fontId="9" fillId="0" borderId="0" xfId="8" applyNumberFormat="1" applyFont="1" applyFill="1" applyAlignment="1">
      <alignment horizontal="right"/>
    </xf>
    <xf numFmtId="172" fontId="9" fillId="0" borderId="13" xfId="3" applyNumberFormat="1" applyFont="1" applyFill="1" applyBorder="1" applyAlignment="1">
      <alignment horizontal="right"/>
    </xf>
    <xf numFmtId="0" fontId="9" fillId="0" borderId="0" xfId="8" applyFont="1" applyFill="1" applyBorder="1" applyAlignment="1">
      <alignment wrapText="1"/>
    </xf>
    <xf numFmtId="173" fontId="9" fillId="0" borderId="0" xfId="15" applyNumberFormat="1" applyFont="1" applyAlignment="1">
      <alignment wrapText="1"/>
    </xf>
    <xf numFmtId="0" fontId="9" fillId="0" borderId="0" xfId="8" applyFont="1" applyAlignment="1">
      <alignment horizontal="left"/>
    </xf>
    <xf numFmtId="173" fontId="9" fillId="0" borderId="0" xfId="15" applyNumberFormat="1" applyFont="1" applyFill="1" applyBorder="1" applyAlignment="1">
      <alignment wrapText="1"/>
    </xf>
    <xf numFmtId="173" fontId="9" fillId="0" borderId="0" xfId="8" applyNumberFormat="1" applyFont="1" applyAlignment="1">
      <alignment wrapText="1"/>
    </xf>
    <xf numFmtId="173" fontId="9" fillId="0" borderId="0" xfId="8" applyNumberFormat="1" applyFont="1" applyFill="1" applyBorder="1" applyAlignment="1">
      <alignment wrapText="1"/>
    </xf>
    <xf numFmtId="42" fontId="9" fillId="0" borderId="0" xfId="8" applyNumberFormat="1" applyFont="1" applyFill="1" applyAlignment="1"/>
    <xf numFmtId="171" fontId="9" fillId="0" borderId="0" xfId="1" applyNumberFormat="1" applyFont="1" applyFill="1" applyAlignment="1">
      <alignment horizontal="right"/>
    </xf>
    <xf numFmtId="170" fontId="27" fillId="0" borderId="0" xfId="0" applyNumberFormat="1" applyFont="1" applyFill="1" applyBorder="1" applyAlignment="1"/>
    <xf numFmtId="44" fontId="3" fillId="0" borderId="0" xfId="3" quotePrefix="1" applyFont="1" applyFill="1" applyAlignment="1">
      <alignment horizontal="center"/>
    </xf>
    <xf numFmtId="44" fontId="3" fillId="0" borderId="3" xfId="3" quotePrefix="1" applyFont="1" applyFill="1" applyBorder="1" applyAlignment="1">
      <alignment horizontal="center"/>
    </xf>
    <xf numFmtId="170" fontId="27" fillId="0" borderId="20" xfId="0" applyNumberFormat="1" applyFont="1" applyFill="1" applyBorder="1" applyAlignment="1"/>
    <xf numFmtId="170" fontId="3" fillId="0" borderId="20" xfId="0" applyNumberFormat="1" applyFont="1" applyFill="1" applyBorder="1" applyAlignment="1"/>
    <xf numFmtId="172" fontId="3" fillId="0" borderId="20" xfId="3" applyNumberFormat="1" applyFont="1" applyFill="1" applyBorder="1" applyAlignment="1"/>
    <xf numFmtId="165" fontId="22" fillId="0" borderId="0" xfId="0" applyNumberFormat="1" applyFont="1" applyFill="1" applyBorder="1" applyAlignment="1"/>
    <xf numFmtId="41" fontId="22" fillId="0" borderId="3" xfId="0" applyNumberFormat="1" applyFont="1" applyFill="1" applyBorder="1" applyAlignment="1"/>
    <xf numFmtId="171" fontId="22" fillId="0" borderId="3" xfId="1" applyNumberFormat="1" applyFont="1" applyFill="1" applyBorder="1" applyAlignment="1"/>
    <xf numFmtId="0" fontId="6" fillId="0" borderId="1" xfId="0" applyNumberFormat="1" applyFont="1" applyBorder="1" applyAlignment="1">
      <alignment horizontal="center"/>
    </xf>
    <xf numFmtId="170" fontId="2" fillId="0" borderId="0" xfId="0" applyNumberFormat="1" applyFont="1"/>
    <xf numFmtId="43" fontId="9" fillId="0" borderId="0" xfId="1" applyFont="1" applyFill="1"/>
    <xf numFmtId="0" fontId="4" fillId="0" borderId="0" xfId="9" applyNumberFormat="1" applyFont="1" applyFill="1" applyAlignment="1" applyProtection="1">
      <protection locked="0"/>
    </xf>
    <xf numFmtId="170" fontId="11" fillId="0" borderId="0" xfId="0" applyNumberFormat="1" applyFont="1" applyFill="1" applyBorder="1" applyAlignment="1">
      <alignment horizontal="center"/>
    </xf>
    <xf numFmtId="170" fontId="0" fillId="0" borderId="0" xfId="0" applyNumberFormat="1"/>
    <xf numFmtId="170" fontId="29" fillId="0" borderId="0" xfId="0" applyNumberFormat="1" applyFont="1"/>
    <xf numFmtId="170" fontId="2" fillId="0" borderId="0" xfId="0" applyNumberFormat="1" applyFont="1" applyFill="1"/>
    <xf numFmtId="170" fontId="0" fillId="0" borderId="0" xfId="0" applyNumberFormat="1" applyBorder="1" applyAlignment="1">
      <alignment horizontal="center"/>
    </xf>
    <xf numFmtId="41" fontId="43" fillId="0" borderId="0" xfId="0" applyNumberFormat="1" applyFont="1" applyFill="1" applyAlignment="1"/>
    <xf numFmtId="170" fontId="4" fillId="0" borderId="1" xfId="0" applyNumberFormat="1" applyFont="1" applyBorder="1" applyAlignment="1"/>
    <xf numFmtId="41" fontId="22" fillId="0" borderId="0" xfId="9" applyNumberFormat="1" applyFont="1" applyFill="1" applyBorder="1" applyAlignment="1" applyProtection="1">
      <protection locked="0"/>
    </xf>
    <xf numFmtId="41" fontId="22" fillId="0" borderId="1" xfId="9" applyNumberFormat="1" applyFont="1" applyFill="1" applyBorder="1" applyAlignment="1" applyProtection="1">
      <protection locked="0"/>
    </xf>
    <xf numFmtId="164" fontId="23" fillId="0" borderId="0" xfId="0" applyNumberFormat="1" applyFont="1" applyAlignment="1">
      <alignment horizontal="left"/>
    </xf>
    <xf numFmtId="7" fontId="0" fillId="0" borderId="0" xfId="0" applyNumberFormat="1"/>
    <xf numFmtId="7" fontId="48" fillId="0" borderId="0" xfId="0" applyNumberFormat="1" applyFont="1" applyAlignment="1">
      <alignment horizontal="center"/>
    </xf>
    <xf numFmtId="43" fontId="37" fillId="0" borderId="0" xfId="0" applyNumberFormat="1" applyFont="1" applyBorder="1"/>
    <xf numFmtId="170" fontId="0" fillId="0" borderId="0" xfId="0" applyNumberFormat="1" applyFill="1" applyBorder="1"/>
    <xf numFmtId="170" fontId="0" fillId="0" borderId="0" xfId="0" applyNumberFormat="1" applyFill="1"/>
    <xf numFmtId="7" fontId="0" fillId="0" borderId="0" xfId="0" applyNumberFormat="1" applyBorder="1"/>
    <xf numFmtId="7" fontId="3" fillId="0" borderId="0" xfId="0" applyNumberFormat="1" applyFont="1"/>
    <xf numFmtId="41" fontId="22" fillId="0" borderId="0" xfId="3" applyNumberFormat="1" applyFont="1" applyFill="1" applyAlignment="1"/>
    <xf numFmtId="41" fontId="22" fillId="0" borderId="1" xfId="3" applyNumberFormat="1" applyFont="1" applyFill="1" applyBorder="1" applyAlignment="1"/>
    <xf numFmtId="41" fontId="22" fillId="0" borderId="1" xfId="3" applyNumberFormat="1" applyFont="1" applyFill="1" applyBorder="1" applyAlignment="1" applyProtection="1">
      <protection locked="0"/>
    </xf>
    <xf numFmtId="3" fontId="23" fillId="0" borderId="0" xfId="0" applyNumberFormat="1" applyFont="1" applyAlignment="1"/>
    <xf numFmtId="172" fontId="4" fillId="0" borderId="0" xfId="9" applyNumberFormat="1" applyFont="1" applyFill="1" applyAlignment="1" applyProtection="1">
      <protection locked="0"/>
    </xf>
    <xf numFmtId="41" fontId="4" fillId="0" borderId="1" xfId="0" applyNumberFormat="1" applyFont="1" applyFill="1" applyBorder="1" applyAlignment="1"/>
    <xf numFmtId="3" fontId="22" fillId="0" borderId="3" xfId="0" applyNumberFormat="1" applyFont="1" applyFill="1" applyBorder="1" applyAlignment="1"/>
    <xf numFmtId="170" fontId="50" fillId="0" borderId="0" xfId="0" applyNumberFormat="1" applyFont="1" applyAlignment="1"/>
    <xf numFmtId="170" fontId="43" fillId="0" borderId="0" xfId="0" applyNumberFormat="1" applyFont="1" applyAlignment="1"/>
    <xf numFmtId="172" fontId="4" fillId="0" borderId="0" xfId="3" applyNumberFormat="1" applyFont="1" applyFill="1" applyAlignment="1" applyProtection="1">
      <protection locked="0"/>
    </xf>
    <xf numFmtId="171" fontId="4" fillId="0" borderId="0" xfId="1" applyNumberFormat="1" applyFont="1" applyFill="1"/>
    <xf numFmtId="180" fontId="4" fillId="0" borderId="0" xfId="2" applyNumberFormat="1" applyFont="1" applyFill="1" applyBorder="1" applyAlignment="1"/>
    <xf numFmtId="42" fontId="4" fillId="0" borderId="0" xfId="6" applyNumberFormat="1" applyFont="1"/>
    <xf numFmtId="41" fontId="38" fillId="0" borderId="0" xfId="6" applyNumberFormat="1" applyFont="1" applyFill="1" applyAlignment="1">
      <alignment vertical="center"/>
    </xf>
    <xf numFmtId="0" fontId="9" fillId="0" borderId="0" xfId="6" applyFont="1" applyFill="1" applyAlignment="1">
      <alignment horizontal="left"/>
    </xf>
    <xf numFmtId="0" fontId="4" fillId="0" borderId="0" xfId="6" applyFont="1" applyFill="1" applyBorder="1" applyAlignment="1">
      <alignment vertical="center"/>
    </xf>
    <xf numFmtId="41" fontId="38" fillId="0" borderId="3" xfId="6" applyNumberFormat="1" applyFont="1" applyBorder="1" applyAlignment="1">
      <alignment vertical="center"/>
    </xf>
    <xf numFmtId="41" fontId="12" fillId="0" borderId="0" xfId="6" applyNumberFormat="1" applyFont="1" applyFill="1" applyAlignment="1">
      <alignment horizontal="center" vertical="center"/>
    </xf>
    <xf numFmtId="3" fontId="23" fillId="0" borderId="0" xfId="0" applyNumberFormat="1" applyFont="1" applyFill="1" applyAlignment="1"/>
    <xf numFmtId="168" fontId="23" fillId="0" borderId="0" xfId="0" applyNumberFormat="1" applyFont="1" applyFill="1" applyAlignment="1"/>
    <xf numFmtId="170" fontId="27" fillId="0" borderId="0" xfId="0" applyNumberFormat="1" applyFont="1" applyBorder="1" applyAlignment="1">
      <alignment horizontal="center"/>
    </xf>
    <xf numFmtId="170" fontId="51" fillId="0" borderId="7" xfId="0" applyNumberFormat="1" applyFont="1" applyFill="1" applyBorder="1" applyAlignment="1"/>
    <xf numFmtId="170" fontId="3" fillId="0" borderId="7" xfId="0" applyNumberFormat="1" applyFont="1" applyFill="1" applyBorder="1" applyAlignment="1"/>
    <xf numFmtId="170" fontId="27" fillId="0" borderId="0" xfId="0" applyNumberFormat="1" applyFont="1" applyFill="1" applyBorder="1" applyAlignment="1">
      <alignment wrapText="1"/>
    </xf>
    <xf numFmtId="49" fontId="3" fillId="0" borderId="0" xfId="0" applyNumberFormat="1" applyFont="1" applyFill="1" applyBorder="1" applyAlignment="1">
      <alignment horizontal="center" wrapText="1"/>
    </xf>
    <xf numFmtId="170" fontId="3" fillId="0" borderId="10" xfId="0" applyNumberFormat="1" applyFont="1" applyFill="1" applyBorder="1" applyAlignment="1">
      <alignment horizontal="center"/>
    </xf>
    <xf numFmtId="170" fontId="51" fillId="0" borderId="9" xfId="0" applyNumberFormat="1" applyFont="1" applyFill="1" applyBorder="1" applyAlignment="1"/>
    <xf numFmtId="37" fontId="47" fillId="0" borderId="0" xfId="0" applyNumberFormat="1" applyFont="1"/>
    <xf numFmtId="0" fontId="47" fillId="0" borderId="0" xfId="0" applyNumberFormat="1" applyFont="1" applyFill="1"/>
    <xf numFmtId="170" fontId="3" fillId="0" borderId="9" xfId="0" applyNumberFormat="1" applyFont="1" applyFill="1" applyBorder="1" applyAlignment="1"/>
    <xf numFmtId="10" fontId="4" fillId="0" borderId="0" xfId="0" applyNumberFormat="1" applyFont="1" applyFill="1" applyAlignment="1"/>
    <xf numFmtId="10" fontId="4" fillId="0" borderId="0" xfId="15" applyNumberFormat="1" applyFont="1" applyFill="1" applyAlignment="1"/>
    <xf numFmtId="10" fontId="4" fillId="0" borderId="1" xfId="15" applyNumberFormat="1" applyFont="1" applyFill="1" applyBorder="1" applyAlignment="1"/>
    <xf numFmtId="181" fontId="22" fillId="0" borderId="0" xfId="0" applyNumberFormat="1" applyFont="1" applyAlignment="1"/>
    <xf numFmtId="170" fontId="9" fillId="0" borderId="0" xfId="0" quotePrefix="1" applyNumberFormat="1" applyFont="1" applyAlignment="1">
      <alignment horizontal="center"/>
    </xf>
    <xf numFmtId="170" fontId="29" fillId="0" borderId="0" xfId="0" applyNumberFormat="1" applyFont="1" applyFill="1" applyAlignment="1">
      <alignment horizontal="center"/>
    </xf>
    <xf numFmtId="170" fontId="45" fillId="0" borderId="0" xfId="0" applyNumberFormat="1" applyFont="1" applyAlignment="1"/>
    <xf numFmtId="170" fontId="52" fillId="0" borderId="0" xfId="0" applyNumberFormat="1" applyFont="1" applyAlignment="1"/>
    <xf numFmtId="172" fontId="53" fillId="2" borderId="0" xfId="3" applyNumberFormat="1" applyFont="1" applyFill="1" applyBorder="1" applyAlignment="1" applyProtection="1">
      <alignment vertical="center"/>
      <protection locked="0"/>
    </xf>
    <xf numFmtId="171" fontId="22" fillId="0" borderId="0" xfId="3" applyNumberFormat="1" applyFont="1" applyAlignment="1"/>
    <xf numFmtId="164" fontId="4" fillId="0" borderId="0" xfId="9" applyNumberFormat="1" applyFont="1" applyFill="1" applyBorder="1" applyAlignment="1" applyProtection="1">
      <alignment horizontal="left"/>
      <protection locked="0"/>
    </xf>
    <xf numFmtId="170" fontId="4" fillId="0" borderId="0" xfId="9" applyFont="1" applyFill="1" applyBorder="1" applyAlignment="1" applyProtection="1">
      <protection locked="0"/>
    </xf>
    <xf numFmtId="0" fontId="4" fillId="0" borderId="0" xfId="9" applyNumberFormat="1" applyFont="1" applyFill="1" applyBorder="1" applyAlignment="1" applyProtection="1">
      <protection locked="0"/>
    </xf>
    <xf numFmtId="0" fontId="47" fillId="0" borderId="0" xfId="0" applyNumberFormat="1" applyFont="1"/>
    <xf numFmtId="172" fontId="3" fillId="0" borderId="0" xfId="0" applyNumberFormat="1" applyFont="1" applyFill="1" applyAlignment="1"/>
    <xf numFmtId="170" fontId="2" fillId="0" borderId="0" xfId="0" applyNumberFormat="1" applyFont="1" applyFill="1" applyAlignment="1"/>
    <xf numFmtId="170" fontId="2" fillId="0" borderId="0" xfId="0" applyNumberFormat="1" applyFont="1" applyFill="1" applyAlignment="1">
      <alignment horizontal="right"/>
    </xf>
    <xf numFmtId="173" fontId="6" fillId="0" borderId="0" xfId="0" quotePrefix="1" applyNumberFormat="1" applyFont="1" applyAlignment="1"/>
    <xf numFmtId="177" fontId="2" fillId="0" borderId="0" xfId="0" quotePrefix="1" applyNumberFormat="1" applyFont="1" applyFill="1" applyAlignment="1">
      <alignment horizontal="left"/>
    </xf>
    <xf numFmtId="0" fontId="51" fillId="0" borderId="7" xfId="0" applyNumberFormat="1" applyFont="1" applyFill="1" applyBorder="1" applyAlignment="1"/>
    <xf numFmtId="170" fontId="4" fillId="0" borderId="0" xfId="9" applyFont="1" applyAlignment="1"/>
    <xf numFmtId="0" fontId="2" fillId="0" borderId="0" xfId="9" applyNumberFormat="1" applyFont="1" applyAlignment="1" applyProtection="1">
      <alignment horizontal="center"/>
      <protection locked="0"/>
    </xf>
    <xf numFmtId="170" fontId="6" fillId="0" borderId="0" xfId="9" applyFont="1" applyAlignment="1">
      <alignment horizontal="center"/>
    </xf>
    <xf numFmtId="0" fontId="54" fillId="0" borderId="0" xfId="9" applyNumberFormat="1" applyFont="1" applyBorder="1" applyAlignment="1" applyProtection="1">
      <alignment horizontal="left"/>
      <protection locked="0"/>
    </xf>
    <xf numFmtId="0" fontId="2" fillId="0" borderId="0" xfId="9" applyNumberFormat="1" applyFont="1" applyFill="1" applyAlignment="1" applyProtection="1">
      <alignment horizontal="center"/>
      <protection locked="0"/>
    </xf>
    <xf numFmtId="170" fontId="2" fillId="0" borderId="0" xfId="9" applyFont="1" applyAlignment="1"/>
    <xf numFmtId="165" fontId="4" fillId="0" borderId="0" xfId="0" applyNumberFormat="1" applyFont="1" applyFill="1" applyAlignment="1"/>
    <xf numFmtId="41" fontId="4" fillId="0" borderId="0" xfId="0" applyNumberFormat="1" applyFont="1" applyAlignment="1"/>
    <xf numFmtId="174" fontId="4" fillId="0" borderId="0" xfId="1" applyNumberFormat="1" applyFont="1" applyFill="1" applyAlignment="1"/>
    <xf numFmtId="172" fontId="3" fillId="0" borderId="0" xfId="3" applyNumberFormat="1" applyFont="1" applyFill="1" applyBorder="1" applyAlignment="1">
      <alignment horizontal="right"/>
    </xf>
    <xf numFmtId="41" fontId="22" fillId="0" borderId="0" xfId="0" applyNumberFormat="1" applyFont="1" applyAlignment="1">
      <alignment horizontal="center"/>
    </xf>
    <xf numFmtId="173" fontId="3" fillId="0" borderId="0" xfId="0" applyNumberFormat="1" applyFont="1" applyAlignment="1"/>
    <xf numFmtId="164" fontId="22" fillId="0" borderId="0" xfId="0" applyNumberFormat="1" applyFont="1" applyAlignment="1"/>
    <xf numFmtId="169" fontId="22" fillId="0" borderId="0" xfId="0" applyNumberFormat="1" applyFont="1" applyFill="1"/>
    <xf numFmtId="170" fontId="33" fillId="0" borderId="4" xfId="0" applyNumberFormat="1" applyFont="1" applyBorder="1" applyAlignment="1">
      <alignment horizontal="center"/>
    </xf>
    <xf numFmtId="170" fontId="0" fillId="0" borderId="0" xfId="0" applyNumberFormat="1" applyAlignment="1">
      <alignment wrapText="1"/>
    </xf>
    <xf numFmtId="0" fontId="20" fillId="0" borderId="0" xfId="6" applyFont="1" applyAlignment="1">
      <alignment horizontal="right" vertical="center"/>
    </xf>
    <xf numFmtId="170" fontId="3" fillId="0" borderId="2" xfId="0" applyNumberFormat="1" applyFont="1" applyBorder="1" applyAlignment="1">
      <alignment horizontal="center"/>
    </xf>
    <xf numFmtId="41" fontId="22" fillId="0" borderId="0" xfId="3" applyNumberFormat="1" applyFont="1" applyAlignment="1"/>
    <xf numFmtId="41" fontId="22" fillId="0" borderId="3" xfId="1" applyNumberFormat="1" applyFont="1" applyFill="1" applyBorder="1" applyAlignment="1"/>
    <xf numFmtId="41" fontId="22" fillId="0" borderId="0" xfId="0" applyNumberFormat="1" applyFont="1" applyAlignment="1">
      <alignment horizontal="fill"/>
    </xf>
    <xf numFmtId="41" fontId="4" fillId="0" borderId="0" xfId="0" applyNumberFormat="1" applyFont="1"/>
    <xf numFmtId="41" fontId="4" fillId="0" borderId="0" xfId="0" applyNumberFormat="1" applyFont="1" applyAlignment="1">
      <alignment horizontal="center"/>
    </xf>
    <xf numFmtId="41" fontId="47" fillId="0" borderId="0" xfId="0" applyNumberFormat="1" applyFont="1" applyAlignment="1"/>
    <xf numFmtId="41" fontId="22" fillId="0" borderId="0" xfId="0" applyNumberFormat="1" applyFont="1"/>
    <xf numFmtId="41" fontId="22" fillId="0" borderId="0" xfId="0" applyNumberFormat="1" applyFont="1" applyAlignment="1" applyProtection="1">
      <alignment horizontal="center"/>
      <protection locked="0"/>
    </xf>
    <xf numFmtId="41" fontId="22" fillId="0" borderId="0" xfId="0" applyNumberFormat="1" applyFont="1" applyFill="1" applyAlignment="1" applyProtection="1">
      <alignment horizontal="center"/>
      <protection locked="0"/>
    </xf>
    <xf numFmtId="43" fontId="22" fillId="0" borderId="0" xfId="0" applyNumberFormat="1" applyFont="1" applyFill="1" applyAlignment="1"/>
    <xf numFmtId="42" fontId="22" fillId="0" borderId="0" xfId="0" applyNumberFormat="1" applyFont="1" applyFill="1" applyAlignment="1"/>
    <xf numFmtId="170" fontId="6" fillId="0" borderId="0" xfId="0" quotePrefix="1" applyNumberFormat="1" applyFont="1" applyFill="1" applyAlignment="1"/>
    <xf numFmtId="41" fontId="22" fillId="0" borderId="0" xfId="0" quotePrefix="1" applyNumberFormat="1" applyFont="1" applyFill="1" applyAlignment="1"/>
    <xf numFmtId="0" fontId="22" fillId="0" borderId="1" xfId="0" applyNumberFormat="1" applyFont="1" applyFill="1" applyBorder="1" applyAlignment="1" applyProtection="1">
      <alignment horizontal="center"/>
      <protection locked="0"/>
    </xf>
    <xf numFmtId="164" fontId="22" fillId="0" borderId="0" xfId="0" applyNumberFormat="1" applyFont="1" applyFill="1" applyAlignment="1">
      <alignment horizontal="left"/>
    </xf>
    <xf numFmtId="3" fontId="6" fillId="0" borderId="0" xfId="0" quotePrefix="1" applyNumberFormat="1" applyFont="1" applyFill="1" applyAlignment="1"/>
    <xf numFmtId="41" fontId="22" fillId="0" borderId="0" xfId="3" applyNumberFormat="1" applyFont="1" applyFill="1" applyBorder="1" applyAlignment="1"/>
    <xf numFmtId="41" fontId="22" fillId="0" borderId="3" xfId="3" applyNumberFormat="1" applyFont="1" applyFill="1" applyBorder="1" applyAlignment="1"/>
    <xf numFmtId="3" fontId="15" fillId="0" borderId="0" xfId="0" applyNumberFormat="1" applyFont="1" applyAlignment="1"/>
    <xf numFmtId="170" fontId="2" fillId="0" borderId="0" xfId="0" applyNumberFormat="1" applyFont="1" applyFill="1" applyBorder="1"/>
    <xf numFmtId="166" fontId="22" fillId="0" borderId="0" xfId="0" applyNumberFormat="1" applyFont="1" applyFill="1" applyAlignment="1">
      <alignment horizontal="center"/>
    </xf>
    <xf numFmtId="3" fontId="22" fillId="0" borderId="0" xfId="0" applyNumberFormat="1" applyFont="1" applyFill="1"/>
    <xf numFmtId="42" fontId="22" fillId="0" borderId="0" xfId="0" applyNumberFormat="1" applyFont="1" applyFill="1" applyAlignment="1">
      <alignment horizontal="right"/>
    </xf>
    <xf numFmtId="0" fontId="4" fillId="0" borderId="0" xfId="8" applyFont="1" applyFill="1"/>
    <xf numFmtId="170" fontId="56" fillId="0" borderId="0" xfId="0" applyNumberFormat="1" applyFont="1" applyAlignment="1">
      <alignment horizontal="center"/>
    </xf>
    <xf numFmtId="170" fontId="55" fillId="0" borderId="2" xfId="0" applyNumberFormat="1" applyFont="1" applyBorder="1" applyAlignment="1">
      <alignment horizontal="center"/>
    </xf>
    <xf numFmtId="42" fontId="0" fillId="0" borderId="0" xfId="0" applyNumberFormat="1" applyAlignment="1"/>
    <xf numFmtId="42" fontId="56" fillId="0" borderId="0" xfId="0" applyNumberFormat="1" applyFont="1" applyAlignment="1">
      <alignment horizontal="center"/>
    </xf>
    <xf numFmtId="170" fontId="55" fillId="0" borderId="0" xfId="0" applyNumberFormat="1" applyFont="1" applyBorder="1" applyAlignment="1">
      <alignment horizontal="center"/>
    </xf>
    <xf numFmtId="170" fontId="2" fillId="0" borderId="0" xfId="0" applyNumberFormat="1" applyFont="1" applyBorder="1" applyAlignment="1">
      <alignment horizontal="center"/>
    </xf>
    <xf numFmtId="170" fontId="57" fillId="0" borderId="0" xfId="0" applyNumberFormat="1" applyFont="1" applyBorder="1" applyAlignment="1">
      <alignment horizontal="center"/>
    </xf>
    <xf numFmtId="170" fontId="2" fillId="0" borderId="0" xfId="0" applyNumberFormat="1" applyFont="1" applyBorder="1" applyAlignment="1">
      <alignment horizontal="left"/>
    </xf>
    <xf numFmtId="170" fontId="57" fillId="0" borderId="0" xfId="0" applyNumberFormat="1" applyFont="1" applyBorder="1" applyAlignment="1">
      <alignment horizontal="left"/>
    </xf>
    <xf numFmtId="170" fontId="45" fillId="0" borderId="0" xfId="0" applyNumberFormat="1" applyFont="1" applyFill="1" applyAlignment="1"/>
    <xf numFmtId="170" fontId="58" fillId="0" borderId="0" xfId="0" applyNumberFormat="1" applyFont="1" applyAlignment="1"/>
    <xf numFmtId="170" fontId="15" fillId="0" borderId="0" xfId="0" applyNumberFormat="1" applyFont="1" applyAlignment="1"/>
    <xf numFmtId="41" fontId="43" fillId="0" borderId="0" xfId="9" applyNumberFormat="1" applyFont="1" applyFill="1" applyBorder="1" applyAlignment="1" applyProtection="1">
      <protection locked="0"/>
    </xf>
    <xf numFmtId="170" fontId="21" fillId="0" borderId="0" xfId="0" applyNumberFormat="1" applyFont="1" applyAlignment="1">
      <alignment horizontal="right"/>
    </xf>
    <xf numFmtId="170" fontId="59" fillId="0" borderId="0" xfId="0" applyNumberFormat="1" applyFont="1" applyFill="1" applyAlignment="1">
      <alignment horizontal="center"/>
    </xf>
    <xf numFmtId="170" fontId="59" fillId="0" borderId="0" xfId="0" quotePrefix="1" applyNumberFormat="1" applyFont="1" applyFill="1" applyAlignment="1">
      <alignment horizontal="center"/>
    </xf>
    <xf numFmtId="0" fontId="3" fillId="0" borderId="0" xfId="0" applyNumberFormat="1" applyFont="1" applyFill="1" applyBorder="1" applyAlignment="1">
      <alignment horizontal="center"/>
    </xf>
    <xf numFmtId="0" fontId="3" fillId="0" borderId="3" xfId="0" applyNumberFormat="1" applyFont="1" applyFill="1" applyBorder="1" applyAlignment="1">
      <alignment horizontal="center"/>
    </xf>
    <xf numFmtId="10" fontId="3" fillId="0" borderId="0" xfId="0" applyNumberFormat="1" applyFont="1" applyBorder="1" applyAlignment="1"/>
    <xf numFmtId="170" fontId="4" fillId="0" borderId="21" xfId="0" applyNumberFormat="1" applyFont="1" applyFill="1" applyBorder="1" applyAlignment="1">
      <alignment horizontal="right"/>
    </xf>
    <xf numFmtId="41" fontId="4" fillId="0" borderId="0" xfId="0" applyNumberFormat="1" applyFont="1" applyFill="1" applyBorder="1" applyAlignment="1">
      <alignment horizontal="center"/>
    </xf>
    <xf numFmtId="41" fontId="4" fillId="0" borderId="0" xfId="0" applyNumberFormat="1" applyFont="1" applyFill="1" applyBorder="1"/>
    <xf numFmtId="41" fontId="22" fillId="0" borderId="0" xfId="3" applyNumberFormat="1" applyFont="1" applyFill="1" applyProtection="1">
      <protection locked="0"/>
    </xf>
    <xf numFmtId="42" fontId="22" fillId="0" borderId="0" xfId="0" applyNumberFormat="1" applyFont="1" applyFill="1" applyBorder="1" applyAlignment="1">
      <alignment horizontal="right"/>
    </xf>
    <xf numFmtId="170" fontId="5" fillId="0" borderId="19" xfId="0" applyNumberFormat="1" applyFont="1" applyBorder="1" applyAlignment="1"/>
    <xf numFmtId="0" fontId="5" fillId="0" borderId="0" xfId="0" applyNumberFormat="1" applyFont="1" applyAlignment="1"/>
    <xf numFmtId="0" fontId="22" fillId="0" borderId="0" xfId="0" applyNumberFormat="1" applyFont="1" applyBorder="1"/>
    <xf numFmtId="41" fontId="22" fillId="0" borderId="0" xfId="3" applyNumberFormat="1" applyFont="1" applyFill="1" applyBorder="1" applyProtection="1">
      <protection locked="0"/>
    </xf>
    <xf numFmtId="41" fontId="22" fillId="0" borderId="0" xfId="0" applyNumberFormat="1" applyFont="1" applyFill="1" applyAlignment="1" applyProtection="1">
      <alignment horizontal="right"/>
      <protection locked="0"/>
    </xf>
    <xf numFmtId="41" fontId="22" fillId="0" borderId="0" xfId="0" applyNumberFormat="1" applyFont="1" applyFill="1" applyBorder="1" applyAlignment="1" applyProtection="1">
      <alignment horizontal="right"/>
      <protection locked="0"/>
    </xf>
    <xf numFmtId="42" fontId="22" fillId="0" borderId="0" xfId="0" applyNumberFormat="1" applyFont="1" applyAlignment="1"/>
    <xf numFmtId="3" fontId="47" fillId="0" borderId="0" xfId="0" applyNumberFormat="1" applyFont="1" applyFill="1" applyAlignment="1"/>
    <xf numFmtId="41" fontId="22" fillId="0" borderId="0" xfId="0" applyNumberFormat="1" applyFont="1" applyBorder="1" applyProtection="1">
      <protection locked="0"/>
    </xf>
    <xf numFmtId="41" fontId="22" fillId="0" borderId="0" xfId="3" quotePrefix="1" applyNumberFormat="1" applyFont="1" applyFill="1" applyBorder="1" applyAlignment="1" applyProtection="1">
      <alignment horizontal="right"/>
      <protection locked="0"/>
    </xf>
    <xf numFmtId="41" fontId="22" fillId="0" borderId="0" xfId="0" applyNumberFormat="1" applyFont="1" applyBorder="1" applyAlignment="1" applyProtection="1">
      <protection locked="0"/>
    </xf>
    <xf numFmtId="41" fontId="22" fillId="0" borderId="0" xfId="3" quotePrefix="1" applyNumberFormat="1" applyFont="1" applyFill="1" applyAlignment="1" applyProtection="1">
      <alignment horizontal="right"/>
      <protection locked="0"/>
    </xf>
    <xf numFmtId="41" fontId="22" fillId="0" borderId="0" xfId="0" applyNumberFormat="1" applyFont="1" applyFill="1" applyBorder="1" applyAlignment="1" applyProtection="1">
      <protection locked="0"/>
    </xf>
    <xf numFmtId="42" fontId="22" fillId="0" borderId="0" xfId="0" applyNumberFormat="1" applyFont="1" applyFill="1" applyAlignment="1" applyProtection="1">
      <protection locked="0"/>
    </xf>
    <xf numFmtId="0" fontId="22" fillId="0" borderId="0" xfId="0" applyNumberFormat="1" applyFont="1" applyBorder="1" applyAlignment="1"/>
    <xf numFmtId="41" fontId="22" fillId="0" borderId="0" xfId="1" applyNumberFormat="1" applyFont="1" applyFill="1" applyBorder="1" applyProtection="1">
      <protection locked="0"/>
    </xf>
    <xf numFmtId="41" fontId="22" fillId="0" borderId="0" xfId="0" applyNumberFormat="1" applyFont="1" applyBorder="1" applyAlignment="1" applyProtection="1">
      <alignment horizontal="fill"/>
      <protection locked="0"/>
    </xf>
    <xf numFmtId="42" fontId="6" fillId="0" borderId="0" xfId="0" applyNumberFormat="1" applyFont="1" applyFill="1" applyBorder="1" applyAlignment="1" applyProtection="1">
      <alignment horizontal="right"/>
      <protection locked="0"/>
    </xf>
    <xf numFmtId="3" fontId="22" fillId="0" borderId="0" xfId="0" applyNumberFormat="1" applyFont="1" applyBorder="1" applyAlignment="1">
      <alignment horizontal="fill"/>
    </xf>
    <xf numFmtId="0" fontId="22" fillId="0" borderId="0" xfId="0" applyNumberFormat="1" applyFont="1" applyFill="1" applyBorder="1" applyAlignment="1" applyProtection="1">
      <alignment horizontal="center"/>
      <protection locked="0"/>
    </xf>
    <xf numFmtId="170" fontId="19" fillId="0" borderId="0" xfId="0" applyNumberFormat="1" applyFont="1" applyFill="1" applyBorder="1" applyAlignment="1"/>
    <xf numFmtId="0" fontId="22" fillId="0" borderId="0" xfId="0" applyNumberFormat="1" applyFont="1" applyFill="1" applyBorder="1" applyAlignment="1"/>
    <xf numFmtId="3" fontId="22" fillId="0" borderId="0" xfId="0" applyNumberFormat="1" applyFont="1" applyFill="1" applyBorder="1" applyAlignment="1">
      <alignment horizontal="fill"/>
    </xf>
    <xf numFmtId="170" fontId="14" fillId="0" borderId="0" xfId="0" applyNumberFormat="1" applyFont="1" applyFill="1" applyBorder="1" applyAlignment="1"/>
    <xf numFmtId="172" fontId="22" fillId="0" borderId="0" xfId="3" applyNumberFormat="1" applyFont="1" applyFill="1" applyBorder="1"/>
    <xf numFmtId="42" fontId="22" fillId="0" borderId="0" xfId="3" applyNumberFormat="1" applyFont="1" applyFill="1" applyProtection="1">
      <protection locked="0"/>
    </xf>
    <xf numFmtId="173" fontId="22" fillId="0" borderId="0" xfId="1" applyNumberFormat="1" applyFont="1" applyFill="1" applyBorder="1" applyProtection="1">
      <protection locked="0"/>
    </xf>
    <xf numFmtId="173" fontId="22" fillId="0" borderId="0" xfId="15" applyNumberFormat="1" applyFont="1" applyFill="1" applyAlignment="1"/>
    <xf numFmtId="171" fontId="3" fillId="0" borderId="0" xfId="1" applyNumberFormat="1" applyFont="1" applyFill="1" applyBorder="1"/>
    <xf numFmtId="42" fontId="11" fillId="0" borderId="13" xfId="3" applyNumberFormat="1" applyFont="1" applyFill="1" applyBorder="1" applyAlignment="1">
      <alignment horizontal="right"/>
    </xf>
    <xf numFmtId="172" fontId="43" fillId="0" borderId="0" xfId="3" applyNumberFormat="1" applyFont="1" applyFill="1"/>
    <xf numFmtId="171" fontId="3" fillId="0" borderId="0" xfId="1" applyNumberFormat="1" applyFont="1" applyFill="1" applyBorder="1" applyAlignment="1"/>
    <xf numFmtId="171" fontId="3" fillId="0" borderId="3" xfId="1" applyNumberFormat="1" applyFont="1" applyFill="1" applyBorder="1" applyAlignment="1"/>
    <xf numFmtId="170" fontId="3" fillId="2" borderId="3" xfId="0" applyNumberFormat="1" applyFont="1" applyFill="1" applyBorder="1" applyAlignment="1">
      <alignment horizontal="center"/>
    </xf>
    <xf numFmtId="171" fontId="60" fillId="0" borderId="0" xfId="1" applyNumberFormat="1" applyFont="1" applyFill="1" applyBorder="1"/>
    <xf numFmtId="170" fontId="29" fillId="0" borderId="0" xfId="0" quotePrefix="1" applyNumberFormat="1" applyFont="1" applyAlignment="1"/>
    <xf numFmtId="170" fontId="49" fillId="0" borderId="0" xfId="0" applyNumberFormat="1" applyFont="1" applyAlignment="1"/>
    <xf numFmtId="172" fontId="40" fillId="0" borderId="0" xfId="3" applyNumberFormat="1" applyFont="1" applyFill="1" applyBorder="1" applyAlignment="1" applyProtection="1">
      <alignment vertical="center"/>
      <protection locked="0"/>
    </xf>
    <xf numFmtId="172" fontId="40" fillId="0" borderId="10" xfId="3" applyNumberFormat="1" applyFont="1" applyFill="1" applyBorder="1" applyAlignment="1"/>
    <xf numFmtId="170" fontId="27" fillId="0" borderId="0" xfId="0" quotePrefix="1" applyNumberFormat="1" applyFont="1" applyAlignment="1"/>
    <xf numFmtId="169" fontId="32" fillId="0" borderId="0" xfId="0" applyNumberFormat="1" applyFont="1" applyFill="1" applyBorder="1" applyAlignment="1"/>
    <xf numFmtId="169" fontId="32" fillId="0" borderId="0" xfId="1" applyNumberFormat="1" applyFont="1" applyFill="1" applyBorder="1" applyAlignment="1"/>
    <xf numFmtId="175" fontId="32" fillId="0" borderId="0" xfId="1" applyNumberFormat="1" applyFont="1" applyFill="1" applyAlignment="1"/>
    <xf numFmtId="171" fontId="32" fillId="0" borderId="0" xfId="1" applyNumberFormat="1" applyFont="1" applyFill="1" applyAlignment="1"/>
    <xf numFmtId="41" fontId="4" fillId="0" borderId="3" xfId="0" applyNumberFormat="1" applyFont="1" applyFill="1" applyBorder="1" applyAlignment="1"/>
    <xf numFmtId="171" fontId="4" fillId="0" borderId="0" xfId="1" applyNumberFormat="1" applyFont="1" applyFill="1" applyAlignment="1" applyProtection="1">
      <protection locked="0"/>
    </xf>
    <xf numFmtId="172" fontId="32" fillId="0" borderId="0" xfId="3" applyNumberFormat="1" applyFont="1" applyFill="1" applyAlignment="1"/>
    <xf numFmtId="182" fontId="9" fillId="0" borderId="0" xfId="0" applyNumberFormat="1" applyFont="1" applyAlignment="1">
      <alignment horizontal="center"/>
    </xf>
    <xf numFmtId="0" fontId="38" fillId="0" borderId="0" xfId="6" applyFont="1" applyFill="1" applyAlignment="1">
      <alignment vertical="center" wrapText="1"/>
    </xf>
    <xf numFmtId="0" fontId="4" fillId="0" borderId="0" xfId="6" applyFont="1" applyFill="1" applyAlignment="1">
      <alignment vertical="center"/>
    </xf>
    <xf numFmtId="171" fontId="4" fillId="0" borderId="0" xfId="6" applyNumberFormat="1" applyFont="1" applyFill="1" applyBorder="1" applyAlignment="1">
      <alignment vertical="center"/>
    </xf>
    <xf numFmtId="41" fontId="4" fillId="0" borderId="0" xfId="6" applyNumberFormat="1" applyFont="1" applyFill="1" applyBorder="1" applyAlignment="1">
      <alignment vertical="center"/>
    </xf>
    <xf numFmtId="0" fontId="25" fillId="0" borderId="0" xfId="6" applyFont="1" applyFill="1" applyAlignment="1">
      <alignment horizontal="left" vertical="center"/>
    </xf>
    <xf numFmtId="171" fontId="4" fillId="0" borderId="3" xfId="6" applyNumberFormat="1" applyFont="1" applyFill="1" applyBorder="1" applyAlignment="1">
      <alignment vertical="center"/>
    </xf>
    <xf numFmtId="172" fontId="38" fillId="0" borderId="20" xfId="3" applyNumberFormat="1" applyFont="1" applyFill="1" applyBorder="1"/>
    <xf numFmtId="41" fontId="38" fillId="0" borderId="3" xfId="6" applyNumberFormat="1" applyFont="1" applyFill="1" applyBorder="1" applyAlignment="1">
      <alignment vertical="center"/>
    </xf>
    <xf numFmtId="43" fontId="4" fillId="0" borderId="21" xfId="0" applyNumberFormat="1" applyFont="1" applyFill="1" applyBorder="1" applyAlignment="1">
      <alignment horizontal="center"/>
    </xf>
    <xf numFmtId="171" fontId="4" fillId="0" borderId="21" xfId="0" applyNumberFormat="1" applyFont="1" applyBorder="1"/>
    <xf numFmtId="171" fontId="4" fillId="0" borderId="2" xfId="0" applyNumberFormat="1" applyFont="1" applyBorder="1"/>
    <xf numFmtId="43" fontId="4" fillId="0" borderId="16" xfId="0" applyNumberFormat="1" applyFont="1" applyFill="1" applyBorder="1" applyAlignment="1">
      <alignment horizontal="center"/>
    </xf>
    <xf numFmtId="171" fontId="4" fillId="0" borderId="16" xfId="0" applyNumberFormat="1" applyFont="1" applyBorder="1"/>
    <xf numFmtId="170" fontId="4" fillId="0" borderId="22" xfId="0" applyNumberFormat="1" applyFont="1" applyFill="1" applyBorder="1" applyAlignment="1">
      <alignment horizontal="right"/>
    </xf>
    <xf numFmtId="170" fontId="4" fillId="0" borderId="2" xfId="0" applyNumberFormat="1" applyFont="1" applyFill="1" applyBorder="1" applyAlignment="1">
      <alignment horizontal="right"/>
    </xf>
    <xf numFmtId="43" fontId="4" fillId="0" borderId="2" xfId="0" applyNumberFormat="1" applyFont="1" applyFill="1" applyBorder="1" applyAlignment="1">
      <alignment horizontal="center"/>
    </xf>
    <xf numFmtId="170" fontId="54" fillId="0" borderId="0" xfId="0" applyNumberFormat="1" applyFont="1"/>
    <xf numFmtId="42" fontId="4" fillId="0" borderId="0" xfId="0" applyNumberFormat="1" applyFont="1" applyBorder="1"/>
    <xf numFmtId="44" fontId="4" fillId="0" borderId="0" xfId="0" applyNumberFormat="1" applyFont="1" applyFill="1" applyBorder="1"/>
    <xf numFmtId="7" fontId="4" fillId="0" borderId="0" xfId="0" applyNumberFormat="1" applyFont="1" applyFill="1" applyBorder="1"/>
    <xf numFmtId="42" fontId="4" fillId="0" borderId="0" xfId="0" applyNumberFormat="1" applyFont="1" applyFill="1" applyBorder="1"/>
    <xf numFmtId="42" fontId="4" fillId="0" borderId="0" xfId="0" applyNumberFormat="1" applyFont="1" applyFill="1" applyBorder="1" applyAlignment="1">
      <alignment horizontal="center"/>
    </xf>
    <xf numFmtId="43" fontId="4" fillId="0" borderId="0" xfId="0" applyNumberFormat="1" applyFont="1" applyFill="1" applyBorder="1"/>
    <xf numFmtId="170" fontId="44" fillId="0" borderId="0" xfId="0" applyNumberFormat="1" applyFont="1"/>
    <xf numFmtId="170" fontId="11" fillId="0" borderId="12" xfId="0" applyNumberFormat="1" applyFont="1" applyBorder="1" applyAlignment="1">
      <alignment horizontal="center" wrapText="1"/>
    </xf>
    <xf numFmtId="10" fontId="22" fillId="0" borderId="21" xfId="15" applyNumberFormat="1" applyFont="1" applyFill="1" applyBorder="1"/>
    <xf numFmtId="171" fontId="22" fillId="0" borderId="2" xfId="1" applyNumberFormat="1" applyFont="1" applyFill="1" applyBorder="1"/>
    <xf numFmtId="171" fontId="22" fillId="0" borderId="11" xfId="0" applyNumberFormat="1" applyFont="1" applyFill="1" applyBorder="1"/>
    <xf numFmtId="171" fontId="22" fillId="0" borderId="21" xfId="0" applyNumberFormat="1" applyFont="1" applyFill="1" applyBorder="1"/>
    <xf numFmtId="170" fontId="32" fillId="0" borderId="0" xfId="0" applyNumberFormat="1" applyFont="1" applyAlignment="1">
      <alignment horizontal="left" vertical="top"/>
    </xf>
    <xf numFmtId="170" fontId="52" fillId="0" borderId="0" xfId="0" applyNumberFormat="1" applyFont="1" applyFill="1" applyAlignment="1"/>
    <xf numFmtId="41" fontId="22" fillId="0" borderId="6" xfId="15" applyNumberFormat="1" applyFont="1" applyFill="1" applyBorder="1"/>
    <xf numFmtId="10" fontId="4" fillId="0" borderId="8" xfId="15" applyNumberFormat="1" applyFont="1" applyBorder="1"/>
    <xf numFmtId="10" fontId="4" fillId="0" borderId="0" xfId="15" applyNumberFormat="1" applyFont="1" applyBorder="1"/>
    <xf numFmtId="171" fontId="4" fillId="0" borderId="0" xfId="0" applyNumberFormat="1" applyFont="1" applyBorder="1"/>
    <xf numFmtId="10" fontId="4" fillId="0" borderId="23" xfId="15" applyNumberFormat="1" applyFont="1" applyBorder="1"/>
    <xf numFmtId="170" fontId="16" fillId="0" borderId="0" xfId="0" applyNumberFormat="1" applyFont="1"/>
    <xf numFmtId="170" fontId="62" fillId="0" borderId="0" xfId="0" applyNumberFormat="1" applyFont="1" applyFill="1"/>
    <xf numFmtId="172" fontId="0" fillId="0" borderId="0" xfId="3" applyNumberFormat="1" applyFont="1"/>
    <xf numFmtId="170" fontId="37" fillId="0" borderId="0" xfId="0" applyNumberFormat="1" applyFont="1"/>
    <xf numFmtId="172" fontId="37" fillId="0" borderId="0" xfId="3" applyNumberFormat="1" applyFont="1"/>
    <xf numFmtId="170" fontId="34" fillId="0" borderId="0" xfId="0" applyNumberFormat="1" applyFont="1"/>
    <xf numFmtId="170" fontId="40" fillId="0" borderId="0" xfId="0" applyNumberFormat="1" applyFont="1"/>
    <xf numFmtId="43" fontId="40" fillId="0" borderId="0" xfId="1" applyFont="1" applyFill="1"/>
    <xf numFmtId="172" fontId="9" fillId="0" borderId="0" xfId="3" applyNumberFormat="1" applyFont="1"/>
    <xf numFmtId="170" fontId="63" fillId="0" borderId="0" xfId="0" applyNumberFormat="1" applyFont="1"/>
    <xf numFmtId="172" fontId="9" fillId="0" borderId="0" xfId="3" applyNumberFormat="1" applyFont="1" applyBorder="1"/>
    <xf numFmtId="170" fontId="64" fillId="0" borderId="0" xfId="0" applyNumberFormat="1" applyFont="1" applyAlignment="1">
      <alignment horizontal="right"/>
    </xf>
    <xf numFmtId="170" fontId="64" fillId="0" borderId="0" xfId="0" applyNumberFormat="1" applyFont="1"/>
    <xf numFmtId="170" fontId="40" fillId="0" borderId="0" xfId="0" applyNumberFormat="1" applyFont="1" applyFill="1"/>
    <xf numFmtId="170" fontId="64" fillId="0" borderId="0" xfId="0" applyNumberFormat="1" applyFont="1" applyFill="1"/>
    <xf numFmtId="170" fontId="34" fillId="0" borderId="0" xfId="0" applyNumberFormat="1" applyFont="1" applyFill="1"/>
    <xf numFmtId="170" fontId="64" fillId="0" borderId="0" xfId="0" applyNumberFormat="1" applyFont="1" applyFill="1" applyAlignment="1">
      <alignment horizontal="left"/>
    </xf>
    <xf numFmtId="170" fontId="40" fillId="0" borderId="0" xfId="0" quotePrefix="1" applyNumberFormat="1" applyFont="1"/>
    <xf numFmtId="172" fontId="0" fillId="0" borderId="0" xfId="0" applyNumberFormat="1"/>
    <xf numFmtId="172" fontId="4" fillId="0" borderId="0" xfId="3" applyNumberFormat="1" applyFont="1"/>
    <xf numFmtId="170" fontId="57" fillId="0" borderId="0" xfId="0" applyNumberFormat="1" applyFont="1"/>
    <xf numFmtId="172" fontId="43" fillId="0" borderId="3" xfId="3" applyNumberFormat="1" applyFont="1" applyFill="1" applyBorder="1"/>
    <xf numFmtId="1" fontId="9" fillId="0" borderId="0" xfId="0" applyNumberFormat="1" applyFont="1"/>
    <xf numFmtId="42" fontId="22" fillId="0" borderId="0" xfId="3" quotePrefix="1" applyNumberFormat="1" applyFont="1" applyFill="1" applyBorder="1" applyAlignment="1" applyProtection="1">
      <alignment horizontal="right"/>
      <protection locked="0"/>
    </xf>
    <xf numFmtId="42" fontId="38" fillId="0" borderId="0" xfId="0" applyNumberFormat="1" applyFont="1"/>
    <xf numFmtId="172" fontId="38" fillId="0" borderId="24" xfId="3" applyNumberFormat="1" applyFont="1" applyBorder="1"/>
    <xf numFmtId="170" fontId="21" fillId="0" borderId="0" xfId="0" applyNumberFormat="1" applyFont="1" applyAlignment="1"/>
    <xf numFmtId="41" fontId="43" fillId="0" borderId="0" xfId="3" applyNumberFormat="1" applyFont="1" applyFill="1"/>
    <xf numFmtId="42" fontId="57" fillId="0" borderId="0" xfId="3" applyNumberFormat="1" applyFont="1"/>
    <xf numFmtId="42" fontId="4" fillId="0" borderId="13" xfId="3" applyNumberFormat="1" applyFont="1" applyFill="1" applyBorder="1"/>
    <xf numFmtId="42" fontId="4" fillId="0" borderId="0" xfId="3" applyNumberFormat="1" applyFont="1" applyFill="1"/>
    <xf numFmtId="42" fontId="57" fillId="0" borderId="20" xfId="3" applyNumberFormat="1" applyFont="1" applyFill="1" applyBorder="1" applyAlignment="1">
      <alignment horizontal="right"/>
    </xf>
    <xf numFmtId="41" fontId="38" fillId="0" borderId="0" xfId="0" applyNumberFormat="1" applyFont="1"/>
    <xf numFmtId="41" fontId="0" fillId="0" borderId="0" xfId="3" applyNumberFormat="1" applyFont="1"/>
    <xf numFmtId="41" fontId="37" fillId="0" borderId="0" xfId="0" applyNumberFormat="1" applyFont="1"/>
    <xf numFmtId="41" fontId="37" fillId="0" borderId="0" xfId="3" applyNumberFormat="1" applyFont="1"/>
    <xf numFmtId="42" fontId="43" fillId="0" borderId="0" xfId="3" applyNumberFormat="1" applyFont="1" applyFill="1"/>
    <xf numFmtId="41" fontId="0" fillId="0" borderId="0" xfId="0" applyNumberFormat="1"/>
    <xf numFmtId="42" fontId="2" fillId="0" borderId="20" xfId="0" applyNumberFormat="1" applyFont="1" applyBorder="1"/>
    <xf numFmtId="41" fontId="38" fillId="0" borderId="0" xfId="6" applyNumberFormat="1" applyFont="1" applyFill="1" applyAlignment="1">
      <alignment horizontal="center" vertical="center"/>
    </xf>
    <xf numFmtId="170" fontId="21" fillId="0" borderId="0" xfId="0" applyNumberFormat="1" applyFont="1"/>
    <xf numFmtId="170" fontId="29" fillId="0" borderId="0" xfId="0" applyNumberFormat="1" applyFont="1" applyFill="1" applyAlignment="1"/>
    <xf numFmtId="170" fontId="27" fillId="0" borderId="1" xfId="0" applyNumberFormat="1" applyFont="1" applyFill="1" applyBorder="1" applyAlignment="1">
      <alignment horizontal="center" wrapText="1"/>
    </xf>
    <xf numFmtId="170" fontId="66" fillId="0" borderId="11" xfId="0" applyNumberFormat="1" applyFont="1" applyBorder="1" applyAlignment="1">
      <alignment horizontal="center"/>
    </xf>
    <xf numFmtId="170" fontId="66" fillId="0" borderId="0" xfId="0" applyNumberFormat="1" applyFont="1" applyBorder="1" applyAlignment="1">
      <alignment horizontal="center"/>
    </xf>
    <xf numFmtId="170" fontId="66" fillId="0" borderId="0" xfId="0" applyNumberFormat="1" applyFont="1" applyAlignment="1">
      <alignment horizontal="center"/>
    </xf>
    <xf numFmtId="170" fontId="66" fillId="0" borderId="10" xfId="0" applyNumberFormat="1" applyFont="1" applyBorder="1" applyAlignment="1">
      <alignment horizontal="center"/>
    </xf>
    <xf numFmtId="41" fontId="9" fillId="0" borderId="0" xfId="8" applyNumberFormat="1" applyFont="1" applyFill="1" applyAlignment="1"/>
    <xf numFmtId="170" fontId="2" fillId="0" borderId="0" xfId="0" quotePrefix="1" applyNumberFormat="1" applyFont="1" applyAlignment="1">
      <alignment horizontal="center"/>
    </xf>
    <xf numFmtId="41" fontId="22" fillId="0" borderId="3" xfId="3" quotePrefix="1" applyNumberFormat="1" applyFont="1" applyFill="1" applyBorder="1" applyAlignment="1" applyProtection="1">
      <alignment horizontal="right"/>
      <protection locked="0"/>
    </xf>
    <xf numFmtId="42" fontId="22" fillId="0" borderId="0" xfId="3" applyNumberFormat="1" applyFont="1" applyAlignment="1"/>
    <xf numFmtId="170" fontId="9" fillId="0" borderId="0" xfId="0" applyNumberFormat="1" applyFont="1" applyBorder="1"/>
    <xf numFmtId="170" fontId="3" fillId="0" borderId="0" xfId="0" applyNumberFormat="1" applyFont="1" applyBorder="1"/>
    <xf numFmtId="42" fontId="22" fillId="0" borderId="0" xfId="3" quotePrefix="1" applyNumberFormat="1" applyFont="1" applyFill="1" applyAlignment="1" applyProtection="1">
      <alignment horizontal="right"/>
      <protection locked="0"/>
    </xf>
    <xf numFmtId="173" fontId="4" fillId="0" borderId="0" xfId="9" applyNumberFormat="1" applyFont="1" applyFill="1" applyAlignment="1" applyProtection="1">
      <alignment horizontal="right"/>
      <protection locked="0"/>
    </xf>
    <xf numFmtId="172" fontId="22" fillId="0" borderId="0" xfId="0" applyNumberFormat="1" applyFont="1" applyProtection="1">
      <protection locked="0"/>
    </xf>
    <xf numFmtId="42" fontId="22" fillId="0" borderId="0" xfId="0" applyNumberFormat="1" applyFont="1" applyBorder="1" applyAlignment="1">
      <alignment horizontal="right"/>
    </xf>
    <xf numFmtId="170" fontId="7" fillId="0" borderId="0" xfId="0" applyNumberFormat="1" applyFont="1" applyBorder="1" applyAlignment="1">
      <alignment horizontal="center"/>
    </xf>
    <xf numFmtId="7" fontId="48" fillId="0" borderId="0" xfId="0" applyNumberFormat="1" applyFont="1" applyBorder="1" applyAlignment="1">
      <alignment horizontal="center"/>
    </xf>
    <xf numFmtId="42" fontId="22" fillId="0" borderId="0" xfId="3" applyNumberFormat="1" applyFont="1" applyFill="1" applyAlignment="1" applyProtection="1">
      <protection locked="0"/>
    </xf>
    <xf numFmtId="42" fontId="22" fillId="0" borderId="0" xfId="3" applyNumberFormat="1" applyFont="1" applyFill="1" applyAlignment="1"/>
    <xf numFmtId="42" fontId="4" fillId="0" borderId="0" xfId="0" applyNumberFormat="1" applyFont="1" applyFill="1" applyAlignment="1"/>
    <xf numFmtId="42" fontId="22" fillId="0" borderId="0" xfId="9" applyNumberFormat="1" applyFont="1" applyFill="1" applyAlignment="1" applyProtection="1">
      <protection locked="0"/>
    </xf>
    <xf numFmtId="10" fontId="22" fillId="0" borderId="0" xfId="0" applyNumberFormat="1" applyFont="1" applyFill="1" applyAlignment="1">
      <alignment horizontal="left"/>
    </xf>
    <xf numFmtId="42" fontId="22" fillId="0" borderId="0" xfId="0" applyNumberFormat="1" applyFont="1" applyFill="1"/>
    <xf numFmtId="3" fontId="4" fillId="0" borderId="0" xfId="0" applyNumberFormat="1" applyFont="1" applyAlignment="1">
      <alignment horizontal="left"/>
    </xf>
    <xf numFmtId="172" fontId="4" fillId="0" borderId="0" xfId="3" applyNumberFormat="1" applyFont="1" applyAlignment="1"/>
    <xf numFmtId="41" fontId="22" fillId="0" borderId="1" xfId="0" applyNumberFormat="1" applyFont="1" applyFill="1" applyBorder="1" applyAlignment="1">
      <alignment horizontal="right"/>
    </xf>
    <xf numFmtId="41" fontId="22" fillId="0" borderId="0" xfId="0" applyNumberFormat="1" applyFont="1" applyBorder="1" applyAlignment="1">
      <alignment horizontal="right"/>
    </xf>
    <xf numFmtId="41" fontId="22" fillId="0" borderId="0" xfId="0" applyNumberFormat="1" applyFont="1" applyBorder="1" applyAlignment="1">
      <alignment horizontal="center"/>
    </xf>
    <xf numFmtId="41" fontId="22" fillId="0" borderId="1" xfId="0" applyNumberFormat="1" applyFont="1" applyBorder="1" applyAlignment="1">
      <alignment horizontal="center"/>
    </xf>
    <xf numFmtId="10" fontId="4" fillId="0" borderId="0" xfId="0" applyNumberFormat="1" applyFont="1" applyFill="1" applyProtection="1">
      <protection locked="0"/>
    </xf>
    <xf numFmtId="42" fontId="3" fillId="0" borderId="0" xfId="0" applyNumberFormat="1" applyFont="1" applyAlignment="1"/>
    <xf numFmtId="41" fontId="22" fillId="0" borderId="0" xfId="3" applyNumberFormat="1" applyFont="1" applyFill="1" applyAlignment="1" applyProtection="1">
      <alignment vertical="center"/>
      <protection locked="0"/>
    </xf>
    <xf numFmtId="173" fontId="34" fillId="0" borderId="0" xfId="0" applyNumberFormat="1" applyFont="1" applyBorder="1" applyAlignment="1"/>
    <xf numFmtId="186" fontId="22" fillId="0" borderId="0" xfId="0" applyNumberFormat="1" applyFont="1" applyAlignment="1"/>
    <xf numFmtId="42" fontId="4" fillId="0" borderId="0" xfId="0" applyNumberFormat="1" applyFont="1" applyFill="1"/>
    <xf numFmtId="41" fontId="4" fillId="0" borderId="0" xfId="3" applyNumberFormat="1" applyFont="1" applyFill="1" applyAlignment="1"/>
    <xf numFmtId="41" fontId="4" fillId="0" borderId="1" xfId="3" applyNumberFormat="1" applyFont="1" applyFill="1" applyBorder="1" applyAlignment="1"/>
    <xf numFmtId="0" fontId="68" fillId="0" borderId="0" xfId="6" applyFont="1" applyFill="1" applyAlignment="1">
      <alignment horizontal="left"/>
    </xf>
    <xf numFmtId="41" fontId="0" fillId="0" borderId="0" xfId="0" applyNumberFormat="1" applyFill="1"/>
    <xf numFmtId="41" fontId="0" fillId="4" borderId="0" xfId="0" applyNumberFormat="1" applyFill="1" applyBorder="1"/>
    <xf numFmtId="41" fontId="0" fillId="0" borderId="3" xfId="0" applyNumberFormat="1" applyBorder="1"/>
    <xf numFmtId="170" fontId="0" fillId="0" borderId="3" xfId="0" applyNumberFormat="1" applyBorder="1"/>
    <xf numFmtId="41" fontId="0" fillId="0" borderId="24" xfId="0" applyNumberFormat="1" applyBorder="1"/>
    <xf numFmtId="41" fontId="0" fillId="0" borderId="0" xfId="0" applyNumberFormat="1" applyFill="1" applyBorder="1"/>
    <xf numFmtId="41" fontId="0" fillId="0" borderId="0" xfId="0" applyNumberFormat="1" applyBorder="1"/>
    <xf numFmtId="170" fontId="0" fillId="0" borderId="0" xfId="0" applyNumberFormat="1" applyBorder="1"/>
    <xf numFmtId="10" fontId="22" fillId="0" borderId="25" xfId="15" applyNumberFormat="1" applyFont="1" applyFill="1" applyBorder="1"/>
    <xf numFmtId="3" fontId="4" fillId="0" borderId="0" xfId="0" applyNumberFormat="1" applyFont="1" applyFill="1" applyBorder="1" applyAlignment="1">
      <alignment horizontal="left"/>
    </xf>
    <xf numFmtId="173" fontId="3" fillId="2" borderId="0" xfId="0" applyNumberFormat="1" applyFont="1" applyFill="1" applyAlignment="1"/>
    <xf numFmtId="10" fontId="3" fillId="2" borderId="0" xfId="0" quotePrefix="1" applyNumberFormat="1" applyFont="1" applyFill="1" applyAlignment="1">
      <alignment horizontal="center"/>
    </xf>
    <xf numFmtId="44" fontId="3" fillId="2" borderId="0" xfId="3" quotePrefix="1" applyFont="1" applyFill="1" applyAlignment="1">
      <alignment horizontal="center"/>
    </xf>
    <xf numFmtId="170" fontId="51" fillId="0" borderId="7" xfId="0" quotePrefix="1" applyNumberFormat="1" applyFont="1" applyFill="1" applyBorder="1" applyAlignment="1"/>
    <xf numFmtId="0" fontId="51" fillId="0" borderId="7" xfId="0" quotePrefix="1" applyNumberFormat="1" applyFont="1" applyFill="1" applyBorder="1" applyAlignment="1"/>
    <xf numFmtId="170" fontId="27" fillId="2" borderId="7" xfId="0" quotePrefix="1" applyNumberFormat="1" applyFont="1" applyFill="1" applyBorder="1" applyAlignment="1"/>
    <xf numFmtId="170" fontId="27" fillId="2" borderId="0" xfId="0" quotePrefix="1" applyNumberFormat="1" applyFont="1" applyFill="1" applyBorder="1" applyAlignment="1"/>
    <xf numFmtId="43" fontId="3" fillId="2" borderId="0" xfId="1" quotePrefix="1" applyFont="1" applyFill="1" applyAlignment="1">
      <alignment horizontal="center"/>
    </xf>
    <xf numFmtId="172" fontId="3" fillId="2" borderId="0" xfId="3" applyNumberFormat="1" applyFont="1" applyFill="1" applyBorder="1" applyAlignment="1">
      <alignment horizontal="right"/>
    </xf>
    <xf numFmtId="0" fontId="20" fillId="0" borderId="0" xfId="0" applyNumberFormat="1" applyFont="1" applyAlignment="1">
      <alignment horizontal="center"/>
    </xf>
    <xf numFmtId="0" fontId="4" fillId="0" borderId="0" xfId="9" applyNumberFormat="1" applyFont="1" applyAlignment="1" applyProtection="1">
      <alignment horizontal="right"/>
      <protection locked="0"/>
    </xf>
    <xf numFmtId="171" fontId="4" fillId="0" borderId="0" xfId="1" applyNumberFormat="1" applyFont="1" applyAlignment="1"/>
    <xf numFmtId="170" fontId="2" fillId="0" borderId="0" xfId="9" applyFont="1" applyAlignment="1" applyProtection="1">
      <protection locked="0"/>
    </xf>
    <xf numFmtId="170" fontId="4" fillId="0" borderId="0" xfId="9" applyFont="1" applyAlignment="1" applyProtection="1">
      <protection locked="0"/>
    </xf>
    <xf numFmtId="0" fontId="4" fillId="0" borderId="0" xfId="9" applyNumberFormat="1" applyFont="1" applyProtection="1">
      <protection locked="0"/>
    </xf>
    <xf numFmtId="0" fontId="4" fillId="0" borderId="0" xfId="9" applyNumberFormat="1" applyFont="1" applyAlignment="1" applyProtection="1">
      <alignment horizontal="center"/>
      <protection locked="0"/>
    </xf>
    <xf numFmtId="0" fontId="6" fillId="0" borderId="0" xfId="9" applyNumberFormat="1" applyFont="1" applyAlignment="1" applyProtection="1">
      <alignment horizontal="center"/>
      <protection locked="0"/>
    </xf>
    <xf numFmtId="0" fontId="2" fillId="0" borderId="1" xfId="9" applyNumberFormat="1" applyFont="1" applyBorder="1" applyAlignment="1" applyProtection="1">
      <alignment horizontal="center"/>
      <protection locked="0"/>
    </xf>
    <xf numFmtId="0" fontId="4" fillId="0" borderId="0" xfId="9" applyNumberFormat="1" applyFont="1" applyBorder="1" applyAlignment="1" applyProtection="1">
      <alignment horizontal="center"/>
      <protection locked="0"/>
    </xf>
    <xf numFmtId="0" fontId="2" fillId="0" borderId="0" xfId="9" applyNumberFormat="1" applyFont="1" applyBorder="1" applyAlignment="1" applyProtection="1">
      <alignment horizontal="center"/>
      <protection locked="0"/>
    </xf>
    <xf numFmtId="1" fontId="4" fillId="0" borderId="0" xfId="9" applyNumberFormat="1" applyFont="1" applyAlignment="1" applyProtection="1">
      <alignment horizontal="center"/>
      <protection locked="0"/>
    </xf>
    <xf numFmtId="1" fontId="4" fillId="0" borderId="0" xfId="9" applyNumberFormat="1" applyFont="1" applyAlignment="1" applyProtection="1">
      <alignment horizontal="left"/>
      <protection locked="0"/>
    </xf>
    <xf numFmtId="170" fontId="47" fillId="0" borderId="0" xfId="9" applyFont="1" applyAlignment="1"/>
    <xf numFmtId="170" fontId="4" fillId="0" borderId="0" xfId="9" applyFont="1" applyFill="1" applyAlignment="1"/>
    <xf numFmtId="0" fontId="4" fillId="0" borderId="0" xfId="9" applyNumberFormat="1" applyFont="1" applyFill="1"/>
    <xf numFmtId="0" fontId="2" fillId="0" borderId="0" xfId="9" applyNumberFormat="1" applyFont="1" applyFill="1" applyProtection="1">
      <protection locked="0"/>
    </xf>
    <xf numFmtId="0" fontId="4" fillId="0" borderId="0" xfId="9" applyNumberFormat="1" applyFont="1" applyFill="1" applyProtection="1">
      <protection locked="0"/>
    </xf>
    <xf numFmtId="0" fontId="2" fillId="0" borderId="0" xfId="9" applyNumberFormat="1" applyFont="1" applyFill="1"/>
    <xf numFmtId="170" fontId="2" fillId="0" borderId="0" xfId="9" applyFont="1" applyFill="1" applyAlignment="1"/>
    <xf numFmtId="171" fontId="4" fillId="0" borderId="0" xfId="1" applyNumberFormat="1" applyFont="1" applyAlignment="1">
      <alignment horizontal="center"/>
    </xf>
    <xf numFmtId="42" fontId="4" fillId="0" borderId="0" xfId="1" applyNumberFormat="1" applyFont="1" applyAlignment="1"/>
    <xf numFmtId="169" fontId="4" fillId="0" borderId="0" xfId="9" applyNumberFormat="1" applyFont="1" applyBorder="1" applyAlignment="1" applyProtection="1">
      <protection locked="0"/>
    </xf>
    <xf numFmtId="171" fontId="4" fillId="0" borderId="0" xfId="1" applyNumberFormat="1" applyFont="1" applyBorder="1" applyAlignment="1" applyProtection="1">
      <protection locked="0"/>
    </xf>
    <xf numFmtId="171" fontId="4" fillId="0" borderId="0" xfId="1" applyNumberFormat="1" applyFont="1" applyBorder="1" applyAlignment="1"/>
    <xf numFmtId="42" fontId="0" fillId="0" borderId="24" xfId="0" applyNumberFormat="1" applyBorder="1"/>
    <xf numFmtId="0" fontId="2" fillId="0" borderId="0" xfId="9" applyNumberFormat="1" applyFont="1" applyFill="1" applyAlignment="1">
      <alignment horizontal="center"/>
    </xf>
    <xf numFmtId="42" fontId="4" fillId="0" borderId="0" xfId="3" applyNumberFormat="1" applyFont="1" applyFill="1" applyBorder="1" applyAlignment="1"/>
    <xf numFmtId="41" fontId="4" fillId="0" borderId="0" xfId="3" applyNumberFormat="1" applyFont="1" applyFill="1" applyBorder="1" applyAlignment="1"/>
    <xf numFmtId="3" fontId="4" fillId="0" borderId="0" xfId="0" applyNumberFormat="1" applyFont="1" applyFill="1" applyBorder="1" applyAlignment="1"/>
    <xf numFmtId="165" fontId="4" fillId="0" borderId="0" xfId="0" applyNumberFormat="1" applyFont="1" applyFill="1" applyBorder="1" applyAlignment="1"/>
    <xf numFmtId="41" fontId="4" fillId="0" borderId="0" xfId="1" applyNumberFormat="1" applyFont="1" applyFill="1" applyBorder="1" applyAlignment="1"/>
    <xf numFmtId="3" fontId="4" fillId="0" borderId="0" xfId="0" applyNumberFormat="1" applyFont="1" applyAlignment="1">
      <alignment vertical="center" wrapText="1"/>
    </xf>
    <xf numFmtId="41" fontId="4" fillId="0" borderId="1" xfId="0" applyNumberFormat="1" applyFont="1" applyBorder="1" applyAlignment="1"/>
    <xf numFmtId="171" fontId="4" fillId="0" borderId="0" xfId="1" applyNumberFormat="1" applyFont="1" applyFill="1" applyBorder="1" applyAlignment="1"/>
    <xf numFmtId="164" fontId="4" fillId="0" borderId="0" xfId="0" applyNumberFormat="1" applyFont="1" applyAlignment="1">
      <alignment horizontal="center"/>
    </xf>
    <xf numFmtId="41" fontId="4" fillId="0" borderId="3" xfId="3" applyNumberFormat="1" applyFont="1" applyFill="1" applyBorder="1" applyAlignment="1"/>
    <xf numFmtId="171" fontId="4" fillId="0" borderId="3" xfId="1" applyNumberFormat="1" applyFont="1" applyFill="1" applyBorder="1" applyAlignment="1"/>
    <xf numFmtId="170" fontId="34" fillId="0" borderId="0" xfId="0" applyNumberFormat="1" applyFont="1" applyFill="1" applyBorder="1" applyAlignment="1"/>
    <xf numFmtId="170" fontId="34" fillId="0" borderId="10" xfId="0" applyNumberFormat="1" applyFont="1" applyFill="1" applyBorder="1" applyAlignment="1"/>
    <xf numFmtId="172" fontId="34" fillId="0" borderId="0" xfId="3" applyNumberFormat="1" applyFont="1" applyBorder="1" applyAlignment="1">
      <alignment horizontal="right"/>
    </xf>
    <xf numFmtId="170" fontId="3" fillId="0" borderId="4" xfId="0" applyNumberFormat="1" applyFont="1" applyBorder="1" applyAlignment="1"/>
    <xf numFmtId="170" fontId="34" fillId="0" borderId="7" xfId="0" applyNumberFormat="1" applyFont="1" applyFill="1" applyBorder="1" applyAlignment="1"/>
    <xf numFmtId="170" fontId="34" fillId="0" borderId="9" xfId="0" applyNumberFormat="1" applyFont="1" applyFill="1" applyBorder="1" applyAlignment="1"/>
    <xf numFmtId="170" fontId="34" fillId="0" borderId="4" xfId="0" applyNumberFormat="1" applyFont="1" applyFill="1" applyBorder="1" applyAlignment="1"/>
    <xf numFmtId="170" fontId="34" fillId="0" borderId="2" xfId="0" applyNumberFormat="1" applyFont="1" applyBorder="1" applyAlignment="1">
      <alignment horizontal="center"/>
    </xf>
    <xf numFmtId="172" fontId="34" fillId="0" borderId="0" xfId="3" applyNumberFormat="1" applyFont="1" applyFill="1" applyBorder="1" applyAlignment="1">
      <alignment horizontal="center"/>
    </xf>
    <xf numFmtId="42" fontId="34" fillId="0" borderId="0" xfId="0" applyNumberFormat="1" applyFont="1" applyAlignment="1"/>
    <xf numFmtId="172" fontId="34" fillId="0" borderId="5" xfId="3" applyNumberFormat="1" applyFont="1" applyFill="1" applyBorder="1" applyAlignment="1">
      <alignment horizontal="right"/>
    </xf>
    <xf numFmtId="177" fontId="34" fillId="2" borderId="0" xfId="0" applyNumberFormat="1" applyFont="1" applyFill="1" applyAlignment="1"/>
    <xf numFmtId="42" fontId="34" fillId="0" borderId="5" xfId="0" applyNumberFormat="1" applyFont="1" applyBorder="1" applyAlignment="1"/>
    <xf numFmtId="42" fontId="34" fillId="0" borderId="0" xfId="0" applyNumberFormat="1" applyFont="1" applyBorder="1" applyAlignment="1"/>
    <xf numFmtId="42" fontId="34" fillId="0" borderId="10" xfId="0" applyNumberFormat="1" applyFont="1" applyBorder="1" applyAlignment="1"/>
    <xf numFmtId="42" fontId="34" fillId="0" borderId="5" xfId="1" applyNumberFormat="1" applyFont="1" applyBorder="1" applyAlignment="1"/>
    <xf numFmtId="42" fontId="34" fillId="0" borderId="0" xfId="1" applyNumberFormat="1" applyFont="1" applyBorder="1" applyAlignment="1"/>
    <xf numFmtId="42" fontId="34" fillId="0" borderId="10" xfId="1" applyNumberFormat="1" applyFont="1" applyBorder="1" applyAlignment="1"/>
    <xf numFmtId="42" fontId="22" fillId="0" borderId="0" xfId="1" applyNumberFormat="1" applyFont="1" applyFill="1" applyBorder="1" applyAlignment="1"/>
    <xf numFmtId="172" fontId="2" fillId="0" borderId="0" xfId="3" applyNumberFormat="1" applyFont="1"/>
    <xf numFmtId="42" fontId="2" fillId="0" borderId="0" xfId="0" applyNumberFormat="1" applyFont="1" applyFill="1"/>
    <xf numFmtId="41" fontId="2" fillId="0" borderId="0" xfId="0" applyNumberFormat="1" applyFont="1" applyFill="1"/>
    <xf numFmtId="42" fontId="2" fillId="0" borderId="0" xfId="0" applyNumberFormat="1" applyFont="1" applyBorder="1"/>
    <xf numFmtId="172" fontId="0" fillId="0" borderId="1" xfId="0" applyNumberFormat="1" applyBorder="1"/>
    <xf numFmtId="0" fontId="2" fillId="0" borderId="0" xfId="0" applyNumberFormat="1" applyFont="1" applyFill="1" applyAlignment="1"/>
    <xf numFmtId="172" fontId="2" fillId="0" borderId="0" xfId="3" applyNumberFormat="1" applyFont="1" applyBorder="1"/>
    <xf numFmtId="41" fontId="38" fillId="0" borderId="3" xfId="0" applyNumberFormat="1" applyFont="1" applyBorder="1"/>
    <xf numFmtId="172" fontId="2" fillId="0" borderId="0" xfId="0" applyNumberFormat="1" applyFont="1"/>
    <xf numFmtId="0" fontId="32" fillId="0" borderId="0" xfId="0" applyNumberFormat="1" applyFont="1" applyBorder="1" applyAlignment="1"/>
    <xf numFmtId="42" fontId="0" fillId="0" borderId="0" xfId="0" applyNumberFormat="1" applyBorder="1"/>
    <xf numFmtId="170" fontId="6" fillId="0" borderId="0" xfId="0" applyNumberFormat="1" applyFont="1" applyBorder="1" applyAlignment="1">
      <alignment horizontal="center"/>
    </xf>
    <xf numFmtId="0" fontId="5" fillId="0" borderId="0" xfId="0" applyNumberFormat="1" applyFont="1" applyFill="1" applyAlignment="1"/>
    <xf numFmtId="41" fontId="4" fillId="0" borderId="0" xfId="3" quotePrefix="1" applyNumberFormat="1" applyFont="1" applyFill="1" applyAlignment="1" applyProtection="1">
      <alignment horizontal="right"/>
      <protection locked="0"/>
    </xf>
    <xf numFmtId="42" fontId="4" fillId="0" borderId="0" xfId="0" applyNumberFormat="1" applyFont="1" applyFill="1" applyAlignment="1">
      <alignment horizontal="right"/>
    </xf>
    <xf numFmtId="42" fontId="4" fillId="0" borderId="0" xfId="3" quotePrefix="1" applyNumberFormat="1" applyFont="1" applyFill="1" applyAlignment="1" applyProtection="1">
      <alignment horizontal="right"/>
      <protection locked="0"/>
    </xf>
    <xf numFmtId="41" fontId="4" fillId="0" borderId="0" xfId="0" applyNumberFormat="1" applyFont="1" applyFill="1" applyAlignment="1">
      <alignment horizontal="right"/>
    </xf>
    <xf numFmtId="41" fontId="4" fillId="0" borderId="0" xfId="0" applyNumberFormat="1" applyFont="1" applyFill="1" applyProtection="1">
      <protection locked="0"/>
    </xf>
    <xf numFmtId="42" fontId="4" fillId="0" borderId="0" xfId="0" applyNumberFormat="1" applyFont="1" applyFill="1" applyAlignment="1" applyProtection="1">
      <protection locked="0"/>
    </xf>
    <xf numFmtId="170" fontId="70" fillId="0" borderId="0" xfId="0" applyNumberFormat="1" applyFont="1" applyFill="1" applyAlignment="1">
      <alignment horizontal="left"/>
    </xf>
    <xf numFmtId="170" fontId="40" fillId="0" borderId="13" xfId="0" applyNumberFormat="1" applyFont="1" applyFill="1" applyBorder="1" applyAlignment="1">
      <alignment horizontal="center" wrapText="1"/>
    </xf>
    <xf numFmtId="170" fontId="40" fillId="0" borderId="23" xfId="0" applyNumberFormat="1" applyFont="1" applyFill="1" applyBorder="1" applyAlignment="1">
      <alignment horizontal="center" wrapText="1"/>
    </xf>
    <xf numFmtId="1" fontId="9" fillId="0" borderId="0" xfId="0" applyNumberFormat="1" applyFont="1" applyFill="1" applyAlignment="1">
      <alignment horizontal="center"/>
    </xf>
    <xf numFmtId="1" fontId="40" fillId="0" borderId="0" xfId="0" applyNumberFormat="1" applyFont="1" applyFill="1" applyBorder="1" applyAlignment="1">
      <alignment horizontal="left"/>
    </xf>
    <xf numFmtId="170" fontId="4" fillId="0" borderId="7" xfId="0" applyNumberFormat="1" applyFont="1" applyFill="1" applyBorder="1" applyAlignment="1">
      <alignment horizontal="left"/>
    </xf>
    <xf numFmtId="177" fontId="3" fillId="0" borderId="7" xfId="0" applyNumberFormat="1" applyFont="1" applyFill="1" applyBorder="1" applyAlignment="1"/>
    <xf numFmtId="42" fontId="3" fillId="0" borderId="7" xfId="0" applyNumberFormat="1" applyFont="1" applyFill="1" applyBorder="1" applyAlignment="1"/>
    <xf numFmtId="173" fontId="3" fillId="0" borderId="7" xfId="0" applyNumberFormat="1" applyFont="1" applyFill="1" applyBorder="1" applyAlignment="1"/>
    <xf numFmtId="42" fontId="3" fillId="0" borderId="9" xfId="0" applyNumberFormat="1" applyFont="1" applyFill="1" applyBorder="1" applyAlignment="1"/>
    <xf numFmtId="42" fontId="3" fillId="0" borderId="12" xfId="0" applyNumberFormat="1" applyFont="1" applyFill="1" applyBorder="1" applyAlignment="1"/>
    <xf numFmtId="170" fontId="4" fillId="0" borderId="0" xfId="0" applyNumberFormat="1" applyFont="1" applyFill="1" applyBorder="1" applyAlignment="1">
      <alignment horizontal="left"/>
    </xf>
    <xf numFmtId="177" fontId="3" fillId="0" borderId="0" xfId="0" applyNumberFormat="1" applyFont="1" applyFill="1" applyBorder="1" applyAlignment="1"/>
    <xf numFmtId="42" fontId="3" fillId="0" borderId="0" xfId="0" applyNumberFormat="1" applyFont="1" applyFill="1" applyBorder="1" applyAlignment="1"/>
    <xf numFmtId="173" fontId="3" fillId="0" borderId="0" xfId="0" applyNumberFormat="1" applyFont="1" applyFill="1" applyBorder="1" applyAlignment="1"/>
    <xf numFmtId="42" fontId="3" fillId="0" borderId="10" xfId="0" applyNumberFormat="1" applyFont="1" applyFill="1" applyBorder="1" applyAlignment="1"/>
    <xf numFmtId="42" fontId="3" fillId="0" borderId="11" xfId="0" applyNumberFormat="1" applyFont="1" applyFill="1" applyBorder="1" applyAlignment="1"/>
    <xf numFmtId="1" fontId="40" fillId="0" borderId="5" xfId="0" applyNumberFormat="1" applyFont="1" applyFill="1" applyBorder="1" applyAlignment="1">
      <alignment horizontal="left"/>
    </xf>
    <xf numFmtId="1" fontId="3" fillId="0" borderId="0" xfId="0" applyNumberFormat="1" applyFont="1" applyFill="1" applyBorder="1" applyAlignment="1"/>
    <xf numFmtId="42" fontId="3" fillId="0" borderId="3" xfId="0" applyNumberFormat="1" applyFont="1" applyFill="1" applyBorder="1" applyAlignment="1"/>
    <xf numFmtId="170" fontId="4" fillId="0" borderId="6" xfId="0" applyNumberFormat="1" applyFont="1" applyFill="1" applyBorder="1" applyAlignment="1">
      <alignment horizontal="left"/>
    </xf>
    <xf numFmtId="170" fontId="4" fillId="0" borderId="3" xfId="0" applyNumberFormat="1" applyFont="1" applyFill="1" applyBorder="1" applyAlignment="1">
      <alignment horizontal="left"/>
    </xf>
    <xf numFmtId="170" fontId="40" fillId="0" borderId="25" xfId="0" applyNumberFormat="1" applyFont="1" applyFill="1" applyBorder="1" applyAlignment="1">
      <alignment horizontal="center" wrapText="1"/>
    </xf>
    <xf numFmtId="1" fontId="3" fillId="0" borderId="3" xfId="0" applyNumberFormat="1" applyFont="1" applyFill="1" applyBorder="1" applyAlignment="1"/>
    <xf numFmtId="42" fontId="3" fillId="0" borderId="2" xfId="0" applyNumberFormat="1" applyFont="1" applyFill="1" applyBorder="1" applyAlignment="1"/>
    <xf numFmtId="42" fontId="3" fillId="0" borderId="0" xfId="0" applyNumberFormat="1" applyFont="1" applyBorder="1" applyAlignment="1"/>
    <xf numFmtId="1" fontId="3" fillId="0" borderId="0" xfId="0" applyNumberFormat="1" applyFont="1" applyFill="1" applyAlignment="1"/>
    <xf numFmtId="170" fontId="4" fillId="0" borderId="25" xfId="0" applyNumberFormat="1" applyFont="1" applyFill="1" applyBorder="1" applyAlignment="1">
      <alignment horizontal="left"/>
    </xf>
    <xf numFmtId="170" fontId="4" fillId="0" borderId="13" xfId="0" applyNumberFormat="1" applyFont="1" applyFill="1" applyBorder="1" applyAlignment="1">
      <alignment horizontal="left"/>
    </xf>
    <xf numFmtId="170" fontId="3" fillId="0" borderId="13" xfId="0" applyNumberFormat="1" applyFont="1" applyBorder="1" applyAlignment="1"/>
    <xf numFmtId="42" fontId="3" fillId="0" borderId="13" xfId="0" applyNumberFormat="1" applyFont="1" applyBorder="1" applyAlignment="1"/>
    <xf numFmtId="42" fontId="3" fillId="0" borderId="3" xfId="0" applyNumberFormat="1" applyFont="1" applyBorder="1" applyAlignment="1"/>
    <xf numFmtId="170" fontId="40" fillId="0" borderId="0" xfId="0" applyNumberFormat="1" applyFont="1" applyFill="1" applyBorder="1" applyAlignment="1">
      <alignment horizontal="center"/>
    </xf>
    <xf numFmtId="170" fontId="40" fillId="0" borderId="13" xfId="0" applyNumberFormat="1" applyFont="1" applyFill="1" applyBorder="1" applyAlignment="1">
      <alignment horizontal="center"/>
    </xf>
    <xf numFmtId="170" fontId="34" fillId="0" borderId="13" xfId="0" applyNumberFormat="1" applyFont="1" applyBorder="1" applyAlignment="1">
      <alignment horizontal="center" wrapText="1"/>
    </xf>
    <xf numFmtId="170" fontId="40" fillId="0" borderId="23" xfId="0" applyNumberFormat="1" applyFont="1" applyFill="1" applyBorder="1" applyAlignment="1">
      <alignment horizontal="center"/>
    </xf>
    <xf numFmtId="170" fontId="40" fillId="0" borderId="2" xfId="0" quotePrefix="1" applyNumberFormat="1" applyFont="1" applyFill="1" applyBorder="1" applyAlignment="1">
      <alignment horizontal="center" wrapText="1"/>
    </xf>
    <xf numFmtId="170" fontId="34" fillId="0" borderId="0" xfId="0" applyNumberFormat="1" applyFont="1" applyBorder="1" applyAlignment="1">
      <alignment horizontal="center" wrapText="1"/>
    </xf>
    <xf numFmtId="170" fontId="40" fillId="0" borderId="0" xfId="0" applyNumberFormat="1" applyFont="1" applyFill="1" applyBorder="1" applyAlignment="1">
      <alignment horizontal="center" wrapText="1"/>
    </xf>
    <xf numFmtId="1" fontId="3" fillId="0" borderId="3" xfId="0" applyNumberFormat="1" applyFont="1" applyBorder="1" applyAlignment="1"/>
    <xf numFmtId="1" fontId="3" fillId="0" borderId="0" xfId="0" applyNumberFormat="1" applyFont="1" applyBorder="1" applyAlignment="1"/>
    <xf numFmtId="1" fontId="3" fillId="0" borderId="0" xfId="0" applyNumberFormat="1" applyFont="1" applyAlignment="1"/>
    <xf numFmtId="170" fontId="9" fillId="0" borderId="0" xfId="0" applyNumberFormat="1" applyFont="1" applyFill="1" applyAlignment="1">
      <alignment horizontal="left"/>
    </xf>
    <xf numFmtId="0" fontId="3" fillId="0" borderId="0" xfId="0" applyNumberFormat="1" applyFont="1" applyFill="1" applyBorder="1" applyAlignment="1"/>
    <xf numFmtId="172" fontId="3" fillId="2" borderId="6" xfId="3" applyNumberFormat="1" applyFont="1" applyFill="1" applyBorder="1" applyAlignment="1">
      <alignment horizontal="right"/>
    </xf>
    <xf numFmtId="172" fontId="3" fillId="2" borderId="3" xfId="3" applyNumberFormat="1" applyFont="1" applyFill="1" applyBorder="1" applyAlignment="1">
      <alignment horizontal="right"/>
    </xf>
    <xf numFmtId="172" fontId="3" fillId="2" borderId="3" xfId="3" applyNumberFormat="1" applyFont="1" applyFill="1" applyBorder="1" applyAlignment="1"/>
    <xf numFmtId="44" fontId="3" fillId="0" borderId="0" xfId="3" applyFont="1" applyFill="1" applyBorder="1" applyAlignment="1">
      <alignment horizontal="right"/>
    </xf>
    <xf numFmtId="170" fontId="27" fillId="0" borderId="2" xfId="0" applyNumberFormat="1" applyFont="1" applyBorder="1" applyAlignment="1">
      <alignment horizontal="center"/>
    </xf>
    <xf numFmtId="172" fontId="3" fillId="2" borderId="0" xfId="0" applyNumberFormat="1" applyFont="1" applyFill="1" applyAlignment="1"/>
    <xf numFmtId="170" fontId="2" fillId="0" borderId="0" xfId="0" applyNumberFormat="1" applyFont="1" applyBorder="1" applyAlignment="1"/>
    <xf numFmtId="0" fontId="3" fillId="2" borderId="6" xfId="0" applyNumberFormat="1" applyFont="1" applyFill="1" applyBorder="1" applyAlignment="1"/>
    <xf numFmtId="172" fontId="3" fillId="2" borderId="6" xfId="3" applyNumberFormat="1" applyFont="1" applyFill="1" applyBorder="1" applyAlignment="1"/>
    <xf numFmtId="172" fontId="3" fillId="0" borderId="8" xfId="3" applyNumberFormat="1" applyFont="1" applyFill="1" applyBorder="1" applyAlignment="1"/>
    <xf numFmtId="1" fontId="40" fillId="2" borderId="5" xfId="0" applyNumberFormat="1" applyFont="1" applyFill="1" applyBorder="1" applyAlignment="1">
      <alignment horizontal="left"/>
    </xf>
    <xf numFmtId="1" fontId="40" fillId="2" borderId="0" xfId="0" applyNumberFormat="1" applyFont="1" applyFill="1" applyBorder="1" applyAlignment="1">
      <alignment horizontal="left"/>
    </xf>
    <xf numFmtId="170" fontId="4" fillId="2" borderId="0" xfId="0" applyNumberFormat="1" applyFont="1" applyFill="1" applyBorder="1" applyAlignment="1">
      <alignment horizontal="left"/>
    </xf>
    <xf numFmtId="42" fontId="3" fillId="2" borderId="3" xfId="0" applyNumberFormat="1" applyFont="1" applyFill="1" applyBorder="1" applyAlignment="1"/>
    <xf numFmtId="173" fontId="3" fillId="2" borderId="0" xfId="0" applyNumberFormat="1" applyFont="1" applyFill="1" applyBorder="1" applyAlignment="1"/>
    <xf numFmtId="42" fontId="3" fillId="2" borderId="8" xfId="0" applyNumberFormat="1" applyFont="1" applyFill="1" applyBorder="1" applyAlignment="1"/>
    <xf numFmtId="1" fontId="3" fillId="2" borderId="0" xfId="0" applyNumberFormat="1" applyFont="1" applyFill="1" applyBorder="1" applyAlignment="1"/>
    <xf numFmtId="42" fontId="4" fillId="0" borderId="0" xfId="9" applyNumberFormat="1" applyFont="1" applyFill="1" applyBorder="1" applyAlignment="1" applyProtection="1">
      <protection locked="0"/>
    </xf>
    <xf numFmtId="41" fontId="4" fillId="0" borderId="3" xfId="1" applyNumberFormat="1" applyFont="1" applyFill="1" applyBorder="1" applyAlignment="1"/>
    <xf numFmtId="41" fontId="2" fillId="0" borderId="3" xfId="0" applyNumberFormat="1" applyFont="1" applyFill="1" applyBorder="1"/>
    <xf numFmtId="170" fontId="35" fillId="0" borderId="0" xfId="0" applyNumberFormat="1" applyFont="1" applyFill="1" applyAlignment="1">
      <alignment horizontal="center" wrapText="1"/>
    </xf>
    <xf numFmtId="170" fontId="4" fillId="0" borderId="0" xfId="9" applyFont="1" applyFill="1" applyAlignment="1" applyProtection="1">
      <protection locked="0"/>
    </xf>
    <xf numFmtId="42" fontId="0" fillId="0" borderId="0" xfId="0" applyNumberFormat="1" applyFill="1"/>
    <xf numFmtId="3" fontId="0" fillId="0" borderId="0" xfId="0" applyNumberFormat="1"/>
    <xf numFmtId="3" fontId="4" fillId="0" borderId="0" xfId="0" applyNumberFormat="1" applyFont="1" applyBorder="1" applyAlignment="1"/>
    <xf numFmtId="172" fontId="4" fillId="0" borderId="0" xfId="3" applyNumberFormat="1" applyFont="1" applyBorder="1" applyAlignment="1"/>
    <xf numFmtId="3" fontId="4" fillId="0" borderId="1" xfId="0" applyNumberFormat="1" applyFont="1" applyBorder="1" applyAlignment="1"/>
    <xf numFmtId="41" fontId="4" fillId="0" borderId="1" xfId="3" applyNumberFormat="1" applyFont="1" applyBorder="1" applyAlignment="1"/>
    <xf numFmtId="166" fontId="22" fillId="0" borderId="0" xfId="0" applyNumberFormat="1" applyFont="1" applyFill="1" applyBorder="1" applyAlignment="1">
      <alignment horizontal="center"/>
    </xf>
    <xf numFmtId="172" fontId="22" fillId="0" borderId="1" xfId="3" applyNumberFormat="1" applyFont="1" applyBorder="1" applyAlignment="1"/>
    <xf numFmtId="170" fontId="6" fillId="0" borderId="0" xfId="0" applyNumberFormat="1" applyFont="1" applyFill="1" applyAlignment="1"/>
    <xf numFmtId="170" fontId="64" fillId="0" borderId="0" xfId="0" applyNumberFormat="1" applyFont="1" applyFill="1" applyAlignment="1">
      <alignment horizontal="center"/>
    </xf>
    <xf numFmtId="170" fontId="64" fillId="0" borderId="0" xfId="0" applyNumberFormat="1" applyFont="1" applyFill="1" applyBorder="1" applyAlignment="1">
      <alignment horizontal="center"/>
    </xf>
    <xf numFmtId="173" fontId="2" fillId="0" borderId="0" xfId="15" applyNumberFormat="1" applyFont="1" applyFill="1"/>
    <xf numFmtId="172" fontId="2" fillId="0" borderId="0" xfId="3" applyNumberFormat="1" applyFont="1" applyFill="1"/>
    <xf numFmtId="173" fontId="2" fillId="0" borderId="3" xfId="15" applyNumberFormat="1" applyFont="1" applyFill="1" applyBorder="1"/>
    <xf numFmtId="173" fontId="2" fillId="0" borderId="0" xfId="0" applyNumberFormat="1" applyFont="1" applyFill="1"/>
    <xf numFmtId="41" fontId="6" fillId="0" borderId="3" xfId="0" applyNumberFormat="1" applyFont="1" applyFill="1" applyBorder="1" applyAlignment="1">
      <alignment horizontal="center"/>
    </xf>
    <xf numFmtId="42" fontId="2" fillId="0" borderId="0" xfId="3" applyNumberFormat="1" applyFont="1" applyFill="1"/>
    <xf numFmtId="41" fontId="2" fillId="0" borderId="0" xfId="3" applyNumberFormat="1" applyFont="1" applyFill="1"/>
    <xf numFmtId="42" fontId="2" fillId="0" borderId="20" xfId="0" applyNumberFormat="1" applyFont="1" applyFill="1" applyBorder="1"/>
    <xf numFmtId="169" fontId="3" fillId="0" borderId="0" xfId="0" applyNumberFormat="1" applyFont="1" applyFill="1" applyBorder="1" applyAlignment="1"/>
    <xf numFmtId="42" fontId="3" fillId="0" borderId="13" xfId="0" applyNumberFormat="1" applyFont="1" applyFill="1" applyBorder="1" applyAlignment="1"/>
    <xf numFmtId="42" fontId="3" fillId="0" borderId="2" xfId="0" applyNumberFormat="1" applyFont="1" applyBorder="1" applyAlignment="1"/>
    <xf numFmtId="170" fontId="71" fillId="0" borderId="0" xfId="0" applyNumberFormat="1" applyFont="1" applyAlignment="1"/>
    <xf numFmtId="170" fontId="73" fillId="0" borderId="0" xfId="0" applyNumberFormat="1" applyFont="1" applyFill="1" applyAlignment="1"/>
    <xf numFmtId="41" fontId="4" fillId="0" borderId="0" xfId="3" applyNumberFormat="1" applyFont="1" applyBorder="1" applyAlignment="1"/>
    <xf numFmtId="168" fontId="4" fillId="0" borderId="0" xfId="0" applyNumberFormat="1" applyFont="1" applyFill="1" applyAlignment="1"/>
    <xf numFmtId="172" fontId="4" fillId="0" borderId="3" xfId="3" applyNumberFormat="1" applyFont="1" applyFill="1" applyBorder="1" applyAlignment="1"/>
    <xf numFmtId="42" fontId="4" fillId="0" borderId="3" xfId="0" applyNumberFormat="1" applyFont="1" applyFill="1" applyBorder="1" applyAlignment="1"/>
    <xf numFmtId="172" fontId="4" fillId="0" borderId="1" xfId="3" applyNumberFormat="1" applyFont="1" applyFill="1" applyBorder="1" applyAlignment="1"/>
    <xf numFmtId="0" fontId="4" fillId="0" borderId="0" xfId="0" applyNumberFormat="1" applyFont="1" applyFill="1" applyBorder="1" applyAlignment="1" applyProtection="1">
      <alignment horizontal="center"/>
      <protection locked="0"/>
    </xf>
    <xf numFmtId="0" fontId="4" fillId="0" borderId="0" xfId="0" applyNumberFormat="1" applyFont="1" applyFill="1" applyBorder="1" applyAlignment="1"/>
    <xf numFmtId="42" fontId="4" fillId="0" borderId="0" xfId="3" applyNumberFormat="1" applyFont="1" applyFill="1" applyAlignment="1"/>
    <xf numFmtId="41" fontId="4" fillId="0" borderId="1" xfId="1" applyNumberFormat="1" applyFont="1" applyFill="1" applyBorder="1" applyAlignment="1"/>
    <xf numFmtId="171" fontId="74" fillId="0" borderId="0" xfId="1" applyNumberFormat="1" applyFont="1" applyFill="1" applyBorder="1" applyAlignment="1"/>
    <xf numFmtId="172" fontId="34" fillId="0" borderId="0" xfId="3" applyNumberFormat="1" applyFont="1" applyFill="1" applyBorder="1" applyAlignment="1">
      <alignment horizontal="right"/>
    </xf>
    <xf numFmtId="172" fontId="34" fillId="0" borderId="10" xfId="3" applyNumberFormat="1" applyFont="1" applyFill="1" applyBorder="1" applyAlignment="1"/>
    <xf numFmtId="171" fontId="34" fillId="0" borderId="10" xfId="1" applyNumberFormat="1" applyFont="1" applyFill="1" applyBorder="1" applyAlignment="1"/>
    <xf numFmtId="172" fontId="34" fillId="0" borderId="3" xfId="3" applyNumberFormat="1" applyFont="1" applyFill="1" applyBorder="1" applyAlignment="1">
      <alignment horizontal="right"/>
    </xf>
    <xf numFmtId="170" fontId="3" fillId="0" borderId="8" xfId="0" applyNumberFormat="1" applyFont="1" applyFill="1" applyBorder="1" applyAlignment="1"/>
    <xf numFmtId="172" fontId="34" fillId="0" borderId="8" xfId="3" applyNumberFormat="1" applyFont="1" applyFill="1" applyBorder="1" applyAlignment="1"/>
    <xf numFmtId="42" fontId="34" fillId="0" borderId="0" xfId="1" applyNumberFormat="1" applyFont="1" applyFill="1" applyBorder="1" applyAlignment="1"/>
    <xf numFmtId="42" fontId="34" fillId="0" borderId="0" xfId="3" applyNumberFormat="1" applyFont="1" applyFill="1" applyBorder="1" applyAlignment="1"/>
    <xf numFmtId="42" fontId="3" fillId="0" borderId="10" xfId="0" applyNumberFormat="1" applyFont="1" applyBorder="1" applyAlignment="1"/>
    <xf numFmtId="42" fontId="34" fillId="0" borderId="3" xfId="0" applyNumberFormat="1" applyFont="1" applyFill="1" applyBorder="1" applyAlignment="1"/>
    <xf numFmtId="172" fontId="3" fillId="0" borderId="5" xfId="3" applyNumberFormat="1" applyFont="1" applyFill="1" applyBorder="1" applyAlignment="1">
      <alignment horizontal="right"/>
    </xf>
    <xf numFmtId="170" fontId="33" fillId="2" borderId="4" xfId="0" applyNumberFormat="1" applyFont="1" applyFill="1" applyBorder="1" applyAlignment="1"/>
    <xf numFmtId="170" fontId="3" fillId="2" borderId="5" xfId="0" applyNumberFormat="1" applyFont="1" applyFill="1" applyBorder="1" applyAlignment="1"/>
    <xf numFmtId="170" fontId="3" fillId="2" borderId="8" xfId="0" applyNumberFormat="1" applyFont="1" applyFill="1" applyBorder="1" applyAlignment="1">
      <alignment horizontal="center"/>
    </xf>
    <xf numFmtId="41" fontId="38" fillId="2" borderId="0" xfId="3" applyNumberFormat="1" applyFont="1" applyFill="1"/>
    <xf numFmtId="41" fontId="38" fillId="2" borderId="3" xfId="3" applyNumberFormat="1" applyFont="1" applyFill="1" applyBorder="1"/>
    <xf numFmtId="0" fontId="4" fillId="0" borderId="0" xfId="6" applyNumberFormat="1" applyFont="1" applyAlignment="1">
      <alignment horizontal="center"/>
    </xf>
    <xf numFmtId="42" fontId="4" fillId="0" borderId="0" xfId="6" applyNumberFormat="1" applyFont="1" applyFill="1"/>
    <xf numFmtId="0" fontId="4" fillId="0" borderId="0" xfId="6" applyFont="1"/>
    <xf numFmtId="41" fontId="4" fillId="0" borderId="0" xfId="6" applyNumberFormat="1" applyFont="1"/>
    <xf numFmtId="0" fontId="38" fillId="0" borderId="0" xfId="6" applyFont="1" applyFill="1" applyAlignment="1">
      <alignment horizontal="left" vertical="center"/>
    </xf>
    <xf numFmtId="0" fontId="25" fillId="0" borderId="0" xfId="6" applyFont="1" applyFill="1" applyAlignment="1">
      <alignment vertical="center"/>
    </xf>
    <xf numFmtId="41" fontId="4" fillId="0" borderId="0" xfId="3" quotePrefix="1" applyNumberFormat="1" applyFont="1" applyFill="1" applyBorder="1" applyAlignment="1" applyProtection="1">
      <alignment horizontal="right"/>
      <protection locked="0"/>
    </xf>
    <xf numFmtId="41" fontId="4" fillId="0" borderId="0" xfId="0" applyNumberFormat="1" applyFont="1" applyFill="1" applyBorder="1" applyAlignment="1" applyProtection="1">
      <protection locked="0"/>
    </xf>
    <xf numFmtId="42" fontId="4" fillId="0" borderId="0" xfId="3" applyNumberFormat="1" applyFont="1" applyFill="1" applyBorder="1" applyProtection="1">
      <protection locked="0"/>
    </xf>
    <xf numFmtId="42" fontId="3" fillId="0" borderId="0" xfId="0" applyNumberFormat="1" applyFont="1" applyFill="1" applyAlignment="1"/>
    <xf numFmtId="42" fontId="3" fillId="0" borderId="5" xfId="0" applyNumberFormat="1" applyFont="1" applyBorder="1" applyAlignment="1"/>
    <xf numFmtId="42" fontId="3" fillId="0" borderId="5" xfId="0" applyNumberFormat="1" applyFont="1" applyFill="1" applyBorder="1" applyAlignment="1"/>
    <xf numFmtId="0" fontId="4" fillId="0" borderId="0" xfId="0" applyNumberFormat="1" applyFont="1" applyBorder="1" applyAlignment="1" applyProtection="1">
      <alignment horizontal="center"/>
      <protection locked="0"/>
    </xf>
    <xf numFmtId="170" fontId="22" fillId="0" borderId="19" xfId="0" applyNumberFormat="1" applyFont="1" applyFill="1" applyBorder="1" applyAlignment="1"/>
    <xf numFmtId="0" fontId="22" fillId="0" borderId="0" xfId="9" applyNumberFormat="1" applyFont="1" applyFill="1" applyAlignment="1" applyProtection="1">
      <protection locked="0"/>
    </xf>
    <xf numFmtId="170" fontId="64" fillId="5" borderId="2" xfId="0" applyNumberFormat="1" applyFont="1" applyFill="1" applyBorder="1" applyAlignment="1">
      <alignment horizontal="center"/>
    </xf>
    <xf numFmtId="170" fontId="35" fillId="5" borderId="2" xfId="0" applyNumberFormat="1" applyFont="1" applyFill="1" applyBorder="1" applyAlignment="1">
      <alignment horizontal="center" wrapText="1"/>
    </xf>
    <xf numFmtId="170" fontId="64" fillId="5" borderId="2" xfId="0" applyNumberFormat="1" applyFont="1" applyFill="1" applyBorder="1" applyAlignment="1">
      <alignment horizontal="center" wrapText="1"/>
    </xf>
    <xf numFmtId="170" fontId="64" fillId="6" borderId="2" xfId="0" applyNumberFormat="1" applyFont="1" applyFill="1" applyBorder="1" applyAlignment="1">
      <alignment horizontal="center"/>
    </xf>
    <xf numFmtId="170" fontId="35" fillId="6" borderId="2" xfId="0" applyNumberFormat="1" applyFont="1" applyFill="1" applyBorder="1" applyAlignment="1">
      <alignment horizontal="center" wrapText="1"/>
    </xf>
    <xf numFmtId="170" fontId="64" fillId="6" borderId="2" xfId="0" applyNumberFormat="1" applyFont="1" applyFill="1" applyBorder="1" applyAlignment="1">
      <alignment horizontal="center" wrapText="1"/>
    </xf>
    <xf numFmtId="170" fontId="17" fillId="0" borderId="0" xfId="0" applyNumberFormat="1" applyFont="1" applyFill="1" applyAlignment="1"/>
    <xf numFmtId="170" fontId="17" fillId="0" borderId="0" xfId="0" applyNumberFormat="1" applyFont="1" applyFill="1" applyAlignment="1">
      <alignment horizontal="center"/>
    </xf>
    <xf numFmtId="0" fontId="18" fillId="0" borderId="0" xfId="6" applyFont="1" applyFill="1" applyAlignment="1">
      <alignment horizontal="center"/>
    </xf>
    <xf numFmtId="0" fontId="6" fillId="0" borderId="0" xfId="6" applyFont="1" applyFill="1" applyAlignment="1">
      <alignment horizontal="center"/>
    </xf>
    <xf numFmtId="1" fontId="11" fillId="0" borderId="0" xfId="6" applyNumberFormat="1" applyFont="1" applyFill="1" applyAlignment="1">
      <alignment horizontal="left"/>
    </xf>
    <xf numFmtId="3" fontId="6" fillId="0" borderId="0" xfId="0" applyNumberFormat="1" applyFont="1" applyAlignment="1">
      <alignment horizontal="left"/>
    </xf>
    <xf numFmtId="42" fontId="4" fillId="0" borderId="1" xfId="3" applyNumberFormat="1" applyFont="1" applyFill="1" applyBorder="1" applyAlignment="1"/>
    <xf numFmtId="1" fontId="4" fillId="0" borderId="0" xfId="9" applyNumberFormat="1" applyFont="1" applyFill="1" applyAlignment="1" applyProtection="1">
      <alignment horizontal="left"/>
      <protection locked="0"/>
    </xf>
    <xf numFmtId="172" fontId="4" fillId="0" borderId="24" xfId="3" applyNumberFormat="1" applyFont="1" applyFill="1" applyBorder="1" applyAlignment="1"/>
    <xf numFmtId="170" fontId="64" fillId="0" borderId="1" xfId="0" applyNumberFormat="1" applyFont="1" applyBorder="1" applyAlignment="1">
      <alignment horizontal="center" wrapText="1"/>
    </xf>
    <xf numFmtId="170" fontId="64" fillId="0" borderId="1" xfId="0" applyNumberFormat="1" applyFont="1" applyBorder="1" applyAlignment="1">
      <alignment horizontal="center"/>
    </xf>
    <xf numFmtId="0" fontId="0" fillId="0" borderId="0" xfId="0" applyNumberFormat="1" applyFill="1" applyAlignment="1">
      <alignment horizontal="center"/>
    </xf>
    <xf numFmtId="170" fontId="0" fillId="0" borderId="0" xfId="0" applyNumberFormat="1" applyFill="1" applyAlignment="1">
      <alignment horizontal="center"/>
    </xf>
    <xf numFmtId="172" fontId="0" fillId="0" borderId="0" xfId="0" applyNumberFormat="1" applyFill="1" applyAlignment="1">
      <alignment horizontal="center"/>
    </xf>
    <xf numFmtId="1" fontId="14" fillId="0" borderId="0" xfId="9" applyNumberFormat="1" applyFont="1" applyAlignment="1" applyProtection="1">
      <alignment horizontal="left"/>
      <protection locked="0"/>
    </xf>
    <xf numFmtId="0" fontId="12" fillId="0" borderId="1" xfId="6" applyFont="1" applyFill="1" applyBorder="1" applyAlignment="1">
      <alignment horizontal="center" vertical="center"/>
    </xf>
    <xf numFmtId="41" fontId="12" fillId="0" borderId="1" xfId="6" applyNumberFormat="1" applyFont="1" applyFill="1" applyBorder="1" applyAlignment="1">
      <alignment horizontal="center" vertical="center"/>
    </xf>
    <xf numFmtId="41" fontId="6" fillId="0" borderId="1" xfId="6" applyNumberFormat="1" applyFont="1" applyFill="1" applyBorder="1" applyAlignment="1">
      <alignment horizontal="center"/>
    </xf>
    <xf numFmtId="0" fontId="6" fillId="0" borderId="1" xfId="6" applyFont="1" applyBorder="1" applyAlignment="1">
      <alignment horizontal="center"/>
    </xf>
    <xf numFmtId="170" fontId="3" fillId="0" borderId="25" xfId="0" applyNumberFormat="1" applyFont="1" applyBorder="1" applyAlignment="1">
      <alignment horizontal="center"/>
    </xf>
    <xf numFmtId="3" fontId="22" fillId="0" borderId="0" xfId="0" applyNumberFormat="1" applyFont="1" applyFill="1" applyAlignment="1">
      <alignment horizontal="left"/>
    </xf>
    <xf numFmtId="42" fontId="4" fillId="0" borderId="1" xfId="0" applyNumberFormat="1" applyFont="1" applyFill="1" applyBorder="1" applyAlignment="1"/>
    <xf numFmtId="42" fontId="4" fillId="0" borderId="3" xfId="3" applyNumberFormat="1" applyFont="1" applyFill="1" applyBorder="1" applyAlignment="1"/>
    <xf numFmtId="0" fontId="4" fillId="0" borderId="1" xfId="9" applyNumberFormat="1" applyFont="1" applyBorder="1" applyAlignment="1" applyProtection="1">
      <alignment horizontal="center"/>
      <protection locked="0"/>
    </xf>
    <xf numFmtId="0" fontId="4" fillId="0" borderId="1" xfId="9" applyNumberFormat="1" applyFont="1" applyBorder="1" applyProtection="1">
      <protection locked="0"/>
    </xf>
    <xf numFmtId="170" fontId="6" fillId="0" borderId="1" xfId="9" applyFont="1" applyBorder="1" applyAlignment="1">
      <alignment horizontal="center"/>
    </xf>
    <xf numFmtId="0" fontId="6" fillId="0" borderId="1" xfId="9" applyNumberFormat="1" applyFont="1" applyBorder="1" applyAlignment="1" applyProtection="1">
      <alignment horizontal="center"/>
      <protection locked="0"/>
    </xf>
    <xf numFmtId="170" fontId="27" fillId="0" borderId="5" xfId="0" applyNumberFormat="1" applyFont="1" applyFill="1" applyBorder="1" applyAlignment="1"/>
    <xf numFmtId="171" fontId="76" fillId="0" borderId="0" xfId="1" applyNumberFormat="1" applyFont="1" applyFill="1" applyBorder="1" applyAlignment="1"/>
    <xf numFmtId="189" fontId="4" fillId="0" borderId="21" xfId="0" applyNumberFormat="1" applyFont="1" applyFill="1" applyBorder="1"/>
    <xf numFmtId="189" fontId="4" fillId="0" borderId="16" xfId="0" applyNumberFormat="1" applyFont="1" applyFill="1" applyBorder="1"/>
    <xf numFmtId="189" fontId="4" fillId="0" borderId="8" xfId="0" applyNumberFormat="1" applyFont="1" applyFill="1" applyBorder="1" applyAlignment="1">
      <alignment horizontal="right"/>
    </xf>
    <xf numFmtId="189" fontId="4" fillId="0" borderId="23" xfId="0" applyNumberFormat="1" applyFont="1" applyFill="1" applyBorder="1" applyAlignment="1">
      <alignment horizontal="right"/>
    </xf>
    <xf numFmtId="189" fontId="4" fillId="0" borderId="2" xfId="0" applyNumberFormat="1" applyFont="1" applyFill="1" applyBorder="1"/>
    <xf numFmtId="189" fontId="4" fillId="0" borderId="21" xfId="0" applyNumberFormat="1" applyFont="1" applyBorder="1"/>
    <xf numFmtId="189" fontId="4" fillId="0" borderId="2" xfId="0" applyNumberFormat="1" applyFont="1" applyBorder="1"/>
    <xf numFmtId="189" fontId="4" fillId="0" borderId="16" xfId="0" applyNumberFormat="1" applyFont="1" applyBorder="1"/>
    <xf numFmtId="189" fontId="4" fillId="0" borderId="6" xfId="0" applyNumberFormat="1" applyFont="1" applyBorder="1"/>
    <xf numFmtId="189" fontId="4" fillId="0" borderId="5" xfId="0" applyNumberFormat="1" applyFont="1" applyBorder="1"/>
    <xf numFmtId="189" fontId="4" fillId="0" borderId="26" xfId="0" applyNumberFormat="1" applyFont="1" applyBorder="1"/>
    <xf numFmtId="189" fontId="4" fillId="0" borderId="0" xfId="0" applyNumberFormat="1" applyFont="1" applyBorder="1"/>
    <xf numFmtId="10" fontId="6" fillId="0" borderId="27" xfId="15" applyNumberFormat="1" applyFont="1" applyFill="1" applyBorder="1" applyAlignment="1">
      <alignment vertical="top"/>
    </xf>
    <xf numFmtId="189" fontId="22" fillId="0" borderId="6" xfId="15" applyNumberFormat="1" applyFont="1" applyFill="1" applyBorder="1"/>
    <xf numFmtId="189" fontId="22" fillId="0" borderId="0" xfId="0" applyNumberFormat="1" applyFont="1" applyFill="1" applyAlignment="1"/>
    <xf numFmtId="49" fontId="18" fillId="0" borderId="0" xfId="9" applyNumberFormat="1" applyFont="1" applyBorder="1" applyAlignment="1" applyProtection="1">
      <alignment horizontal="center"/>
      <protection locked="0"/>
    </xf>
    <xf numFmtId="44" fontId="67" fillId="0" borderId="0" xfId="0" applyNumberFormat="1" applyFont="1" applyBorder="1" applyAlignment="1">
      <alignment horizontal="center"/>
    </xf>
    <xf numFmtId="171" fontId="43" fillId="0" borderId="0" xfId="1" applyNumberFormat="1" applyFont="1" applyFill="1" applyAlignment="1"/>
    <xf numFmtId="171" fontId="43" fillId="0" borderId="1" xfId="1" applyNumberFormat="1" applyFont="1" applyFill="1" applyBorder="1" applyAlignment="1"/>
    <xf numFmtId="170" fontId="22" fillId="0" borderId="0" xfId="0" applyNumberFormat="1" applyFont="1" applyFill="1" applyAlignment="1">
      <alignment horizontal="center"/>
    </xf>
    <xf numFmtId="0" fontId="22" fillId="0" borderId="0" xfId="0" applyNumberFormat="1" applyFont="1" applyFill="1" applyAlignment="1" applyProtection="1">
      <alignment horizontal="right"/>
      <protection locked="0"/>
    </xf>
    <xf numFmtId="42" fontId="4" fillId="0" borderId="0" xfId="1" applyNumberFormat="1" applyFont="1" applyFill="1" applyBorder="1" applyAlignment="1"/>
    <xf numFmtId="170" fontId="22" fillId="0" borderId="0" xfId="0" quotePrefix="1" applyNumberFormat="1" applyFont="1" applyAlignment="1"/>
    <xf numFmtId="173" fontId="32" fillId="0" borderId="0" xfId="0" applyNumberFormat="1" applyFont="1" applyFill="1" applyAlignment="1"/>
    <xf numFmtId="173" fontId="3" fillId="0" borderId="0" xfId="0" applyNumberFormat="1" applyFont="1" applyBorder="1" applyAlignment="1"/>
    <xf numFmtId="0" fontId="27" fillId="2" borderId="0" xfId="0" applyNumberFormat="1" applyFont="1" applyFill="1" applyBorder="1" applyAlignment="1">
      <alignment wrapText="1"/>
    </xf>
    <xf numFmtId="42" fontId="34" fillId="4" borderId="0" xfId="0" quotePrefix="1" applyNumberFormat="1" applyFont="1" applyFill="1" applyAlignment="1">
      <alignment horizontal="left"/>
    </xf>
    <xf numFmtId="42" fontId="4" fillId="0" borderId="0" xfId="9" applyNumberFormat="1" applyFont="1" applyFill="1" applyBorder="1" applyAlignment="1"/>
    <xf numFmtId="41" fontId="4" fillId="0" borderId="0" xfId="9" applyNumberFormat="1" applyFont="1" applyAlignment="1"/>
    <xf numFmtId="170" fontId="4" fillId="0" borderId="0" xfId="9" applyFont="1" applyFill="1" applyBorder="1" applyAlignment="1"/>
    <xf numFmtId="0" fontId="4" fillId="0" borderId="0" xfId="9" applyNumberFormat="1" applyFont="1" applyFill="1" applyBorder="1" applyProtection="1">
      <protection locked="0"/>
    </xf>
    <xf numFmtId="0" fontId="4" fillId="0" borderId="0" xfId="9" applyNumberFormat="1" applyFont="1" applyFill="1" applyBorder="1"/>
    <xf numFmtId="10" fontId="4" fillId="0" borderId="0" xfId="9" applyNumberFormat="1" applyFont="1" applyFill="1" applyBorder="1"/>
    <xf numFmtId="170" fontId="49" fillId="0" borderId="0" xfId="0" applyNumberFormat="1" applyFont="1" applyFill="1" applyBorder="1"/>
    <xf numFmtId="42" fontId="0" fillId="0" borderId="0" xfId="0" applyNumberFormat="1" applyFill="1" applyBorder="1"/>
    <xf numFmtId="172" fontId="0" fillId="0" borderId="0" xfId="3" applyNumberFormat="1" applyFont="1" applyFill="1"/>
    <xf numFmtId="170" fontId="37" fillId="0" borderId="0" xfId="0" applyNumberFormat="1" applyFont="1" applyFill="1"/>
    <xf numFmtId="42" fontId="38" fillId="0" borderId="0" xfId="6" applyNumberFormat="1" applyFont="1" applyFill="1" applyAlignment="1">
      <alignment vertical="center"/>
    </xf>
    <xf numFmtId="42" fontId="38" fillId="0" borderId="13" xfId="6" applyNumberFormat="1" applyFont="1" applyBorder="1" applyAlignment="1">
      <alignment vertical="center"/>
    </xf>
    <xf numFmtId="42" fontId="38" fillId="0" borderId="13" xfId="6" applyNumberFormat="1" applyFont="1" applyFill="1" applyBorder="1" applyAlignment="1">
      <alignment vertical="center"/>
    </xf>
    <xf numFmtId="41" fontId="12" fillId="0" borderId="0" xfId="6" applyNumberFormat="1" applyFont="1" applyFill="1" applyAlignment="1">
      <alignment horizontal="center"/>
    </xf>
    <xf numFmtId="170" fontId="0" fillId="0" borderId="28" xfId="0" applyNumberFormat="1" applyBorder="1" applyAlignment="1">
      <alignment horizontal="center" wrapText="1"/>
    </xf>
    <xf numFmtId="41" fontId="2" fillId="0" borderId="0" xfId="0" applyNumberFormat="1" applyFont="1" applyFill="1" applyBorder="1"/>
    <xf numFmtId="170" fontId="11" fillId="0" borderId="2" xfId="0" applyNumberFormat="1" applyFont="1" applyFill="1" applyBorder="1" applyAlignment="1">
      <alignment horizontal="center" wrapText="1"/>
    </xf>
    <xf numFmtId="170" fontId="27" fillId="0" borderId="2" xfId="0" applyNumberFormat="1" applyFont="1" applyFill="1" applyBorder="1" applyAlignment="1"/>
    <xf numFmtId="170" fontId="27" fillId="0" borderId="2" xfId="0" applyNumberFormat="1" applyFont="1" applyFill="1" applyBorder="1" applyAlignment="1">
      <alignment horizontal="center" wrapText="1"/>
    </xf>
    <xf numFmtId="42" fontId="11" fillId="0" borderId="2" xfId="0" applyNumberFormat="1" applyFont="1" applyFill="1" applyBorder="1" applyAlignment="1">
      <alignment horizontal="center"/>
    </xf>
    <xf numFmtId="41" fontId="22" fillId="0" borderId="1" xfId="0" quotePrefix="1" applyNumberFormat="1" applyFont="1" applyFill="1" applyBorder="1" applyAlignment="1"/>
    <xf numFmtId="173" fontId="34" fillId="0" borderId="0" xfId="15" applyNumberFormat="1" applyFont="1" applyFill="1" applyBorder="1" applyAlignment="1"/>
    <xf numFmtId="0" fontId="11" fillId="0" borderId="0" xfId="8" applyFont="1" applyFill="1" applyAlignment="1">
      <alignment horizontal="center"/>
    </xf>
    <xf numFmtId="42" fontId="4" fillId="0" borderId="29" xfId="3" applyNumberFormat="1" applyFont="1" applyFill="1" applyBorder="1" applyAlignment="1"/>
    <xf numFmtId="41" fontId="2" fillId="0" borderId="20" xfId="0" applyNumberFormat="1" applyFont="1" applyFill="1" applyBorder="1"/>
    <xf numFmtId="170" fontId="3" fillId="2" borderId="3" xfId="0" applyNumberFormat="1" applyFont="1" applyFill="1" applyBorder="1" applyAlignment="1"/>
    <xf numFmtId="173" fontId="3" fillId="2" borderId="3" xfId="0" applyNumberFormat="1" applyFont="1" applyFill="1" applyBorder="1" applyAlignment="1"/>
    <xf numFmtId="10" fontId="3" fillId="2" borderId="3" xfId="15" applyNumberFormat="1" applyFont="1" applyFill="1" applyBorder="1" applyAlignment="1"/>
    <xf numFmtId="10" fontId="3" fillId="2" borderId="3" xfId="0" quotePrefix="1" applyNumberFormat="1" applyFont="1" applyFill="1" applyBorder="1" applyAlignment="1">
      <alignment horizontal="center"/>
    </xf>
    <xf numFmtId="170" fontId="78" fillId="0" borderId="0" xfId="0" applyNumberFormat="1" applyFont="1" applyAlignment="1">
      <alignment horizontal="center"/>
    </xf>
    <xf numFmtId="170" fontId="49" fillId="0" borderId="0" xfId="0" applyNumberFormat="1" applyFont="1" applyAlignment="1">
      <alignment horizontal="center"/>
    </xf>
    <xf numFmtId="170" fontId="49" fillId="0" borderId="0" xfId="0" applyNumberFormat="1" applyFont="1" applyAlignment="1">
      <alignment horizontal="left"/>
    </xf>
    <xf numFmtId="170" fontId="78" fillId="0" borderId="0" xfId="0" applyNumberFormat="1" applyFont="1" applyAlignment="1">
      <alignment horizontal="right"/>
    </xf>
    <xf numFmtId="183" fontId="23" fillId="0" borderId="0" xfId="0" applyNumberFormat="1" applyFont="1" applyAlignment="1"/>
    <xf numFmtId="183" fontId="22" fillId="0" borderId="0" xfId="0" applyNumberFormat="1" applyFont="1" applyAlignment="1"/>
    <xf numFmtId="1" fontId="4" fillId="0" borderId="0" xfId="9" applyNumberFormat="1" applyFont="1" applyBorder="1" applyAlignment="1" applyProtection="1">
      <alignment horizontal="left"/>
      <protection locked="0"/>
    </xf>
    <xf numFmtId="172" fontId="22" fillId="0" borderId="0" xfId="3" applyNumberFormat="1" applyFont="1" applyFill="1" applyBorder="1" applyAlignment="1">
      <alignment horizontal="right"/>
    </xf>
    <xf numFmtId="41" fontId="22" fillId="0" borderId="0" xfId="0" applyNumberFormat="1" applyFont="1" applyBorder="1" applyAlignment="1"/>
    <xf numFmtId="0" fontId="22" fillId="0" borderId="0" xfId="0" applyNumberFormat="1" applyFont="1" applyBorder="1" applyAlignment="1">
      <alignment horizontal="center"/>
    </xf>
    <xf numFmtId="44" fontId="22" fillId="0" borderId="0" xfId="0" applyNumberFormat="1" applyFont="1" applyBorder="1" applyAlignment="1">
      <alignment horizontal="center"/>
    </xf>
    <xf numFmtId="164" fontId="22" fillId="0" borderId="0" xfId="0" applyNumberFormat="1" applyFont="1" applyBorder="1" applyAlignment="1">
      <alignment horizontal="center"/>
    </xf>
    <xf numFmtId="188" fontId="4" fillId="0" borderId="0" xfId="0" applyNumberFormat="1" applyFont="1" applyBorder="1" applyAlignment="1"/>
    <xf numFmtId="188" fontId="4" fillId="0" borderId="0" xfId="0" quotePrefix="1" applyNumberFormat="1" applyFont="1" applyBorder="1" applyAlignment="1"/>
    <xf numFmtId="170" fontId="4" fillId="0" borderId="1" xfId="0" applyNumberFormat="1" applyFont="1" applyBorder="1" applyAlignment="1">
      <alignment horizontal="center"/>
    </xf>
    <xf numFmtId="37" fontId="0" fillId="0" borderId="0" xfId="0" applyNumberFormat="1" applyFill="1" applyAlignment="1">
      <alignment horizontal="center" vertical="center"/>
    </xf>
    <xf numFmtId="10" fontId="4" fillId="0" borderId="27" xfId="15" applyNumberFormat="1" applyFont="1" applyFill="1" applyBorder="1" applyAlignment="1">
      <alignment vertical="top"/>
    </xf>
    <xf numFmtId="170" fontId="51" fillId="0" borderId="0" xfId="0" applyNumberFormat="1" applyFont="1" applyFill="1" applyAlignment="1"/>
    <xf numFmtId="170" fontId="0" fillId="0" borderId="30" xfId="0" applyNumberFormat="1" applyBorder="1"/>
    <xf numFmtId="0" fontId="17" fillId="0" borderId="0" xfId="0" applyNumberFormat="1" applyFont="1"/>
    <xf numFmtId="0" fontId="11" fillId="0" borderId="0" xfId="0" applyNumberFormat="1" applyFont="1"/>
    <xf numFmtId="0" fontId="9" fillId="0" borderId="0" xfId="0" applyNumberFormat="1" applyFont="1" applyAlignment="1">
      <alignment horizontal="center"/>
    </xf>
    <xf numFmtId="0" fontId="9" fillId="0" borderId="0" xfId="0" applyNumberFormat="1" applyFont="1"/>
    <xf numFmtId="0" fontId="6" fillId="0" borderId="0" xfId="0" applyNumberFormat="1" applyFont="1"/>
    <xf numFmtId="0" fontId="40" fillId="0" borderId="0" xfId="0" applyNumberFormat="1" applyFont="1" applyAlignment="1">
      <alignment horizontal="center"/>
    </xf>
    <xf numFmtId="0" fontId="64" fillId="0" borderId="4" xfId="0" applyNumberFormat="1" applyFont="1" applyBorder="1"/>
    <xf numFmtId="0" fontId="64" fillId="0" borderId="0" xfId="0" applyNumberFormat="1" applyFont="1" applyBorder="1" applyAlignment="1"/>
    <xf numFmtId="0" fontId="40" fillId="0" borderId="0" xfId="0" applyNumberFormat="1" applyFont="1"/>
    <xf numFmtId="0" fontId="11" fillId="0" borderId="5" xfId="0" applyNumberFormat="1" applyFont="1" applyBorder="1"/>
    <xf numFmtId="0" fontId="11" fillId="0" borderId="12" xfId="0" applyNumberFormat="1" applyFont="1" applyBorder="1" applyAlignment="1">
      <alignment horizontal="center"/>
    </xf>
    <xf numFmtId="0" fontId="30" fillId="0" borderId="7" xfId="0" applyNumberFormat="1" applyFont="1" applyBorder="1" applyAlignment="1">
      <alignment horizontal="center"/>
    </xf>
    <xf numFmtId="0" fontId="30" fillId="0" borderId="12" xfId="0" applyNumberFormat="1" applyFont="1" applyBorder="1" applyAlignment="1">
      <alignment horizontal="center"/>
    </xf>
    <xf numFmtId="0" fontId="11" fillId="0" borderId="9" xfId="0" applyNumberFormat="1" applyFont="1" applyFill="1" applyBorder="1" applyAlignment="1">
      <alignment horizontal="center"/>
    </xf>
    <xf numFmtId="0" fontId="11" fillId="0" borderId="0" xfId="0" applyNumberFormat="1" applyFont="1" applyBorder="1"/>
    <xf numFmtId="177" fontId="11" fillId="0" borderId="5" xfId="0" applyNumberFormat="1" applyFont="1" applyBorder="1"/>
    <xf numFmtId="177" fontId="11" fillId="0" borderId="21" xfId="0" applyNumberFormat="1" applyFont="1" applyBorder="1" applyAlignment="1">
      <alignment horizontal="center"/>
    </xf>
    <xf numFmtId="177" fontId="11" fillId="0" borderId="3" xfId="0" applyNumberFormat="1" applyFont="1" applyBorder="1" applyAlignment="1">
      <alignment horizontal="center"/>
    </xf>
    <xf numFmtId="177" fontId="11" fillId="0" borderId="8" xfId="0" applyNumberFormat="1" applyFont="1" applyFill="1" applyBorder="1" applyAlignment="1">
      <alignment horizontal="center"/>
    </xf>
    <xf numFmtId="177" fontId="11" fillId="0" borderId="0" xfId="0" applyNumberFormat="1" applyFont="1" applyBorder="1"/>
    <xf numFmtId="177" fontId="11" fillId="0" borderId="0" xfId="0" applyNumberFormat="1" applyFont="1"/>
    <xf numFmtId="0" fontId="11" fillId="0" borderId="12" xfId="0" applyNumberFormat="1" applyFont="1" applyBorder="1"/>
    <xf numFmtId="0" fontId="9" fillId="0" borderId="0" xfId="0" applyNumberFormat="1" applyFont="1" applyBorder="1"/>
    <xf numFmtId="0" fontId="11" fillId="0" borderId="2" xfId="0" applyNumberFormat="1" applyFont="1" applyBorder="1"/>
    <xf numFmtId="0" fontId="11" fillId="0" borderId="11" xfId="0" applyNumberFormat="1" applyFont="1" applyBorder="1"/>
    <xf numFmtId="0" fontId="11" fillId="0" borderId="21" xfId="0" applyNumberFormat="1" applyFont="1" applyBorder="1" applyAlignment="1">
      <alignment horizontal="center"/>
    </xf>
    <xf numFmtId="0" fontId="11" fillId="0" borderId="6" xfId="0" applyNumberFormat="1" applyFont="1" applyBorder="1"/>
    <xf numFmtId="3" fontId="9" fillId="0" borderId="3"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11" fillId="0" borderId="0" xfId="0" applyNumberFormat="1" applyFont="1" applyAlignment="1">
      <alignment horizontal="center"/>
    </xf>
    <xf numFmtId="177" fontId="11" fillId="0" borderId="0" xfId="0" applyNumberFormat="1" applyFont="1" applyAlignment="1">
      <alignment horizontal="center"/>
    </xf>
    <xf numFmtId="3" fontId="9" fillId="0" borderId="8" xfId="0" applyNumberFormat="1" applyFont="1" applyBorder="1" applyAlignment="1">
      <alignment horizontal="center"/>
    </xf>
    <xf numFmtId="3" fontId="9" fillId="0" borderId="11" xfId="0" applyNumberFormat="1" applyFont="1" applyFill="1" applyBorder="1" applyAlignment="1"/>
    <xf numFmtId="3" fontId="9" fillId="0" borderId="2" xfId="0" applyNumberFormat="1" applyFont="1" applyFill="1" applyBorder="1" applyAlignment="1">
      <alignment horizontal="right"/>
    </xf>
    <xf numFmtId="3" fontId="9" fillId="0" borderId="2" xfId="0" applyNumberFormat="1" applyFont="1" applyFill="1" applyBorder="1" applyAlignment="1"/>
    <xf numFmtId="0" fontId="6" fillId="0" borderId="0" xfId="0" applyNumberFormat="1" applyFont="1" applyFill="1" applyAlignment="1">
      <alignment horizontal="center"/>
    </xf>
    <xf numFmtId="0" fontId="0" fillId="0" borderId="0" xfId="0" applyNumberFormat="1" applyAlignment="1">
      <alignment horizontal="center"/>
    </xf>
    <xf numFmtId="0" fontId="0" fillId="0" borderId="0" xfId="0" applyNumberFormat="1"/>
    <xf numFmtId="0" fontId="9" fillId="0" borderId="0" xfId="0" applyNumberFormat="1" applyFont="1" applyBorder="1" applyAlignment="1">
      <alignment horizontal="center"/>
    </xf>
    <xf numFmtId="3" fontId="9" fillId="0" borderId="0" xfId="0" applyNumberFormat="1" applyFont="1"/>
    <xf numFmtId="3" fontId="0" fillId="0" borderId="0" xfId="0" applyNumberFormat="1" applyFill="1" applyBorder="1"/>
    <xf numFmtId="0" fontId="9" fillId="0" borderId="0" xfId="0" applyNumberFormat="1" applyFont="1" applyFill="1" applyBorder="1"/>
    <xf numFmtId="0" fontId="9" fillId="0" borderId="0" xfId="0" applyNumberFormat="1" applyFont="1" applyAlignment="1">
      <alignment horizontal="left"/>
    </xf>
    <xf numFmtId="0" fontId="9" fillId="0" borderId="0" xfId="13"/>
    <xf numFmtId="0" fontId="6" fillId="0" borderId="4" xfId="13" applyFont="1" applyBorder="1"/>
    <xf numFmtId="0" fontId="11" fillId="0" borderId="12" xfId="13" applyFont="1" applyBorder="1" applyAlignment="1">
      <alignment horizontal="center"/>
    </xf>
    <xf numFmtId="0" fontId="11" fillId="0" borderId="7" xfId="13" applyFont="1" applyBorder="1" applyAlignment="1">
      <alignment horizontal="center"/>
    </xf>
    <xf numFmtId="0" fontId="11" fillId="0" borderId="0" xfId="0" applyNumberFormat="1" applyFont="1" applyBorder="1" applyAlignment="1">
      <alignment horizontal="center"/>
    </xf>
    <xf numFmtId="0" fontId="11" fillId="0" borderId="11" xfId="13" applyFont="1" applyBorder="1" applyAlignment="1">
      <alignment horizontal="center"/>
    </xf>
    <xf numFmtId="0" fontId="9" fillId="0" borderId="2" xfId="0" applyNumberFormat="1" applyFont="1" applyBorder="1" applyAlignment="1">
      <alignment horizontal="center"/>
    </xf>
    <xf numFmtId="0" fontId="9" fillId="0" borderId="13" xfId="0" applyNumberFormat="1" applyFont="1" applyBorder="1" applyAlignment="1">
      <alignment horizontal="center"/>
    </xf>
    <xf numFmtId="0" fontId="9" fillId="0" borderId="2" xfId="0" applyNumberFormat="1" applyFont="1" applyBorder="1"/>
    <xf numFmtId="0" fontId="9" fillId="0" borderId="0" xfId="13" applyFont="1"/>
    <xf numFmtId="0" fontId="9" fillId="0" borderId="6" xfId="0" applyNumberFormat="1" applyFont="1" applyBorder="1"/>
    <xf numFmtId="42" fontId="9" fillId="0" borderId="2" xfId="0" applyNumberFormat="1" applyFont="1" applyFill="1" applyBorder="1" applyAlignment="1">
      <alignment horizontal="right"/>
    </xf>
    <xf numFmtId="42" fontId="9" fillId="0" borderId="11" xfId="0" applyNumberFormat="1" applyFont="1" applyFill="1" applyBorder="1" applyAlignment="1"/>
    <xf numFmtId="0" fontId="9" fillId="0" borderId="9" xfId="0" applyNumberFormat="1" applyFont="1" applyBorder="1"/>
    <xf numFmtId="0" fontId="9" fillId="0" borderId="8" xfId="0" applyNumberFormat="1" applyFont="1" applyBorder="1"/>
    <xf numFmtId="0" fontId="9" fillId="0" borderId="23" xfId="0" applyNumberFormat="1" applyFont="1" applyBorder="1"/>
    <xf numFmtId="42" fontId="3" fillId="0" borderId="21" xfId="0" applyNumberFormat="1" applyFont="1" applyBorder="1"/>
    <xf numFmtId="0" fontId="0" fillId="0" borderId="0" xfId="0" applyNumberFormat="1" applyBorder="1" applyAlignment="1">
      <alignment horizontal="center"/>
    </xf>
    <xf numFmtId="42" fontId="3" fillId="0" borderId="0" xfId="0" applyNumberFormat="1" applyFont="1" applyBorder="1"/>
    <xf numFmtId="0" fontId="11" fillId="0" borderId="9" xfId="13" applyFont="1" applyBorder="1" applyAlignment="1">
      <alignment horizontal="center"/>
    </xf>
    <xf numFmtId="0" fontId="11" fillId="0" borderId="8" xfId="0" applyNumberFormat="1" applyFont="1" applyBorder="1" applyAlignment="1">
      <alignment horizontal="center"/>
    </xf>
    <xf numFmtId="42" fontId="3" fillId="0" borderId="8" xfId="0" applyNumberFormat="1" applyFont="1" applyBorder="1"/>
    <xf numFmtId="41" fontId="0" fillId="0" borderId="5" xfId="0" applyNumberFormat="1" applyFill="1" applyBorder="1"/>
    <xf numFmtId="42" fontId="3" fillId="0" borderId="6" xfId="0" applyNumberFormat="1" applyFont="1" applyBorder="1"/>
    <xf numFmtId="177" fontId="11" fillId="0" borderId="0" xfId="0" applyNumberFormat="1" applyFont="1" applyFill="1" applyBorder="1" applyAlignment="1">
      <alignment horizontal="center"/>
    </xf>
    <xf numFmtId="0" fontId="9"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17" fontId="11" fillId="0" borderId="0" xfId="0" applyNumberFormat="1" applyFont="1" applyFill="1" applyBorder="1" applyAlignment="1">
      <alignment horizontal="center"/>
    </xf>
    <xf numFmtId="0" fontId="0" fillId="0" borderId="0" xfId="0" applyNumberFormat="1" applyFill="1" applyBorder="1" applyAlignment="1">
      <alignment horizontal="center"/>
    </xf>
    <xf numFmtId="42" fontId="75" fillId="0" borderId="0" xfId="0" applyNumberFormat="1" applyFont="1" applyFill="1" applyBorder="1"/>
    <xf numFmtId="41" fontId="75" fillId="0" borderId="0" xfId="0" applyNumberFormat="1" applyFont="1" applyFill="1" applyBorder="1"/>
    <xf numFmtId="42" fontId="3" fillId="0" borderId="0" xfId="0" applyNumberFormat="1" applyFont="1" applyFill="1" applyBorder="1"/>
    <xf numFmtId="0" fontId="11" fillId="0" borderId="21" xfId="13" applyFont="1" applyBorder="1" applyAlignment="1">
      <alignment horizontal="center"/>
    </xf>
    <xf numFmtId="0" fontId="11" fillId="0" borderId="5" xfId="0" applyNumberFormat="1" applyFont="1" applyBorder="1" applyAlignment="1">
      <alignment horizontal="center"/>
    </xf>
    <xf numFmtId="0" fontId="11" fillId="0" borderId="4" xfId="0" applyNumberFormat="1" applyFont="1" applyBorder="1"/>
    <xf numFmtId="177" fontId="11" fillId="0" borderId="10" xfId="0" applyNumberFormat="1" applyFont="1" applyFill="1" applyBorder="1" applyAlignment="1">
      <alignment horizontal="center"/>
    </xf>
    <xf numFmtId="41" fontId="0" fillId="0" borderId="10" xfId="0" applyNumberFormat="1" applyFill="1" applyBorder="1"/>
    <xf numFmtId="42" fontId="75" fillId="0" borderId="23" xfId="0" applyNumberFormat="1" applyFont="1" applyFill="1" applyBorder="1"/>
    <xf numFmtId="41" fontId="75" fillId="0" borderId="23" xfId="0" applyNumberFormat="1" applyFont="1" applyFill="1" applyBorder="1"/>
    <xf numFmtId="0" fontId="0" fillId="0" borderId="4" xfId="0" applyNumberFormat="1" applyBorder="1" applyAlignment="1">
      <alignment horizontal="center"/>
    </xf>
    <xf numFmtId="42" fontId="3" fillId="0" borderId="9" xfId="0" applyNumberFormat="1" applyFont="1" applyBorder="1"/>
    <xf numFmtId="42" fontId="3" fillId="0" borderId="23" xfId="0" applyNumberFormat="1" applyFont="1" applyBorder="1"/>
    <xf numFmtId="0" fontId="9" fillId="0" borderId="23" xfId="0" applyNumberFormat="1" applyFont="1" applyBorder="1" applyAlignment="1">
      <alignment horizontal="center"/>
    </xf>
    <xf numFmtId="0" fontId="27" fillId="0" borderId="25" xfId="0" applyNumberFormat="1" applyFont="1" applyBorder="1" applyAlignment="1">
      <alignment horizontal="center"/>
    </xf>
    <xf numFmtId="41" fontId="3" fillId="0" borderId="2" xfId="0" applyNumberFormat="1" applyFont="1" applyFill="1" applyBorder="1" applyAlignment="1"/>
    <xf numFmtId="0" fontId="0" fillId="0" borderId="5" xfId="0" applyNumberFormat="1" applyBorder="1" applyAlignment="1">
      <alignment horizontal="center"/>
    </xf>
    <xf numFmtId="42" fontId="3" fillId="0" borderId="10" xfId="0" applyNumberFormat="1" applyFont="1" applyBorder="1"/>
    <xf numFmtId="42" fontId="3" fillId="0" borderId="2" xfId="0" applyNumberFormat="1" applyFont="1" applyBorder="1"/>
    <xf numFmtId="0" fontId="11" fillId="0" borderId="2" xfId="13" applyFont="1" applyBorder="1" applyAlignment="1">
      <alignment horizontal="center"/>
    </xf>
    <xf numFmtId="0" fontId="34" fillId="0" borderId="25" xfId="0" applyNumberFormat="1" applyFont="1" applyBorder="1"/>
    <xf numFmtId="0" fontId="34" fillId="0" borderId="5" xfId="0" applyNumberFormat="1" applyFont="1" applyFill="1" applyBorder="1"/>
    <xf numFmtId="0" fontId="11" fillId="0" borderId="25" xfId="0" applyNumberFormat="1" applyFont="1" applyBorder="1" applyAlignment="1">
      <alignment horizontal="center"/>
    </xf>
    <xf numFmtId="0" fontId="17" fillId="0" borderId="0" xfId="7" applyFont="1" applyFill="1" applyAlignment="1">
      <alignment horizontal="left"/>
    </xf>
    <xf numFmtId="172" fontId="75" fillId="0" borderId="2" xfId="3" applyNumberFormat="1" applyFont="1" applyFill="1" applyBorder="1" applyAlignment="1" applyProtection="1">
      <protection locked="0"/>
    </xf>
    <xf numFmtId="172" fontId="75" fillId="0" borderId="23" xfId="3" applyNumberFormat="1" applyFont="1" applyFill="1" applyBorder="1" applyAlignment="1" applyProtection="1">
      <protection locked="0"/>
    </xf>
    <xf numFmtId="170" fontId="0" fillId="0" borderId="9" xfId="0" applyNumberFormat="1" applyBorder="1"/>
    <xf numFmtId="170" fontId="0" fillId="0" borderId="10" xfId="0" applyNumberFormat="1" applyBorder="1"/>
    <xf numFmtId="0" fontId="11" fillId="0" borderId="6" xfId="0" applyNumberFormat="1" applyFont="1" applyBorder="1" applyAlignment="1">
      <alignment horizontal="right"/>
    </xf>
    <xf numFmtId="170" fontId="0" fillId="0" borderId="8" xfId="0" applyNumberFormat="1" applyBorder="1"/>
    <xf numFmtId="0" fontId="11" fillId="0" borderId="5" xfId="0" applyNumberFormat="1" applyFont="1" applyBorder="1" applyAlignment="1">
      <alignment horizontal="right"/>
    </xf>
    <xf numFmtId="3" fontId="75" fillId="0" borderId="8" xfId="0" applyNumberFormat="1" applyFont="1" applyFill="1" applyBorder="1" applyAlignment="1">
      <alignment horizontal="right"/>
    </xf>
    <xf numFmtId="3" fontId="75" fillId="0" borderId="21" xfId="0" applyNumberFormat="1" applyFont="1" applyFill="1" applyBorder="1" applyAlignment="1">
      <alignment horizontal="right"/>
    </xf>
    <xf numFmtId="3" fontId="9" fillId="0" borderId="21" xfId="0" applyNumberFormat="1" applyFont="1" applyFill="1" applyBorder="1" applyAlignment="1">
      <alignment horizontal="right"/>
    </xf>
    <xf numFmtId="0" fontId="11" fillId="0" borderId="31" xfId="0" applyNumberFormat="1" applyFont="1" applyBorder="1" applyAlignment="1">
      <alignment horizontal="center"/>
    </xf>
    <xf numFmtId="41" fontId="75" fillId="0" borderId="4" xfId="0" applyNumberFormat="1" applyFont="1" applyFill="1" applyBorder="1" applyAlignment="1">
      <alignment horizontal="right"/>
    </xf>
    <xf numFmtId="42" fontId="9" fillId="0" borderId="30" xfId="0" applyNumberFormat="1" applyFont="1" applyBorder="1" applyAlignment="1"/>
    <xf numFmtId="41" fontId="75" fillId="0" borderId="8" xfId="0" applyNumberFormat="1" applyFont="1" applyFill="1" applyBorder="1" applyAlignment="1">
      <alignment vertical="top"/>
    </xf>
    <xf numFmtId="41" fontId="75" fillId="0" borderId="31" xfId="0" applyNumberFormat="1" applyFont="1" applyFill="1" applyBorder="1" applyAlignment="1">
      <alignment vertical="top"/>
    </xf>
    <xf numFmtId="41" fontId="75" fillId="0" borderId="30" xfId="0" applyNumberFormat="1" applyFont="1" applyFill="1" applyBorder="1" applyAlignment="1">
      <alignment vertical="top"/>
    </xf>
    <xf numFmtId="42" fontId="9" fillId="0" borderId="32" xfId="0" applyNumberFormat="1" applyFont="1" applyFill="1" applyBorder="1" applyAlignment="1">
      <alignment horizontal="right"/>
    </xf>
    <xf numFmtId="170" fontId="0" fillId="0" borderId="7" xfId="0" applyNumberFormat="1" applyBorder="1"/>
    <xf numFmtId="177" fontId="11" fillId="0" borderId="6" xfId="0" applyNumberFormat="1" applyFont="1" applyBorder="1"/>
    <xf numFmtId="0" fontId="11" fillId="0" borderId="9" xfId="0" applyNumberFormat="1" applyFont="1" applyBorder="1" applyAlignment="1">
      <alignment horizontal="center"/>
    </xf>
    <xf numFmtId="177" fontId="11" fillId="0" borderId="8" xfId="0" applyNumberFormat="1" applyFont="1" applyBorder="1" applyAlignment="1">
      <alignment horizontal="center"/>
    </xf>
    <xf numFmtId="170" fontId="17" fillId="0" borderId="0" xfId="0" applyNumberFormat="1" applyFont="1" applyAlignment="1">
      <alignment horizontal="center"/>
    </xf>
    <xf numFmtId="170" fontId="8" fillId="0" borderId="0" xfId="0" applyNumberFormat="1" applyFont="1" applyAlignment="1">
      <alignment horizontal="center"/>
    </xf>
    <xf numFmtId="0" fontId="9" fillId="0" borderId="0" xfId="0" applyNumberFormat="1" applyFont="1" applyFill="1"/>
    <xf numFmtId="0" fontId="9" fillId="0" borderId="0" xfId="0" applyNumberFormat="1" applyFont="1" applyFill="1" applyAlignment="1">
      <alignment horizontal="left"/>
    </xf>
    <xf numFmtId="10" fontId="3" fillId="0" borderId="0" xfId="15" applyNumberFormat="1" applyFont="1" applyFill="1" applyBorder="1" applyAlignment="1"/>
    <xf numFmtId="37" fontId="27" fillId="0" borderId="0" xfId="0" applyFont="1" applyFill="1" applyBorder="1" applyAlignment="1"/>
    <xf numFmtId="37" fontId="3" fillId="0" borderId="20" xfId="0" applyFont="1" applyFill="1" applyBorder="1" applyAlignment="1"/>
    <xf numFmtId="37" fontId="27" fillId="0" borderId="20" xfId="0" applyFont="1" applyFill="1" applyBorder="1" applyAlignment="1"/>
    <xf numFmtId="0" fontId="3" fillId="0" borderId="24" xfId="0" applyNumberFormat="1" applyFont="1" applyFill="1" applyBorder="1" applyAlignment="1">
      <alignment horizontal="center"/>
    </xf>
    <xf numFmtId="37" fontId="27" fillId="0" borderId="0" xfId="0" applyFont="1" applyFill="1" applyAlignment="1">
      <alignment horizontal="center"/>
    </xf>
    <xf numFmtId="37" fontId="27" fillId="0" borderId="1" xfId="0" applyFont="1" applyFill="1" applyBorder="1" applyAlignment="1">
      <alignment horizontal="center"/>
    </xf>
    <xf numFmtId="37" fontId="27" fillId="0" borderId="0" xfId="0" applyFont="1" applyFill="1" applyAlignment="1">
      <alignment horizontal="right"/>
    </xf>
    <xf numFmtId="37" fontId="27" fillId="0" borderId="0" xfId="0" quotePrefix="1" applyFont="1" applyFill="1" applyAlignment="1">
      <alignment horizontal="center"/>
    </xf>
    <xf numFmtId="170" fontId="3" fillId="0" borderId="3" xfId="0" applyNumberFormat="1" applyFont="1" applyFill="1" applyBorder="1" applyAlignment="1">
      <alignment horizontal="center"/>
    </xf>
    <xf numFmtId="37" fontId="3" fillId="0" borderId="0" xfId="0" applyFont="1" applyFill="1" applyAlignment="1"/>
    <xf numFmtId="37" fontId="4" fillId="0" borderId="0" xfId="0" applyFont="1" applyFill="1" applyAlignment="1"/>
    <xf numFmtId="42" fontId="34" fillId="0" borderId="0" xfId="0" applyNumberFormat="1" applyFont="1" applyFill="1" applyAlignment="1"/>
    <xf numFmtId="190" fontId="4" fillId="0" borderId="0" xfId="3" applyNumberFormat="1" applyFont="1" applyFill="1" applyBorder="1" applyAlignment="1"/>
    <xf numFmtId="170" fontId="31" fillId="0" borderId="0" xfId="4" quotePrefix="1" applyNumberFormat="1" applyFont="1" applyFill="1" applyAlignment="1" applyProtection="1"/>
    <xf numFmtId="0" fontId="32" fillId="0" borderId="0" xfId="1" applyNumberFormat="1" applyFont="1" applyAlignment="1">
      <alignment horizontal="center"/>
    </xf>
    <xf numFmtId="0" fontId="32" fillId="0" borderId="0" xfId="0" applyNumberFormat="1" applyFont="1" applyAlignment="1">
      <alignment horizontal="center"/>
    </xf>
    <xf numFmtId="0" fontId="2" fillId="0" borderId="0" xfId="0" applyNumberFormat="1" applyFont="1" applyAlignment="1">
      <alignment horizontal="center"/>
    </xf>
    <xf numFmtId="170" fontId="16" fillId="0" borderId="0" xfId="0" applyNumberFormat="1" applyFont="1" applyAlignment="1">
      <alignment horizontal="center"/>
    </xf>
    <xf numFmtId="0" fontId="4" fillId="0" borderId="0" xfId="6" applyFont="1" applyFill="1"/>
    <xf numFmtId="0" fontId="22" fillId="0" borderId="0" xfId="6" applyFont="1" applyFill="1" applyAlignment="1">
      <alignment horizontal="left"/>
    </xf>
    <xf numFmtId="0" fontId="80" fillId="0" borderId="0" xfId="6" applyFont="1" applyFill="1" applyBorder="1"/>
    <xf numFmtId="0" fontId="5" fillId="0" borderId="0" xfId="6" applyFont="1" applyFill="1" applyAlignment="1">
      <alignment horizontal="center"/>
    </xf>
    <xf numFmtId="173" fontId="0" fillId="0" borderId="0" xfId="0" applyNumberFormat="1" applyAlignment="1"/>
    <xf numFmtId="0" fontId="81" fillId="0" borderId="0" xfId="0" applyNumberFormat="1" applyFont="1" applyAlignment="1" applyProtection="1">
      <alignment horizontal="center"/>
      <protection locked="0"/>
    </xf>
    <xf numFmtId="170" fontId="17" fillId="0" borderId="0" xfId="11" applyFont="1" applyAlignment="1">
      <alignment horizontal="left"/>
    </xf>
    <xf numFmtId="42" fontId="78" fillId="0" borderId="0" xfId="0" applyNumberFormat="1" applyFont="1" applyAlignment="1">
      <alignment horizontal="center"/>
    </xf>
    <xf numFmtId="42" fontId="6" fillId="0" borderId="0" xfId="6" applyNumberFormat="1" applyFont="1" applyFill="1" applyAlignment="1">
      <alignment horizontal="center"/>
    </xf>
    <xf numFmtId="42" fontId="30" fillId="0" borderId="0" xfId="6" applyNumberFormat="1" applyFont="1" applyFill="1" applyAlignment="1">
      <alignment horizontal="center"/>
    </xf>
    <xf numFmtId="42" fontId="0" fillId="0" borderId="13" xfId="0" applyNumberFormat="1" applyBorder="1" applyAlignment="1"/>
    <xf numFmtId="42" fontId="0" fillId="2" borderId="3" xfId="0" applyNumberFormat="1" applyFill="1" applyBorder="1" applyAlignment="1"/>
    <xf numFmtId="41" fontId="4" fillId="2" borderId="3" xfId="0" applyNumberFormat="1" applyFont="1" applyFill="1" applyBorder="1" applyAlignment="1">
      <alignment horizontal="left"/>
    </xf>
    <xf numFmtId="42" fontId="22" fillId="0" borderId="3" xfId="0" applyNumberFormat="1" applyFont="1" applyFill="1" applyBorder="1" applyAlignment="1"/>
    <xf numFmtId="42" fontId="0" fillId="0" borderId="3" xfId="0" applyNumberFormat="1" applyBorder="1" applyAlignment="1"/>
    <xf numFmtId="42" fontId="4" fillId="0" borderId="13" xfId="0" applyNumberFormat="1" applyFont="1" applyFill="1" applyBorder="1" applyAlignment="1">
      <alignment horizontal="left"/>
    </xf>
    <xf numFmtId="170" fontId="0" fillId="0" borderId="0" xfId="0" applyNumberFormat="1" applyBorder="1" applyAlignment="1"/>
    <xf numFmtId="42" fontId="0" fillId="0" borderId="0" xfId="0" applyNumberFormat="1" applyBorder="1" applyAlignment="1"/>
    <xf numFmtId="10" fontId="0" fillId="0" borderId="0" xfId="0" applyNumberFormat="1" applyBorder="1" applyAlignment="1"/>
    <xf numFmtId="170" fontId="0" fillId="2" borderId="0" xfId="0" applyNumberFormat="1" applyFill="1" applyBorder="1" applyAlignment="1"/>
    <xf numFmtId="41" fontId="46" fillId="0" borderId="0" xfId="0" applyNumberFormat="1" applyFont="1" applyFill="1" applyBorder="1" applyAlignment="1"/>
    <xf numFmtId="10" fontId="32" fillId="0" borderId="0" xfId="0" applyNumberFormat="1" applyFont="1" applyBorder="1" applyAlignment="1"/>
    <xf numFmtId="170" fontId="0" fillId="4" borderId="24" xfId="0" applyNumberFormat="1" applyFill="1" applyBorder="1" applyAlignment="1"/>
    <xf numFmtId="42" fontId="0" fillId="0" borderId="24" xfId="0" applyNumberFormat="1" applyBorder="1" applyAlignment="1"/>
    <xf numFmtId="170" fontId="32" fillId="2" borderId="0" xfId="0" applyNumberFormat="1" applyFont="1" applyFill="1" applyBorder="1" applyAlignment="1"/>
    <xf numFmtId="42" fontId="22" fillId="0" borderId="0" xfId="0" applyNumberFormat="1" applyFont="1" applyFill="1" applyBorder="1" applyAlignment="1"/>
    <xf numFmtId="0" fontId="4" fillId="0" borderId="0" xfId="6" applyFont="1" applyFill="1" applyBorder="1"/>
    <xf numFmtId="170" fontId="0" fillId="0" borderId="0" xfId="0" applyNumberFormat="1" applyFill="1" applyBorder="1" applyAlignment="1"/>
    <xf numFmtId="170" fontId="0" fillId="0" borderId="0" xfId="0" applyNumberFormat="1" applyFill="1" applyBorder="1" applyAlignment="1">
      <alignment horizontal="center"/>
    </xf>
    <xf numFmtId="173" fontId="0" fillId="0" borderId="0" xfId="0" applyNumberFormat="1" applyFill="1" applyBorder="1" applyAlignment="1"/>
    <xf numFmtId="42" fontId="0" fillId="0" borderId="0" xfId="0" applyNumberFormat="1" applyFill="1" applyBorder="1" applyAlignment="1"/>
    <xf numFmtId="10" fontId="0" fillId="0" borderId="0" xfId="0" applyNumberFormat="1" applyFill="1" applyBorder="1" applyAlignment="1"/>
    <xf numFmtId="10" fontId="32" fillId="0" borderId="0" xfId="0" applyNumberFormat="1" applyFont="1" applyFill="1" applyBorder="1" applyAlignment="1"/>
    <xf numFmtId="42" fontId="32" fillId="0" borderId="0" xfId="0" applyNumberFormat="1" applyFont="1" applyFill="1" applyBorder="1" applyAlignment="1"/>
    <xf numFmtId="170" fontId="16" fillId="0" borderId="25" xfId="0" applyNumberFormat="1" applyFont="1" applyBorder="1"/>
    <xf numFmtId="170" fontId="3" fillId="0" borderId="13" xfId="0" applyNumberFormat="1" applyFont="1" applyBorder="1"/>
    <xf numFmtId="170" fontId="3" fillId="0" borderId="23" xfId="0" applyNumberFormat="1" applyFont="1" applyBorder="1"/>
    <xf numFmtId="42" fontId="32" fillId="0" borderId="0" xfId="0" applyNumberFormat="1" applyFont="1" applyFill="1" applyAlignment="1"/>
    <xf numFmtId="37" fontId="3" fillId="0" borderId="0" xfId="0" applyFont="1" applyAlignment="1"/>
    <xf numFmtId="37" fontId="3" fillId="0" borderId="0" xfId="0" applyFont="1"/>
    <xf numFmtId="41" fontId="14" fillId="0" borderId="0" xfId="9" applyNumberFormat="1" applyFont="1" applyFill="1" applyBorder="1" applyAlignment="1"/>
    <xf numFmtId="191" fontId="9" fillId="0" borderId="0" xfId="0" applyNumberFormat="1" applyFont="1" applyAlignment="1">
      <alignment horizontal="center"/>
    </xf>
    <xf numFmtId="42" fontId="9" fillId="0" borderId="0" xfId="9" applyNumberFormat="1" applyFont="1" applyAlignment="1"/>
    <xf numFmtId="41" fontId="4" fillId="0" borderId="13" xfId="9" applyNumberFormat="1" applyFont="1" applyFill="1" applyBorder="1" applyAlignment="1" applyProtection="1">
      <protection locked="0"/>
    </xf>
    <xf numFmtId="170" fontId="0" fillId="4" borderId="0" xfId="0" applyNumberFormat="1" applyFill="1" applyAlignment="1">
      <alignment horizontal="center"/>
    </xf>
    <xf numFmtId="173" fontId="0" fillId="4" borderId="0" xfId="0" applyNumberFormat="1" applyFill="1" applyAlignment="1"/>
    <xf numFmtId="0" fontId="81" fillId="0" borderId="0" xfId="0" applyNumberFormat="1" applyFont="1" applyBorder="1" applyAlignment="1" applyProtection="1">
      <alignment horizontal="center"/>
      <protection locked="0"/>
    </xf>
    <xf numFmtId="0" fontId="4" fillId="0" borderId="0" xfId="0" applyNumberFormat="1" applyFont="1" applyFill="1" applyAlignment="1">
      <alignment horizontal="right"/>
    </xf>
    <xf numFmtId="42" fontId="38" fillId="0" borderId="0" xfId="3" applyNumberFormat="1" applyFont="1" applyFill="1"/>
    <xf numFmtId="42" fontId="3" fillId="2" borderId="21" xfId="0" applyNumberFormat="1" applyFont="1" applyFill="1" applyBorder="1" applyAlignment="1"/>
    <xf numFmtId="42" fontId="3" fillId="2" borderId="0" xfId="0" applyNumberFormat="1" applyFont="1" applyFill="1" applyBorder="1" applyAlignment="1"/>
    <xf numFmtId="42" fontId="3" fillId="2" borderId="11" xfId="0" applyNumberFormat="1" applyFont="1" applyFill="1" applyBorder="1" applyAlignment="1"/>
    <xf numFmtId="42" fontId="3" fillId="2" borderId="10" xfId="0" applyNumberFormat="1" applyFont="1" applyFill="1" applyBorder="1" applyAlignment="1"/>
    <xf numFmtId="0" fontId="4" fillId="2" borderId="0" xfId="0" applyNumberFormat="1" applyFont="1" applyFill="1" applyBorder="1" applyAlignment="1"/>
    <xf numFmtId="42" fontId="0" fillId="2" borderId="0" xfId="0" applyNumberFormat="1" applyFill="1" applyBorder="1" applyAlignment="1"/>
    <xf numFmtId="41" fontId="22" fillId="2" borderId="0" xfId="0" applyNumberFormat="1" applyFont="1" applyFill="1" applyBorder="1" applyAlignment="1"/>
    <xf numFmtId="10" fontId="0" fillId="2" borderId="0" xfId="0" applyNumberFormat="1" applyFill="1" applyBorder="1" applyAlignment="1"/>
    <xf numFmtId="42" fontId="32" fillId="0" borderId="0" xfId="0" applyNumberFormat="1" applyFont="1" applyBorder="1" applyAlignment="1"/>
    <xf numFmtId="0" fontId="4" fillId="2" borderId="0" xfId="6" applyFont="1" applyFill="1" applyBorder="1"/>
    <xf numFmtId="41" fontId="46" fillId="2" borderId="0" xfId="0" applyNumberFormat="1" applyFont="1" applyFill="1" applyBorder="1" applyAlignment="1"/>
    <xf numFmtId="42" fontId="32" fillId="0" borderId="3" xfId="0" applyNumberFormat="1" applyFont="1" applyBorder="1" applyAlignment="1"/>
    <xf numFmtId="42" fontId="3" fillId="0" borderId="23" xfId="0" applyNumberFormat="1" applyFont="1" applyBorder="1" applyAlignment="1"/>
    <xf numFmtId="172" fontId="3" fillId="2" borderId="4" xfId="3" applyNumberFormat="1" applyFont="1" applyFill="1" applyBorder="1" applyAlignment="1">
      <alignment horizontal="right"/>
    </xf>
    <xf numFmtId="170" fontId="3" fillId="0" borderId="7" xfId="0" applyNumberFormat="1" applyFont="1" applyBorder="1" applyAlignment="1">
      <alignment horizontal="center"/>
    </xf>
    <xf numFmtId="170" fontId="3" fillId="0" borderId="9" xfId="0" applyNumberFormat="1" applyFont="1" applyBorder="1" applyAlignment="1">
      <alignment horizontal="center"/>
    </xf>
    <xf numFmtId="0" fontId="9" fillId="0" borderId="0" xfId="13" applyFill="1" applyBorder="1"/>
    <xf numFmtId="0" fontId="6" fillId="0" borderId="0" xfId="13" applyFont="1" applyFill="1" applyBorder="1"/>
    <xf numFmtId="42" fontId="9" fillId="0" borderId="23" xfId="0" applyNumberFormat="1" applyFont="1" applyFill="1" applyBorder="1" applyAlignment="1">
      <alignment horizontal="right"/>
    </xf>
    <xf numFmtId="42" fontId="9" fillId="0" borderId="8" xfId="0" applyNumberFormat="1" applyFont="1" applyFill="1" applyBorder="1" applyAlignment="1">
      <alignment horizontal="right"/>
    </xf>
    <xf numFmtId="0" fontId="9" fillId="0" borderId="11" xfId="0" applyNumberFormat="1" applyFont="1" applyBorder="1"/>
    <xf numFmtId="0" fontId="9" fillId="0" borderId="12" xfId="0" applyNumberFormat="1" applyFont="1" applyBorder="1"/>
    <xf numFmtId="170" fontId="78" fillId="0" borderId="0" xfId="0" applyNumberFormat="1" applyFont="1" applyFill="1" applyAlignment="1">
      <alignment horizontal="center"/>
    </xf>
    <xf numFmtId="170" fontId="78" fillId="0" borderId="0" xfId="0" quotePrefix="1" applyNumberFormat="1" applyFont="1" applyFill="1" applyAlignment="1">
      <alignment horizontal="center"/>
    </xf>
    <xf numFmtId="42" fontId="22" fillId="0" borderId="0" xfId="0" applyNumberFormat="1" applyFont="1" applyBorder="1" applyAlignment="1" applyProtection="1">
      <protection locked="0"/>
    </xf>
    <xf numFmtId="42" fontId="4" fillId="0" borderId="0" xfId="0" applyNumberFormat="1" applyFont="1" applyFill="1" applyBorder="1" applyAlignment="1" applyProtection="1">
      <protection locked="0"/>
    </xf>
    <xf numFmtId="42" fontId="22" fillId="0" borderId="0" xfId="0" applyNumberFormat="1" applyFont="1" applyFill="1" applyProtection="1">
      <protection locked="0"/>
    </xf>
    <xf numFmtId="0" fontId="6" fillId="0" borderId="0" xfId="13" applyFont="1" applyBorder="1"/>
    <xf numFmtId="0" fontId="9" fillId="0" borderId="0" xfId="13" applyBorder="1"/>
    <xf numFmtId="172" fontId="22" fillId="0" borderId="30" xfId="3" applyNumberFormat="1" applyFont="1" applyBorder="1" applyAlignment="1"/>
    <xf numFmtId="0" fontId="6" fillId="0" borderId="0" xfId="0" applyNumberFormat="1" applyFont="1" applyFill="1" applyAlignment="1" applyProtection="1">
      <alignment horizontal="center"/>
      <protection locked="0"/>
    </xf>
    <xf numFmtId="0" fontId="6" fillId="0" borderId="0" xfId="0" applyNumberFormat="1" applyFont="1" applyAlignment="1" applyProtection="1">
      <alignment horizontal="center" vertical="center"/>
      <protection locked="0"/>
    </xf>
    <xf numFmtId="0" fontId="6" fillId="0" borderId="0" xfId="0" applyNumberFormat="1" applyFont="1" applyAlignment="1" applyProtection="1">
      <alignment horizontal="center" vertical="top"/>
      <protection locked="0"/>
    </xf>
    <xf numFmtId="170" fontId="6" fillId="0" borderId="0" xfId="0" applyNumberFormat="1" applyFont="1" applyAlignment="1">
      <alignment horizontal="center" vertical="center"/>
    </xf>
    <xf numFmtId="44" fontId="22" fillId="0" borderId="0" xfId="0" applyNumberFormat="1" applyFont="1" applyAlignment="1"/>
    <xf numFmtId="42" fontId="22" fillId="0" borderId="30" xfId="3" applyNumberFormat="1" applyFont="1" applyFill="1" applyBorder="1" applyAlignment="1"/>
    <xf numFmtId="41" fontId="22" fillId="0" borderId="0" xfId="1" applyNumberFormat="1" applyFont="1" applyFill="1" applyAlignment="1"/>
    <xf numFmtId="41" fontId="22" fillId="0" borderId="1" xfId="1" applyNumberFormat="1" applyFont="1" applyFill="1" applyBorder="1" applyAlignment="1"/>
    <xf numFmtId="42" fontId="22" fillId="0" borderId="3" xfId="3" applyNumberFormat="1" applyFont="1" applyFill="1" applyBorder="1" applyAlignment="1" applyProtection="1">
      <protection locked="0"/>
    </xf>
    <xf numFmtId="172" fontId="38" fillId="0" borderId="0" xfId="3" applyNumberFormat="1" applyFont="1" applyBorder="1"/>
    <xf numFmtId="173" fontId="38" fillId="0" borderId="0" xfId="15" applyNumberFormat="1" applyFont="1" applyFill="1" applyBorder="1"/>
    <xf numFmtId="0" fontId="38" fillId="2" borderId="0" xfId="6" applyFont="1" applyFill="1" applyAlignment="1">
      <alignment horizontal="right" vertical="center"/>
    </xf>
    <xf numFmtId="171" fontId="4" fillId="2" borderId="0" xfId="1" applyNumberFormat="1" applyFont="1" applyFill="1"/>
    <xf numFmtId="0" fontId="38" fillId="2" borderId="0" xfId="6" applyFont="1" applyFill="1" applyAlignment="1">
      <alignment vertical="center"/>
    </xf>
    <xf numFmtId="171" fontId="61" fillId="2" borderId="3" xfId="6" applyNumberFormat="1" applyFont="1" applyFill="1" applyBorder="1" applyAlignment="1">
      <alignment vertical="center"/>
    </xf>
    <xf numFmtId="171" fontId="38" fillId="2" borderId="3" xfId="6" applyNumberFormat="1" applyFont="1" applyFill="1" applyBorder="1" applyAlignment="1">
      <alignment vertical="center"/>
    </xf>
    <xf numFmtId="0" fontId="4" fillId="2" borderId="0" xfId="6" applyFont="1" applyFill="1" applyAlignment="1">
      <alignment vertical="center"/>
    </xf>
    <xf numFmtId="171" fontId="4" fillId="2" borderId="0" xfId="1" applyNumberFormat="1" applyFont="1" applyFill="1" applyBorder="1"/>
    <xf numFmtId="41" fontId="38" fillId="0" borderId="0" xfId="3" applyNumberFormat="1" applyFont="1" applyFill="1"/>
    <xf numFmtId="41" fontId="38" fillId="0" borderId="3" xfId="3" applyNumberFormat="1" applyFont="1" applyFill="1" applyBorder="1"/>
    <xf numFmtId="42" fontId="4" fillId="0" borderId="0" xfId="6" applyNumberFormat="1" applyFont="1" applyFill="1" applyBorder="1" applyAlignment="1">
      <alignment vertical="center"/>
    </xf>
    <xf numFmtId="42" fontId="38" fillId="0" borderId="13" xfId="6" applyNumberFormat="1" applyFont="1" applyBorder="1"/>
    <xf numFmtId="177" fontId="6" fillId="0" borderId="0" xfId="0" applyNumberFormat="1" applyFont="1" applyAlignment="1">
      <alignment horizontal="center"/>
    </xf>
    <xf numFmtId="170" fontId="32" fillId="0" borderId="0" xfId="0" applyNumberFormat="1" applyFont="1"/>
    <xf numFmtId="170" fontId="87" fillId="0" borderId="0" xfId="0" applyNumberFormat="1" applyFont="1" applyFill="1" applyAlignment="1"/>
    <xf numFmtId="1" fontId="45" fillId="0" borderId="0" xfId="15" applyNumberFormat="1" applyFont="1" applyFill="1" applyBorder="1" applyAlignment="1"/>
    <xf numFmtId="42" fontId="87" fillId="0" borderId="0" xfId="15" applyNumberFormat="1" applyFont="1" applyFill="1" applyBorder="1" applyAlignment="1"/>
    <xf numFmtId="173" fontId="87" fillId="0" borderId="0" xfId="0" applyNumberFormat="1" applyFont="1" applyFill="1" applyAlignment="1"/>
    <xf numFmtId="170" fontId="32" fillId="0" borderId="0" xfId="0" applyNumberFormat="1" applyFont="1" applyBorder="1" applyAlignment="1">
      <alignment horizontal="center"/>
    </xf>
    <xf numFmtId="0" fontId="9" fillId="2" borderId="25" xfId="13" applyFont="1" applyFill="1" applyBorder="1"/>
    <xf numFmtId="0" fontId="9" fillId="2" borderId="23" xfId="0" applyNumberFormat="1" applyFont="1" applyFill="1" applyBorder="1"/>
    <xf numFmtId="42" fontId="75" fillId="2" borderId="21" xfId="13" applyNumberFormat="1" applyFont="1" applyFill="1" applyBorder="1"/>
    <xf numFmtId="42" fontId="75" fillId="2" borderId="3" xfId="13" applyNumberFormat="1" applyFont="1" applyFill="1" applyBorder="1"/>
    <xf numFmtId="42" fontId="3" fillId="2" borderId="2" xfId="0" applyNumberFormat="1" applyFont="1" applyFill="1" applyBorder="1" applyAlignment="1"/>
    <xf numFmtId="42" fontId="75" fillId="0" borderId="11" xfId="0" applyNumberFormat="1" applyFont="1" applyFill="1" applyBorder="1" applyAlignment="1"/>
    <xf numFmtId="3" fontId="47" fillId="0" borderId="0" xfId="0" applyNumberFormat="1" applyFont="1" applyAlignment="1"/>
    <xf numFmtId="41" fontId="3" fillId="0" borderId="0" xfId="0" applyNumberFormat="1" applyFont="1" applyFill="1" applyAlignment="1"/>
    <xf numFmtId="0" fontId="2" fillId="0" borderId="0" xfId="0" applyNumberFormat="1" applyFont="1" applyFill="1" applyAlignment="1">
      <alignment horizontal="center"/>
    </xf>
    <xf numFmtId="0" fontId="32" fillId="0" borderId="0" xfId="0" applyNumberFormat="1" applyFont="1" applyFill="1" applyAlignment="1">
      <alignment horizontal="center"/>
    </xf>
    <xf numFmtId="41" fontId="4" fillId="0" borderId="3" xfId="3" quotePrefix="1" applyNumberFormat="1" applyFont="1" applyFill="1" applyBorder="1" applyAlignment="1" applyProtection="1">
      <alignment horizontal="right"/>
      <protection locked="0"/>
    </xf>
    <xf numFmtId="42" fontId="4" fillId="0" borderId="3" xfId="0" applyNumberFormat="1" applyFont="1" applyFill="1" applyBorder="1" applyAlignment="1">
      <alignment horizontal="right"/>
    </xf>
    <xf numFmtId="42" fontId="22" fillId="0" borderId="3" xfId="0" applyNumberFormat="1" applyFont="1" applyFill="1" applyBorder="1" applyAlignment="1">
      <alignment horizontal="right"/>
    </xf>
    <xf numFmtId="171" fontId="32" fillId="0" borderId="13" xfId="1" applyNumberFormat="1" applyFont="1" applyFill="1" applyBorder="1" applyAlignment="1"/>
    <xf numFmtId="169" fontId="22" fillId="0" borderId="0" xfId="0" applyNumberFormat="1" applyFont="1" applyAlignment="1" applyProtection="1">
      <alignment horizontal="center"/>
      <protection locked="0"/>
    </xf>
    <xf numFmtId="0" fontId="22" fillId="0" borderId="0" xfId="0" applyNumberFormat="1" applyFont="1" applyFill="1" applyAlignment="1">
      <alignment horizontal="center"/>
    </xf>
    <xf numFmtId="168" fontId="22" fillId="0" borderId="0" xfId="0" applyNumberFormat="1" applyFont="1" applyFill="1" applyAlignment="1">
      <alignment horizontal="left"/>
    </xf>
    <xf numFmtId="42" fontId="0" fillId="0" borderId="0" xfId="0" applyNumberFormat="1" applyFill="1" applyAlignment="1"/>
    <xf numFmtId="42" fontId="82" fillId="0" borderId="0" xfId="0" applyNumberFormat="1" applyFont="1" applyFill="1" applyAlignment="1"/>
    <xf numFmtId="170" fontId="82" fillId="0" borderId="0" xfId="0" applyNumberFormat="1" applyFont="1" applyFill="1" applyAlignment="1"/>
    <xf numFmtId="0" fontId="2" fillId="0" borderId="0" xfId="0" applyNumberFormat="1" applyFont="1"/>
    <xf numFmtId="170" fontId="27" fillId="0" borderId="0" xfId="0" applyNumberFormat="1" applyFont="1" applyFill="1" applyBorder="1" applyAlignment="1">
      <alignment horizontal="center"/>
    </xf>
    <xf numFmtId="42" fontId="22" fillId="0" borderId="0" xfId="0" applyNumberFormat="1" applyFont="1"/>
    <xf numFmtId="42" fontId="9" fillId="0" borderId="0" xfId="13" applyNumberFormat="1" applyFill="1" applyBorder="1"/>
    <xf numFmtId="0" fontId="4" fillId="0" borderId="0" xfId="13" applyFont="1" applyFill="1" applyBorder="1"/>
    <xf numFmtId="164" fontId="38" fillId="0" borderId="0" xfId="15" applyNumberFormat="1" applyFont="1" applyFill="1" applyBorder="1"/>
    <xf numFmtId="164" fontId="38" fillId="0" borderId="0" xfId="15" applyNumberFormat="1" applyFont="1" applyFill="1"/>
    <xf numFmtId="172" fontId="38" fillId="0" borderId="0" xfId="3" applyNumberFormat="1" applyFont="1" applyFill="1" applyBorder="1"/>
    <xf numFmtId="0" fontId="64" fillId="0" borderId="0" xfId="0" applyNumberFormat="1" applyFont="1" applyBorder="1"/>
    <xf numFmtId="177" fontId="11" fillId="0" borderId="21" xfId="0" applyNumberFormat="1" applyFont="1" applyBorder="1"/>
    <xf numFmtId="9" fontId="11" fillId="0" borderId="0" xfId="6" applyNumberFormat="1" applyFont="1" applyFill="1" applyAlignment="1">
      <alignment horizontal="center"/>
    </xf>
    <xf numFmtId="0" fontId="11" fillId="0" borderId="0" xfId="6" applyNumberFormat="1" applyFont="1" applyAlignment="1">
      <alignment horizontal="center"/>
    </xf>
    <xf numFmtId="0" fontId="11" fillId="0" borderId="0" xfId="6" applyNumberFormat="1" applyFont="1" applyFill="1" applyAlignment="1">
      <alignment horizontal="center"/>
    </xf>
    <xf numFmtId="42" fontId="3" fillId="0" borderId="0" xfId="3" quotePrefix="1" applyNumberFormat="1" applyFont="1" applyFill="1" applyAlignment="1">
      <alignment horizontal="center"/>
    </xf>
    <xf numFmtId="42" fontId="3" fillId="2" borderId="0" xfId="3" quotePrefix="1" applyNumberFormat="1" applyFont="1" applyFill="1" applyAlignment="1">
      <alignment horizontal="center"/>
    </xf>
    <xf numFmtId="42" fontId="3" fillId="0" borderId="3" xfId="3" quotePrefix="1" applyNumberFormat="1" applyFont="1" applyFill="1" applyBorder="1" applyAlignment="1">
      <alignment horizontal="center"/>
    </xf>
    <xf numFmtId="42" fontId="3" fillId="0" borderId="0" xfId="3" applyNumberFormat="1" applyFont="1" applyFill="1" applyAlignment="1"/>
    <xf numFmtId="42" fontId="3" fillId="0" borderId="20" xfId="3" applyNumberFormat="1" applyFont="1" applyFill="1" applyBorder="1" applyAlignment="1"/>
    <xf numFmtId="0" fontId="22" fillId="0" borderId="0" xfId="0" applyNumberFormat="1" applyFont="1" applyFill="1" applyAlignment="1" applyProtection="1">
      <alignment horizontal="center" vertical="top"/>
      <protection locked="0"/>
    </xf>
    <xf numFmtId="170" fontId="0" fillId="6" borderId="0" xfId="0" applyNumberFormat="1" applyFill="1" applyAlignment="1"/>
    <xf numFmtId="41" fontId="22" fillId="0" borderId="0" xfId="0" applyNumberFormat="1" applyFont="1" applyFill="1" applyBorder="1" applyAlignment="1">
      <alignment horizontal="center"/>
    </xf>
    <xf numFmtId="41" fontId="22" fillId="0" borderId="0" xfId="0" applyNumberFormat="1" applyFont="1" applyFill="1" applyBorder="1" applyAlignment="1">
      <alignment horizontal="fill"/>
    </xf>
    <xf numFmtId="41" fontId="22" fillId="0" borderId="0" xfId="0" applyNumberFormat="1" applyFont="1" applyFill="1" applyBorder="1"/>
    <xf numFmtId="41" fontId="22" fillId="0" borderId="0" xfId="0" applyNumberFormat="1" applyFont="1" applyFill="1" applyBorder="1" applyProtection="1">
      <protection locked="0"/>
    </xf>
    <xf numFmtId="41" fontId="22" fillId="0" borderId="0" xfId="0" applyNumberFormat="1" applyFont="1" applyFill="1" applyBorder="1" applyAlignment="1" applyProtection="1">
      <alignment horizontal="center"/>
      <protection locked="0"/>
    </xf>
    <xf numFmtId="41" fontId="6" fillId="0" borderId="0" xfId="0" applyNumberFormat="1" applyFont="1" applyFill="1" applyBorder="1" applyAlignment="1" applyProtection="1">
      <alignment horizontal="center"/>
      <protection locked="0"/>
    </xf>
    <xf numFmtId="170" fontId="34" fillId="0" borderId="2" xfId="0" applyNumberFormat="1" applyFont="1" applyFill="1" applyBorder="1" applyAlignment="1">
      <alignment horizontal="center"/>
    </xf>
    <xf numFmtId="172" fontId="9" fillId="0" borderId="20" xfId="3" applyNumberFormat="1" applyFont="1" applyFill="1" applyBorder="1"/>
    <xf numFmtId="0" fontId="4" fillId="0" borderId="0" xfId="0" applyNumberFormat="1" applyFont="1" applyFill="1" applyAlignment="1" applyProtection="1">
      <protection locked="0"/>
    </xf>
    <xf numFmtId="41" fontId="46" fillId="0" borderId="0" xfId="3" applyNumberFormat="1" applyFont="1" applyFill="1" applyAlignment="1"/>
    <xf numFmtId="41" fontId="46" fillId="0" borderId="0" xfId="3" applyNumberFormat="1" applyFont="1" applyAlignment="1"/>
    <xf numFmtId="185" fontId="22" fillId="0" borderId="0" xfId="0" applyNumberFormat="1" applyFont="1" applyAlignment="1"/>
    <xf numFmtId="185" fontId="4" fillId="0" borderId="0" xfId="9" applyNumberFormat="1" applyFont="1" applyFill="1" applyBorder="1"/>
    <xf numFmtId="0" fontId="6" fillId="0" borderId="0" xfId="13" applyFont="1" applyFill="1" applyBorder="1" applyAlignment="1"/>
    <xf numFmtId="0" fontId="4" fillId="0" borderId="0" xfId="9" applyNumberFormat="1" applyFont="1" applyFill="1" applyAlignment="1" applyProtection="1">
      <alignment horizontal="left"/>
      <protection locked="0"/>
    </xf>
    <xf numFmtId="37" fontId="16" fillId="0" borderId="0" xfId="0" applyFont="1" applyAlignment="1"/>
    <xf numFmtId="37" fontId="6" fillId="0" borderId="0" xfId="0" applyFont="1" applyFill="1"/>
    <xf numFmtId="37" fontId="18" fillId="0" borderId="0" xfId="0" applyFont="1" applyFill="1" applyBorder="1" applyAlignment="1">
      <alignment horizontal="left"/>
    </xf>
    <xf numFmtId="37" fontId="49" fillId="0" borderId="0" xfId="0" applyFont="1" applyAlignment="1">
      <alignment horizontal="center"/>
    </xf>
    <xf numFmtId="37" fontId="17" fillId="0" borderId="0" xfId="0" applyFont="1" applyFill="1" applyBorder="1" applyAlignment="1">
      <alignment horizontal="left"/>
    </xf>
    <xf numFmtId="37" fontId="17" fillId="0" borderId="0" xfId="0" applyFont="1" applyFill="1" applyAlignment="1">
      <alignment horizontal="left"/>
    </xf>
    <xf numFmtId="37" fontId="17" fillId="0" borderId="0" xfId="0" applyFont="1"/>
    <xf numFmtId="37" fontId="0" fillId="0" borderId="0" xfId="0" applyFill="1" applyBorder="1"/>
    <xf numFmtId="0" fontId="4" fillId="0" borderId="0" xfId="6" applyFont="1" applyFill="1" applyAlignment="1">
      <alignment horizontal="right" vertical="center"/>
    </xf>
    <xf numFmtId="41" fontId="4" fillId="0" borderId="0" xfId="6" applyNumberFormat="1" applyFont="1" applyFill="1" applyAlignment="1">
      <alignment vertical="center"/>
    </xf>
    <xf numFmtId="37" fontId="4" fillId="0" borderId="0" xfId="5" applyFont="1" applyFill="1"/>
    <xf numFmtId="42" fontId="4" fillId="0" borderId="0" xfId="6" applyNumberFormat="1" applyFont="1" applyFill="1" applyAlignment="1">
      <alignment vertical="center"/>
    </xf>
    <xf numFmtId="41" fontId="4" fillId="2" borderId="0" xfId="6" applyNumberFormat="1" applyFont="1" applyFill="1" applyAlignment="1">
      <alignment vertical="center"/>
    </xf>
    <xf numFmtId="0" fontId="25" fillId="0" borderId="3" xfId="6" applyFont="1" applyFill="1" applyBorder="1" applyAlignment="1">
      <alignment horizontal="left" vertical="center"/>
    </xf>
    <xf numFmtId="0" fontId="4" fillId="0" borderId="0" xfId="6" applyFont="1" applyAlignment="1">
      <alignment horizontal="left" vertical="center"/>
    </xf>
    <xf numFmtId="171" fontId="4" fillId="0" borderId="0" xfId="6" applyNumberFormat="1" applyFont="1" applyFill="1" applyAlignment="1">
      <alignment vertical="center"/>
    </xf>
    <xf numFmtId="41" fontId="4" fillId="0" borderId="0" xfId="6" applyNumberFormat="1" applyFont="1" applyAlignment="1">
      <alignment vertical="center"/>
    </xf>
    <xf numFmtId="171" fontId="4" fillId="0" borderId="0" xfId="6" applyNumberFormat="1" applyFont="1" applyAlignment="1">
      <alignment vertical="center"/>
    </xf>
    <xf numFmtId="41" fontId="4" fillId="0" borderId="3" xfId="6" applyNumberFormat="1" applyFont="1" applyBorder="1" applyAlignment="1">
      <alignment vertical="center"/>
    </xf>
    <xf numFmtId="171" fontId="4" fillId="0" borderId="3" xfId="6" applyNumberFormat="1" applyFont="1" applyBorder="1" applyAlignment="1">
      <alignment vertical="center"/>
    </xf>
    <xf numFmtId="41" fontId="4" fillId="0" borderId="3" xfId="6" applyNumberFormat="1" applyFont="1" applyFill="1" applyBorder="1" applyAlignment="1">
      <alignment vertical="center"/>
    </xf>
    <xf numFmtId="42" fontId="4" fillId="0" borderId="13" xfId="6" applyNumberFormat="1" applyFont="1" applyBorder="1" applyAlignment="1">
      <alignment vertical="center"/>
    </xf>
    <xf numFmtId="0" fontId="4" fillId="0" borderId="0" xfId="6" applyFont="1" applyAlignment="1">
      <alignment vertical="center"/>
    </xf>
    <xf numFmtId="37" fontId="4" fillId="0" borderId="0" xfId="6" applyNumberFormat="1" applyFont="1" applyFill="1" applyAlignment="1">
      <alignment vertical="center"/>
    </xf>
    <xf numFmtId="170" fontId="14" fillId="0" borderId="0" xfId="0" applyNumberFormat="1" applyFont="1" applyAlignment="1"/>
    <xf numFmtId="1" fontId="9" fillId="0" borderId="0" xfId="0" applyNumberFormat="1" applyFont="1" applyFill="1"/>
    <xf numFmtId="170" fontId="29" fillId="0" borderId="0" xfId="0" applyNumberFormat="1" applyFont="1" applyFill="1"/>
    <xf numFmtId="37" fontId="6" fillId="0" borderId="0" xfId="0" applyFont="1" applyAlignment="1">
      <alignment horizontal="center"/>
    </xf>
    <xf numFmtId="37" fontId="9" fillId="0" borderId="0" xfId="0" applyFont="1"/>
    <xf numFmtId="37" fontId="9" fillId="0" borderId="0" xfId="0" applyFont="1" applyAlignment="1">
      <alignment horizontal="center"/>
    </xf>
    <xf numFmtId="7" fontId="9" fillId="0" borderId="0" xfId="0" applyNumberFormat="1" applyFont="1"/>
    <xf numFmtId="37" fontId="9" fillId="0" borderId="0" xfId="0" applyFont="1" applyFill="1"/>
    <xf numFmtId="37" fontId="20" fillId="0" borderId="0" xfId="0" applyFont="1" applyAlignment="1">
      <alignment horizontal="left"/>
    </xf>
    <xf numFmtId="37" fontId="18" fillId="0" borderId="0" xfId="0" applyFont="1" applyAlignment="1">
      <alignment horizontal="left"/>
    </xf>
    <xf numFmtId="37" fontId="9" fillId="0" borderId="0" xfId="0" applyFont="1" applyBorder="1"/>
    <xf numFmtId="37" fontId="6" fillId="0" borderId="31" xfId="0" applyFont="1" applyBorder="1" applyAlignment="1">
      <alignment horizontal="center"/>
    </xf>
    <xf numFmtId="37" fontId="6" fillId="0" borderId="33" xfId="0" applyFont="1" applyBorder="1" applyAlignment="1">
      <alignment horizontal="center"/>
    </xf>
    <xf numFmtId="37" fontId="6" fillId="0" borderId="0" xfId="0" applyFont="1" applyBorder="1" applyAlignment="1">
      <alignment horizontal="center"/>
    </xf>
    <xf numFmtId="37" fontId="6" fillId="0" borderId="34" xfId="0" applyFont="1" applyBorder="1" applyAlignment="1">
      <alignment horizontal="center"/>
    </xf>
    <xf numFmtId="37" fontId="6" fillId="0" borderId="30" xfId="0" applyFont="1" applyBorder="1" applyAlignment="1">
      <alignment horizontal="center"/>
    </xf>
    <xf numFmtId="37" fontId="19" fillId="0" borderId="0" xfId="0" applyFont="1" applyAlignment="1">
      <alignment horizontal="centerContinuous"/>
    </xf>
    <xf numFmtId="37" fontId="19" fillId="0" borderId="0" xfId="0" applyFont="1" applyBorder="1" applyAlignment="1">
      <alignment horizontal="centerContinuous"/>
    </xf>
    <xf numFmtId="37" fontId="4" fillId="0" borderId="31" xfId="0" applyFont="1" applyFill="1" applyBorder="1" applyAlignment="1">
      <alignment horizontal="center" wrapText="1"/>
    </xf>
    <xf numFmtId="37" fontId="4" fillId="0" borderId="32" xfId="0" applyFont="1" applyFill="1" applyBorder="1" applyAlignment="1">
      <alignment horizontal="centerContinuous" wrapText="1"/>
    </xf>
    <xf numFmtId="10" fontId="4" fillId="0" borderId="0" xfId="15" applyNumberFormat="1" applyFont="1" applyFill="1" applyBorder="1" applyAlignment="1">
      <alignment vertical="top"/>
    </xf>
    <xf numFmtId="37" fontId="4" fillId="0" borderId="35" xfId="0" applyFont="1" applyFill="1" applyBorder="1" applyAlignment="1">
      <alignment horizontal="center" wrapText="1"/>
    </xf>
    <xf numFmtId="37" fontId="4" fillId="0" borderId="35" xfId="0" applyFont="1" applyFill="1" applyBorder="1" applyAlignment="1">
      <alignment horizontal="left" wrapText="1"/>
    </xf>
    <xf numFmtId="37" fontId="4" fillId="0" borderId="36" xfId="0" applyFont="1" applyFill="1" applyBorder="1" applyAlignment="1">
      <alignment horizontal="left" wrapText="1"/>
    </xf>
    <xf numFmtId="37" fontId="4" fillId="0" borderId="35" xfId="0" applyFont="1" applyBorder="1" applyAlignment="1">
      <alignment horizontal="center" wrapText="1"/>
    </xf>
    <xf numFmtId="37" fontId="4" fillId="0" borderId="33" xfId="0" applyFont="1" applyBorder="1" applyAlignment="1">
      <alignment horizontal="center" wrapText="1"/>
    </xf>
    <xf numFmtId="37" fontId="4" fillId="0" borderId="32" xfId="0" applyFont="1" applyBorder="1" applyAlignment="1">
      <alignment horizontal="centerContinuous" wrapText="1"/>
    </xf>
    <xf numFmtId="37" fontId="19" fillId="0" borderId="37" xfId="0" applyFont="1" applyFill="1" applyBorder="1" applyAlignment="1">
      <alignment horizontal="center"/>
    </xf>
    <xf numFmtId="37" fontId="19" fillId="0" borderId="27" xfId="0" applyFont="1" applyFill="1" applyBorder="1" applyAlignment="1">
      <alignment horizontal="center"/>
    </xf>
    <xf numFmtId="37" fontId="19" fillId="0" borderId="0" xfId="0" applyFont="1" applyFill="1" applyBorder="1" applyAlignment="1">
      <alignment horizontal="center"/>
    </xf>
    <xf numFmtId="37" fontId="19" fillId="0" borderId="38" xfId="0" applyFont="1" applyBorder="1" applyAlignment="1">
      <alignment horizontal="center"/>
    </xf>
    <xf numFmtId="37" fontId="19" fillId="0" borderId="39" xfId="0" applyFont="1" applyFill="1" applyBorder="1" applyAlignment="1">
      <alignment horizontal="center"/>
    </xf>
    <xf numFmtId="37" fontId="19" fillId="0" borderId="19" xfId="0" applyFont="1" applyFill="1" applyBorder="1" applyAlignment="1">
      <alignment horizontal="center"/>
    </xf>
    <xf numFmtId="37" fontId="19" fillId="0" borderId="40" xfId="0" applyFont="1" applyFill="1" applyBorder="1" applyAlignment="1">
      <alignment horizontal="center"/>
    </xf>
    <xf numFmtId="1" fontId="9" fillId="0" borderId="0" xfId="0" applyNumberFormat="1" applyFont="1" applyFill="1" applyAlignment="1">
      <alignment vertical="top"/>
    </xf>
    <xf numFmtId="37" fontId="9" fillId="0" borderId="0" xfId="0" quotePrefix="1" applyFont="1" applyFill="1" applyBorder="1" applyAlignment="1">
      <alignment horizontal="left" vertical="top" wrapText="1"/>
    </xf>
    <xf numFmtId="37" fontId="4" fillId="0" borderId="40" xfId="0" applyFont="1" applyFill="1" applyBorder="1" applyAlignment="1">
      <alignment horizontal="left"/>
    </xf>
    <xf numFmtId="10" fontId="4" fillId="0" borderId="37" xfId="15" applyNumberFormat="1" applyFont="1" applyFill="1" applyBorder="1" applyAlignment="1">
      <alignment vertical="top"/>
    </xf>
    <xf numFmtId="10" fontId="9" fillId="0" borderId="0" xfId="0" applyNumberFormat="1" applyFont="1" applyFill="1"/>
    <xf numFmtId="3" fontId="9" fillId="0" borderId="0" xfId="0" applyNumberFormat="1" applyFont="1" applyFill="1" applyAlignment="1">
      <alignment vertical="top"/>
    </xf>
    <xf numFmtId="173" fontId="4" fillId="0" borderId="40" xfId="15" applyNumberFormat="1" applyFont="1" applyFill="1" applyBorder="1" applyAlignment="1">
      <alignment horizontal="left" vertical="top"/>
    </xf>
    <xf numFmtId="37" fontId="9" fillId="0" borderId="0" xfId="0" applyFont="1" applyFill="1" applyBorder="1" applyAlignment="1">
      <alignment horizontal="left" vertical="top" wrapText="1"/>
    </xf>
    <xf numFmtId="0" fontId="4" fillId="0" borderId="40" xfId="15" applyNumberFormat="1" applyFont="1" applyFill="1" applyBorder="1" applyAlignment="1">
      <alignment horizontal="left" vertical="top"/>
    </xf>
    <xf numFmtId="173" fontId="4" fillId="0" borderId="40" xfId="15" quotePrefix="1" applyNumberFormat="1" applyFont="1" applyFill="1" applyBorder="1" applyAlignment="1">
      <alignment vertical="top"/>
    </xf>
    <xf numFmtId="173" fontId="4" fillId="0" borderId="40" xfId="15" quotePrefix="1" applyNumberFormat="1" applyFont="1" applyFill="1" applyBorder="1" applyAlignment="1">
      <alignment horizontal="left" vertical="top"/>
    </xf>
    <xf numFmtId="37" fontId="9" fillId="0" borderId="0" xfId="0" applyFont="1" applyFill="1" applyBorder="1" applyAlignment="1">
      <alignment vertical="top" wrapText="1"/>
    </xf>
    <xf numFmtId="10" fontId="9" fillId="0" borderId="0" xfId="0" applyNumberFormat="1" applyFont="1"/>
    <xf numFmtId="37" fontId="9" fillId="0" borderId="0" xfId="0" applyFont="1" applyFill="1" applyBorder="1" applyAlignment="1">
      <alignment horizontal="left"/>
    </xf>
    <xf numFmtId="10" fontId="4" fillId="0" borderId="41" xfId="15" applyNumberFormat="1" applyFont="1" applyFill="1" applyBorder="1" applyAlignment="1">
      <alignment vertical="top"/>
    </xf>
    <xf numFmtId="10" fontId="4" fillId="0" borderId="1" xfId="15" applyNumberFormat="1" applyFont="1" applyFill="1" applyBorder="1" applyAlignment="1">
      <alignment vertical="top"/>
    </xf>
    <xf numFmtId="173" fontId="4" fillId="0" borderId="35" xfId="15" quotePrefix="1" applyNumberFormat="1" applyFont="1" applyFill="1" applyBorder="1" applyAlignment="1">
      <alignment vertical="top"/>
    </xf>
    <xf numFmtId="10" fontId="4" fillId="0" borderId="36" xfId="15" applyNumberFormat="1" applyFont="1" applyFill="1" applyBorder="1" applyAlignment="1">
      <alignment vertical="top"/>
    </xf>
    <xf numFmtId="10" fontId="6" fillId="0" borderId="41" xfId="15" applyNumberFormat="1" applyFont="1" applyFill="1" applyBorder="1" applyAlignment="1">
      <alignment vertical="top"/>
    </xf>
    <xf numFmtId="173" fontId="43" fillId="0" borderId="0" xfId="15" applyNumberFormat="1" applyFont="1" applyFill="1" applyBorder="1" applyAlignment="1">
      <alignment vertical="top"/>
    </xf>
    <xf numFmtId="173" fontId="43" fillId="0" borderId="0" xfId="15" applyNumberFormat="1" applyFont="1" applyFill="1" applyBorder="1"/>
    <xf numFmtId="10" fontId="6" fillId="0" borderId="0" xfId="15" applyNumberFormat="1" applyFont="1" applyFill="1" applyBorder="1"/>
    <xf numFmtId="37" fontId="6" fillId="0" borderId="0" xfId="0" applyFont="1"/>
    <xf numFmtId="10" fontId="43" fillId="0" borderId="0" xfId="15" quotePrefix="1" applyNumberFormat="1" applyFont="1" applyAlignment="1">
      <alignment horizontal="left"/>
    </xf>
    <xf numFmtId="10" fontId="43" fillId="0" borderId="0" xfId="15" applyNumberFormat="1" applyFont="1" applyAlignment="1">
      <alignment horizontal="left"/>
    </xf>
    <xf numFmtId="10" fontId="43" fillId="0" borderId="0" xfId="15" applyNumberFormat="1" applyFont="1" applyFill="1" applyAlignment="1">
      <alignment horizontal="left"/>
    </xf>
    <xf numFmtId="10" fontId="43" fillId="0" borderId="0" xfId="15" applyNumberFormat="1" applyFont="1" applyBorder="1"/>
    <xf numFmtId="10" fontId="43" fillId="0" borderId="0" xfId="15" applyNumberFormat="1" applyFont="1" applyFill="1" applyBorder="1"/>
    <xf numFmtId="10" fontId="6" fillId="0" borderId="0" xfId="15" applyNumberFormat="1" applyFont="1"/>
    <xf numFmtId="37" fontId="4" fillId="0" borderId="0" xfId="0" applyFont="1"/>
    <xf numFmtId="0" fontId="6" fillId="0" borderId="0" xfId="0" applyNumberFormat="1" applyFont="1" applyAlignment="1">
      <alignment horizontal="center" vertical="top"/>
    </xf>
    <xf numFmtId="37" fontId="4" fillId="0" borderId="0" xfId="0" applyFont="1" applyAlignment="1">
      <alignment wrapText="1"/>
    </xf>
    <xf numFmtId="37" fontId="6" fillId="0" borderId="0" xfId="0" applyFont="1" applyAlignment="1">
      <alignment horizontal="center" vertical="top"/>
    </xf>
    <xf numFmtId="37" fontId="0" fillId="0" borderId="0" xfId="0" applyAlignment="1">
      <alignment wrapText="1"/>
    </xf>
    <xf numFmtId="10" fontId="43" fillId="0" borderId="0" xfId="15" applyNumberFormat="1" applyFont="1"/>
    <xf numFmtId="10" fontId="43" fillId="0" borderId="0" xfId="15" applyNumberFormat="1" applyFont="1" applyFill="1"/>
    <xf numFmtId="37" fontId="6" fillId="0" borderId="0" xfId="0" applyFont="1" applyAlignment="1">
      <alignment horizontal="center" vertical="center"/>
    </xf>
    <xf numFmtId="37" fontId="9" fillId="0" borderId="31" xfId="0" applyFont="1" applyFill="1" applyBorder="1"/>
    <xf numFmtId="37" fontId="4" fillId="0" borderId="40" xfId="0" applyFont="1" applyBorder="1" applyAlignment="1">
      <alignment horizontal="center" wrapText="1"/>
    </xf>
    <xf numFmtId="37" fontId="4" fillId="0" borderId="40" xfId="0" applyFont="1" applyFill="1" applyBorder="1" applyAlignment="1">
      <alignment horizontal="centerContinuous"/>
    </xf>
    <xf numFmtId="37" fontId="40" fillId="0" borderId="0" xfId="0" applyFont="1" applyFill="1"/>
    <xf numFmtId="37" fontId="4" fillId="0" borderId="32" xfId="0" applyFont="1" applyFill="1" applyBorder="1" applyAlignment="1">
      <alignment horizontal="centerContinuous"/>
    </xf>
    <xf numFmtId="37" fontId="19" fillId="0" borderId="38" xfId="0" applyFont="1" applyFill="1" applyBorder="1" applyAlignment="1">
      <alignment horizontal="center"/>
    </xf>
    <xf numFmtId="37" fontId="9" fillId="0" borderId="19" xfId="0" applyFont="1" applyFill="1" applyBorder="1"/>
    <xf numFmtId="37" fontId="19" fillId="0" borderId="19" xfId="0" applyFont="1" applyBorder="1" applyAlignment="1">
      <alignment horizontal="center"/>
    </xf>
    <xf numFmtId="37" fontId="14" fillId="0" borderId="0" xfId="0" quotePrefix="1" applyFont="1" applyFill="1" applyBorder="1" applyAlignment="1">
      <alignment horizontal="left" vertical="top" wrapText="1"/>
    </xf>
    <xf numFmtId="173" fontId="53" fillId="7" borderId="37" xfId="15" applyNumberFormat="1" applyFont="1" applyFill="1" applyBorder="1" applyAlignment="1">
      <alignment vertical="top"/>
    </xf>
    <xf numFmtId="37" fontId="40" fillId="0" borderId="0" xfId="0" applyFont="1" applyFill="1" applyBorder="1" applyAlignment="1">
      <alignment horizontal="left"/>
    </xf>
    <xf numFmtId="37" fontId="40" fillId="0" borderId="0" xfId="0" applyFont="1" applyFill="1" applyBorder="1"/>
    <xf numFmtId="10" fontId="40" fillId="0" borderId="27" xfId="15" applyNumberFormat="1" applyFont="1" applyFill="1" applyBorder="1" applyAlignment="1">
      <alignment vertical="top"/>
    </xf>
    <xf numFmtId="10" fontId="40" fillId="0" borderId="37" xfId="15" applyNumberFormat="1" applyFont="1" applyFill="1" applyBorder="1" applyAlignment="1">
      <alignment vertical="top"/>
    </xf>
    <xf numFmtId="10" fontId="64" fillId="0" borderId="27" xfId="15" applyNumberFormat="1" applyFont="1" applyFill="1" applyBorder="1" applyAlignment="1">
      <alignment vertical="top"/>
    </xf>
    <xf numFmtId="173" fontId="40" fillId="0" borderId="0" xfId="15" applyNumberFormat="1" applyFont="1" applyFill="1" applyBorder="1" applyAlignment="1">
      <alignment horizontal="left" vertical="top"/>
    </xf>
    <xf numFmtId="37" fontId="14" fillId="0" borderId="0" xfId="0" applyFont="1" applyFill="1" applyBorder="1" applyAlignment="1">
      <alignment horizontal="left" vertical="top" wrapText="1"/>
    </xf>
    <xf numFmtId="173" fontId="40" fillId="0" borderId="0" xfId="15" quotePrefix="1" applyNumberFormat="1" applyFont="1" applyFill="1" applyBorder="1" applyAlignment="1">
      <alignment horizontal="left" vertical="top"/>
    </xf>
    <xf numFmtId="37" fontId="14" fillId="0" borderId="0" xfId="0" applyFont="1" applyFill="1" applyBorder="1" applyAlignment="1">
      <alignment vertical="top" wrapText="1"/>
    </xf>
    <xf numFmtId="37" fontId="14" fillId="0" borderId="0" xfId="0" applyFont="1" applyFill="1" applyBorder="1" applyAlignment="1">
      <alignment horizontal="left"/>
    </xf>
    <xf numFmtId="173" fontId="53" fillId="7" borderId="36" xfId="15" applyNumberFormat="1" applyFont="1" applyFill="1" applyBorder="1" applyAlignment="1">
      <alignment vertical="top"/>
    </xf>
    <xf numFmtId="37" fontId="40" fillId="0" borderId="1" xfId="0" applyFont="1" applyFill="1" applyBorder="1" applyAlignment="1">
      <alignment horizontal="left"/>
    </xf>
    <xf numFmtId="37" fontId="40" fillId="0" borderId="1" xfId="0" applyFont="1" applyFill="1" applyBorder="1"/>
    <xf numFmtId="10" fontId="40" fillId="0" borderId="41" xfId="15" applyNumberFormat="1" applyFont="1" applyFill="1" applyBorder="1" applyAlignment="1">
      <alignment vertical="top"/>
    </xf>
    <xf numFmtId="173" fontId="40" fillId="0" borderId="1" xfId="15" quotePrefix="1" applyNumberFormat="1" applyFont="1" applyFill="1" applyBorder="1" applyAlignment="1">
      <alignment horizontal="left" vertical="top"/>
    </xf>
    <xf numFmtId="173" fontId="40" fillId="0" borderId="1" xfId="15" applyNumberFormat="1" applyFont="1" applyFill="1" applyBorder="1" applyAlignment="1">
      <alignment horizontal="left" vertical="top"/>
    </xf>
    <xf numFmtId="10" fontId="40" fillId="0" borderId="36" xfId="15" applyNumberFormat="1" applyFont="1" applyFill="1" applyBorder="1" applyAlignment="1">
      <alignment vertical="top"/>
    </xf>
    <xf numFmtId="37" fontId="11" fillId="0" borderId="0" xfId="0" applyFont="1" applyAlignment="1">
      <alignment horizontal="center" vertical="top"/>
    </xf>
    <xf numFmtId="37" fontId="34" fillId="0" borderId="0" xfId="0" applyFont="1"/>
    <xf numFmtId="37" fontId="3" fillId="0" borderId="0" xfId="0" applyFont="1" applyFill="1"/>
    <xf numFmtId="41" fontId="22" fillId="0" borderId="0" xfId="9" applyNumberFormat="1" applyFont="1" applyFill="1" applyAlignment="1" applyProtection="1">
      <alignment vertical="top"/>
      <protection locked="0"/>
    </xf>
    <xf numFmtId="42" fontId="22" fillId="0" borderId="0" xfId="9" applyNumberFormat="1" applyFont="1" applyFill="1" applyBorder="1" applyAlignment="1" applyProtection="1">
      <protection locked="0"/>
    </xf>
    <xf numFmtId="37" fontId="0" fillId="0" borderId="0" xfId="0" applyFill="1"/>
    <xf numFmtId="0" fontId="22" fillId="0" borderId="0" xfId="0" applyNumberFormat="1" applyFont="1" applyFill="1" applyAlignment="1" applyProtection="1">
      <alignment horizontal="center" vertical="center"/>
      <protection locked="0"/>
    </xf>
    <xf numFmtId="170" fontId="3" fillId="0" borderId="0" xfId="0" applyNumberFormat="1" applyFont="1" applyFill="1" applyBorder="1" applyAlignment="1">
      <alignment horizontal="center"/>
    </xf>
    <xf numFmtId="0" fontId="6" fillId="0" borderId="0" xfId="6" applyFont="1" applyBorder="1" applyAlignment="1">
      <alignment horizontal="center"/>
    </xf>
    <xf numFmtId="41" fontId="6" fillId="0" borderId="0" xfId="6" applyNumberFormat="1" applyFont="1" applyFill="1" applyBorder="1" applyAlignment="1">
      <alignment horizontal="center"/>
    </xf>
    <xf numFmtId="0" fontId="11" fillId="0" borderId="1" xfId="6" applyFont="1" applyBorder="1" applyAlignment="1">
      <alignment horizontal="center"/>
    </xf>
    <xf numFmtId="42" fontId="4" fillId="0" borderId="0" xfId="6" applyNumberFormat="1" applyFont="1" applyBorder="1"/>
    <xf numFmtId="41" fontId="38" fillId="0" borderId="0" xfId="3" applyNumberFormat="1" applyFont="1" applyFill="1" applyBorder="1"/>
    <xf numFmtId="37" fontId="40" fillId="0" borderId="0" xfId="0" applyFont="1"/>
    <xf numFmtId="41" fontId="9" fillId="0" borderId="21" xfId="0" applyNumberFormat="1" applyFont="1" applyBorder="1" applyAlignment="1"/>
    <xf numFmtId="0" fontId="40" fillId="0" borderId="0" xfId="6" applyFont="1" applyFill="1" applyAlignment="1">
      <alignment horizontal="right" vertical="center"/>
    </xf>
    <xf numFmtId="0" fontId="40" fillId="0" borderId="0" xfId="6" applyFont="1" applyFill="1" applyAlignment="1">
      <alignment horizontal="left" vertical="center"/>
    </xf>
    <xf numFmtId="0" fontId="40" fillId="0" borderId="0" xfId="6" applyFont="1" applyAlignment="1">
      <alignment horizontal="left" vertical="center"/>
    </xf>
    <xf numFmtId="0" fontId="40" fillId="0" borderId="0" xfId="6" applyFont="1" applyFill="1" applyAlignment="1">
      <alignment vertical="center"/>
    </xf>
    <xf numFmtId="0" fontId="40" fillId="0" borderId="0" xfId="6" quotePrefix="1" applyFont="1" applyAlignment="1">
      <alignment horizontal="right" vertical="center"/>
    </xf>
    <xf numFmtId="0" fontId="89" fillId="0" borderId="0" xfId="6" applyFont="1" applyFill="1" applyAlignment="1">
      <alignment horizontal="left" vertical="center"/>
    </xf>
    <xf numFmtId="0" fontId="40" fillId="2" borderId="0" xfId="6" applyFont="1" applyFill="1" applyAlignment="1">
      <alignment vertical="center"/>
    </xf>
    <xf numFmtId="170" fontId="64" fillId="0" borderId="0" xfId="0" applyNumberFormat="1" applyFont="1" applyAlignment="1">
      <alignment horizontal="left"/>
    </xf>
    <xf numFmtId="37" fontId="9" fillId="0" borderId="0" xfId="0" applyFont="1" applyFill="1" applyBorder="1" applyAlignment="1">
      <alignment horizontal="center"/>
    </xf>
    <xf numFmtId="170" fontId="9" fillId="0" borderId="0" xfId="0" applyNumberFormat="1" applyFont="1" applyFill="1" applyBorder="1" applyAlignment="1">
      <alignment horizontal="center"/>
    </xf>
    <xf numFmtId="42" fontId="9" fillId="0" borderId="0" xfId="0" applyNumberFormat="1" applyFont="1" applyFill="1" applyBorder="1" applyAlignment="1">
      <alignment horizontal="center"/>
    </xf>
    <xf numFmtId="41" fontId="9" fillId="0" borderId="0" xfId="0" applyNumberFormat="1" applyFont="1" applyFill="1" applyBorder="1" applyAlignment="1">
      <alignment horizontal="center"/>
    </xf>
    <xf numFmtId="41" fontId="9" fillId="0" borderId="3" xfId="0" applyNumberFormat="1" applyFont="1" applyFill="1" applyBorder="1" applyAlignment="1">
      <alignment horizontal="center"/>
    </xf>
    <xf numFmtId="42" fontId="9" fillId="0" borderId="13" xfId="0" applyNumberFormat="1" applyFont="1" applyFill="1" applyBorder="1" applyAlignment="1">
      <alignment horizontal="center"/>
    </xf>
    <xf numFmtId="42" fontId="3" fillId="0" borderId="0" xfId="0" applyNumberFormat="1" applyFont="1" applyFill="1" applyBorder="1" applyAlignment="1">
      <alignment horizontal="center"/>
    </xf>
    <xf numFmtId="42" fontId="9" fillId="0" borderId="3" xfId="0" applyNumberFormat="1" applyFont="1" applyFill="1" applyBorder="1" applyAlignment="1">
      <alignment horizontal="center"/>
    </xf>
    <xf numFmtId="170" fontId="3" fillId="0" borderId="0" xfId="0" applyNumberFormat="1" applyFont="1" applyAlignment="1">
      <alignment horizontal="center"/>
    </xf>
    <xf numFmtId="42" fontId="9" fillId="0" borderId="1" xfId="0" applyNumberFormat="1" applyFont="1" applyFill="1" applyBorder="1" applyAlignment="1">
      <alignment horizontal="center"/>
    </xf>
    <xf numFmtId="170" fontId="36" fillId="0" borderId="0" xfId="0" applyNumberFormat="1" applyFont="1"/>
    <xf numFmtId="37" fontId="64" fillId="0" borderId="0" xfId="0" applyFont="1" applyAlignment="1">
      <alignment horizontal="left"/>
    </xf>
    <xf numFmtId="37" fontId="64" fillId="0" borderId="0" xfId="0" applyFont="1" applyFill="1" applyBorder="1"/>
    <xf numFmtId="170" fontId="48" fillId="0" borderId="0" xfId="0" applyNumberFormat="1" applyFont="1" applyFill="1" applyBorder="1"/>
    <xf numFmtId="170" fontId="34" fillId="0" borderId="0" xfId="0" applyNumberFormat="1" applyFont="1" applyFill="1" applyBorder="1"/>
    <xf numFmtId="170" fontId="48" fillId="0" borderId="0" xfId="0" applyNumberFormat="1" applyFont="1" applyAlignment="1">
      <alignment horizontal="left"/>
    </xf>
    <xf numFmtId="170" fontId="76" fillId="0" borderId="0" xfId="0" applyNumberFormat="1" applyFont="1"/>
    <xf numFmtId="170" fontId="35" fillId="0" borderId="0" xfId="0" applyNumberFormat="1" applyFont="1" applyBorder="1"/>
    <xf numFmtId="170" fontId="76" fillId="0" borderId="0" xfId="0" applyNumberFormat="1" applyFont="1" applyAlignment="1">
      <alignment horizontal="right"/>
    </xf>
    <xf numFmtId="170" fontId="67" fillId="0" borderId="0" xfId="0" applyNumberFormat="1" applyFont="1" applyAlignment="1">
      <alignment horizontal="center" wrapText="1"/>
    </xf>
    <xf numFmtId="0" fontId="14" fillId="0" borderId="0" xfId="0" applyNumberFormat="1" applyFont="1" applyAlignment="1">
      <alignment horizontal="center"/>
    </xf>
    <xf numFmtId="170" fontId="67" fillId="0" borderId="0" xfId="0" applyNumberFormat="1" applyFont="1"/>
    <xf numFmtId="37" fontId="14" fillId="0" borderId="0" xfId="0" applyNumberFormat="1" applyFont="1" applyAlignment="1">
      <alignment horizontal="center"/>
    </xf>
    <xf numFmtId="37" fontId="18" fillId="0" borderId="0" xfId="0" applyFont="1"/>
    <xf numFmtId="170" fontId="49" fillId="0" borderId="3" xfId="0" applyNumberFormat="1" applyFont="1" applyBorder="1" applyAlignment="1">
      <alignment horizontal="left"/>
    </xf>
    <xf numFmtId="10" fontId="3" fillId="0" borderId="0" xfId="0" applyNumberFormat="1" applyFont="1" applyFill="1" applyBorder="1" applyAlignment="1"/>
    <xf numFmtId="0" fontId="3" fillId="2" borderId="3" xfId="0" applyNumberFormat="1" applyFont="1" applyFill="1" applyBorder="1" applyAlignment="1">
      <alignment horizontal="left"/>
    </xf>
    <xf numFmtId="0" fontId="3" fillId="0" borderId="0" xfId="0" applyNumberFormat="1" applyFont="1" applyFill="1" applyBorder="1" applyAlignment="1">
      <alignment horizontal="left"/>
    </xf>
    <xf numFmtId="0" fontId="3" fillId="2" borderId="0" xfId="0" applyNumberFormat="1" applyFont="1" applyFill="1" applyBorder="1" applyAlignment="1">
      <alignment horizontal="left"/>
    </xf>
    <xf numFmtId="0" fontId="3" fillId="2" borderId="0" xfId="0" applyNumberFormat="1" applyFont="1" applyFill="1" applyAlignment="1">
      <alignment horizontal="left"/>
    </xf>
    <xf numFmtId="0" fontId="3" fillId="0" borderId="3" xfId="0" applyNumberFormat="1" applyFont="1" applyFill="1" applyBorder="1" applyAlignment="1">
      <alignment horizontal="left"/>
    </xf>
    <xf numFmtId="170" fontId="3" fillId="0" borderId="3" xfId="0" applyNumberFormat="1" applyFont="1" applyFill="1" applyBorder="1" applyAlignment="1">
      <alignment horizontal="left"/>
    </xf>
    <xf numFmtId="0" fontId="3" fillId="0" borderId="0" xfId="0" applyNumberFormat="1" applyFont="1" applyFill="1" applyAlignment="1">
      <alignment horizontal="left"/>
    </xf>
    <xf numFmtId="170" fontId="3" fillId="0" borderId="0" xfId="0" applyNumberFormat="1" applyFont="1" applyFill="1" applyAlignment="1">
      <alignment horizontal="left"/>
    </xf>
    <xf numFmtId="0" fontId="3" fillId="0" borderId="24" xfId="0" applyNumberFormat="1" applyFont="1" applyFill="1" applyBorder="1" applyAlignment="1">
      <alignment horizontal="left"/>
    </xf>
    <xf numFmtId="170" fontId="76" fillId="0" borderId="0" xfId="0" applyNumberFormat="1" applyFont="1" applyAlignment="1">
      <alignment horizontal="left"/>
    </xf>
    <xf numFmtId="170" fontId="6" fillId="0" borderId="0" xfId="0" applyNumberFormat="1" applyFont="1" applyAlignment="1">
      <alignment vertical="top"/>
    </xf>
    <xf numFmtId="170" fontId="3" fillId="0" borderId="4" xfId="0" applyNumberFormat="1" applyFont="1" applyBorder="1" applyAlignment="1">
      <alignment horizontal="center"/>
    </xf>
    <xf numFmtId="170" fontId="34" fillId="0" borderId="0" xfId="0" applyNumberFormat="1" applyFont="1" applyAlignment="1">
      <alignment horizontal="center"/>
    </xf>
    <xf numFmtId="170" fontId="34" fillId="0" borderId="0" xfId="0" applyNumberFormat="1" applyFont="1" applyAlignment="1">
      <alignment horizontal="center" vertical="top"/>
    </xf>
    <xf numFmtId="170" fontId="29" fillId="0" borderId="0" xfId="0" applyNumberFormat="1" applyFont="1" applyAlignment="1">
      <alignment horizontal="center" vertical="center"/>
    </xf>
    <xf numFmtId="37" fontId="54" fillId="0" borderId="0" xfId="0" applyFont="1" applyFill="1" applyAlignment="1">
      <alignment horizontal="center"/>
    </xf>
    <xf numFmtId="7" fontId="0" fillId="0" borderId="0" xfId="0" applyNumberFormat="1" applyAlignment="1"/>
    <xf numFmtId="5" fontId="0" fillId="0" borderId="0" xfId="0" applyNumberFormat="1" applyAlignment="1"/>
    <xf numFmtId="43" fontId="37" fillId="0" borderId="0" xfId="0" applyNumberFormat="1" applyFont="1" applyAlignment="1"/>
    <xf numFmtId="42" fontId="9" fillId="0" borderId="0" xfId="0" applyNumberFormat="1" applyFont="1" applyAlignment="1"/>
    <xf numFmtId="41" fontId="9" fillId="0" borderId="0" xfId="0" applyNumberFormat="1" applyFont="1" applyFill="1" applyAlignment="1"/>
    <xf numFmtId="42" fontId="9" fillId="0" borderId="13" xfId="0" applyNumberFormat="1" applyFont="1" applyFill="1" applyBorder="1" applyAlignment="1"/>
    <xf numFmtId="44" fontId="9" fillId="0" borderId="0" xfId="0" applyNumberFormat="1" applyFont="1" applyBorder="1" applyAlignment="1"/>
    <xf numFmtId="44" fontId="9" fillId="0" borderId="0" xfId="0" applyNumberFormat="1" applyFont="1" applyFill="1" applyBorder="1" applyAlignment="1"/>
    <xf numFmtId="7" fontId="9" fillId="0" borderId="0" xfId="0" applyNumberFormat="1" applyFont="1" applyFill="1" applyBorder="1" applyAlignment="1"/>
    <xf numFmtId="42" fontId="9" fillId="0" borderId="0" xfId="0" applyNumberFormat="1" applyFont="1" applyFill="1" applyBorder="1" applyAlignment="1"/>
    <xf numFmtId="41" fontId="9" fillId="0" borderId="0" xfId="0" applyNumberFormat="1" applyFont="1" applyFill="1" applyBorder="1" applyAlignment="1"/>
    <xf numFmtId="41" fontId="9" fillId="0" borderId="3" xfId="0" applyNumberFormat="1" applyFont="1" applyFill="1" applyBorder="1" applyAlignment="1"/>
    <xf numFmtId="41" fontId="9" fillId="0" borderId="0" xfId="0" applyNumberFormat="1" applyFont="1" applyAlignment="1"/>
    <xf numFmtId="43" fontId="37" fillId="0" borderId="0" xfId="0" applyNumberFormat="1" applyFont="1" applyBorder="1" applyAlignment="1"/>
    <xf numFmtId="0" fontId="44" fillId="0" borderId="0" xfId="0" applyNumberFormat="1" applyFont="1" applyAlignment="1">
      <alignment horizontal="center"/>
    </xf>
    <xf numFmtId="170" fontId="49" fillId="0" borderId="0" xfId="0" applyNumberFormat="1" applyFont="1" applyFill="1" applyAlignment="1">
      <alignment horizontal="center"/>
    </xf>
    <xf numFmtId="42" fontId="75" fillId="2" borderId="2" xfId="0" applyNumberFormat="1" applyFont="1" applyFill="1" applyBorder="1" applyAlignment="1"/>
    <xf numFmtId="42" fontId="75" fillId="2" borderId="23" xfId="0" applyNumberFormat="1" applyFont="1" applyFill="1" applyBorder="1"/>
    <xf numFmtId="41" fontId="75" fillId="2" borderId="10" xfId="0" applyNumberFormat="1" applyFont="1" applyFill="1" applyBorder="1"/>
    <xf numFmtId="41" fontId="75" fillId="2" borderId="23" xfId="0" applyNumberFormat="1" applyFont="1" applyFill="1" applyBorder="1"/>
    <xf numFmtId="42" fontId="75" fillId="2" borderId="2" xfId="0" applyNumberFormat="1" applyFont="1" applyFill="1" applyBorder="1"/>
    <xf numFmtId="42" fontId="75" fillId="2" borderId="13" xfId="13" applyNumberFormat="1" applyFont="1" applyFill="1" applyBorder="1"/>
    <xf numFmtId="42" fontId="75" fillId="2" borderId="11" xfId="0" applyNumberFormat="1" applyFont="1" applyFill="1" applyBorder="1" applyAlignment="1"/>
    <xf numFmtId="41" fontId="75" fillId="2" borderId="2" xfId="3" applyNumberFormat="1" applyFont="1" applyFill="1" applyBorder="1" applyAlignment="1" applyProtection="1">
      <protection locked="0"/>
    </xf>
    <xf numFmtId="41" fontId="75" fillId="2" borderId="2" xfId="0" applyNumberFormat="1" applyFont="1" applyFill="1" applyBorder="1" applyAlignment="1"/>
    <xf numFmtId="41" fontId="75" fillId="2" borderId="2" xfId="0" applyNumberFormat="1" applyFont="1" applyFill="1" applyBorder="1" applyAlignment="1">
      <alignment vertical="top"/>
    </xf>
    <xf numFmtId="170" fontId="32" fillId="0" borderId="0" xfId="0" quotePrefix="1" applyNumberFormat="1" applyFont="1" applyFill="1" applyAlignment="1">
      <alignment horizontal="center"/>
    </xf>
    <xf numFmtId="170" fontId="2" fillId="0" borderId="0" xfId="0" applyNumberFormat="1" applyFont="1" applyFill="1" applyAlignment="1">
      <alignment vertical="top" wrapText="1"/>
    </xf>
    <xf numFmtId="170" fontId="29" fillId="0" borderId="0" xfId="0" applyNumberFormat="1" applyFont="1" applyFill="1" applyBorder="1" applyAlignment="1">
      <alignment horizontal="center"/>
    </xf>
    <xf numFmtId="170" fontId="29" fillId="0" borderId="1" xfId="0" applyNumberFormat="1" applyFont="1" applyFill="1" applyBorder="1" applyAlignment="1">
      <alignment horizontal="left"/>
    </xf>
    <xf numFmtId="170" fontId="29" fillId="0" borderId="1" xfId="0" applyNumberFormat="1" applyFont="1" applyFill="1" applyBorder="1" applyAlignment="1"/>
    <xf numFmtId="3" fontId="78" fillId="0" borderId="0" xfId="0" applyNumberFormat="1" applyFont="1" applyFill="1" applyAlignment="1">
      <alignment horizontal="center"/>
    </xf>
    <xf numFmtId="170" fontId="0" fillId="0" borderId="0" xfId="0" quotePrefix="1" applyNumberFormat="1" applyFill="1" applyAlignment="1"/>
    <xf numFmtId="3" fontId="78" fillId="0" borderId="0" xfId="0" quotePrefix="1" applyNumberFormat="1" applyFont="1" applyFill="1" applyAlignment="1">
      <alignment horizontal="center"/>
    </xf>
    <xf numFmtId="0" fontId="22" fillId="0" borderId="0" xfId="0" quotePrefix="1" applyNumberFormat="1" applyFont="1" applyFill="1" applyAlignment="1">
      <alignment horizontal="center"/>
    </xf>
    <xf numFmtId="0" fontId="4" fillId="0" borderId="0" xfId="0" quotePrefix="1" applyNumberFormat="1" applyFont="1" applyFill="1" applyAlignment="1">
      <alignment horizontal="center"/>
    </xf>
    <xf numFmtId="49" fontId="4" fillId="0" borderId="0" xfId="0" applyNumberFormat="1" applyFont="1" applyFill="1"/>
    <xf numFmtId="170" fontId="4" fillId="0" borderId="1" xfId="0" applyNumberFormat="1" applyFont="1" applyFill="1" applyBorder="1" applyAlignment="1"/>
    <xf numFmtId="0" fontId="4" fillId="0" borderId="1" xfId="0" applyNumberFormat="1" applyFont="1" applyFill="1" applyBorder="1"/>
    <xf numFmtId="0" fontId="4" fillId="0" borderId="1" xfId="0" applyNumberFormat="1" applyFont="1" applyFill="1" applyBorder="1" applyAlignment="1" applyProtection="1">
      <alignment horizontal="center"/>
      <protection locked="0"/>
    </xf>
    <xf numFmtId="41" fontId="4" fillId="0" borderId="0" xfId="0" applyNumberFormat="1" applyFont="1" applyFill="1" applyBorder="1" applyProtection="1">
      <protection locked="0"/>
    </xf>
    <xf numFmtId="0" fontId="54" fillId="0" borderId="0" xfId="9" applyNumberFormat="1" applyFont="1" applyFill="1" applyBorder="1" applyAlignment="1" applyProtection="1">
      <alignment horizontal="left"/>
      <protection locked="0"/>
    </xf>
    <xf numFmtId="185" fontId="4" fillId="0" borderId="0" xfId="9" applyNumberFormat="1" applyFont="1" applyFill="1" applyAlignment="1"/>
    <xf numFmtId="49" fontId="18" fillId="0" borderId="0" xfId="9" applyNumberFormat="1" applyFont="1" applyFill="1" applyBorder="1" applyAlignment="1" applyProtection="1">
      <alignment horizontal="center"/>
      <protection locked="0"/>
    </xf>
    <xf numFmtId="0" fontId="4" fillId="0" borderId="0" xfId="0" applyNumberFormat="1" applyFont="1" applyFill="1" applyBorder="1"/>
    <xf numFmtId="1" fontId="4" fillId="0" borderId="0" xfId="9" applyNumberFormat="1" applyFont="1" applyFill="1" applyAlignment="1" applyProtection="1">
      <alignment horizontal="center"/>
      <protection locked="0"/>
    </xf>
    <xf numFmtId="189" fontId="4" fillId="0" borderId="0" xfId="1" applyNumberFormat="1" applyFont="1" applyFill="1" applyAlignment="1"/>
    <xf numFmtId="169" fontId="4" fillId="0" borderId="0" xfId="9" applyNumberFormat="1" applyFont="1" applyFill="1" applyAlignment="1" applyProtection="1">
      <protection locked="0"/>
    </xf>
    <xf numFmtId="41" fontId="22" fillId="0" borderId="0" xfId="0" applyNumberFormat="1" applyFont="1" applyFill="1" applyProtection="1">
      <protection locked="0"/>
    </xf>
    <xf numFmtId="41" fontId="22" fillId="0" borderId="3" xfId="0" applyNumberFormat="1" applyFont="1" applyFill="1" applyBorder="1" applyProtection="1">
      <protection locked="0"/>
    </xf>
    <xf numFmtId="42" fontId="22" fillId="0" borderId="3" xfId="0" applyNumberFormat="1" applyFont="1" applyFill="1" applyBorder="1" applyProtection="1">
      <protection locked="0"/>
    </xf>
    <xf numFmtId="42" fontId="22" fillId="0" borderId="3" xfId="0" applyNumberFormat="1" applyFont="1" applyFill="1" applyBorder="1" applyAlignment="1" applyProtection="1">
      <protection locked="0"/>
    </xf>
    <xf numFmtId="41" fontId="22" fillId="0" borderId="0" xfId="0" applyNumberFormat="1" applyFont="1" applyFill="1" applyBorder="1" applyAlignment="1" applyProtection="1">
      <alignment horizontal="centerContinuous"/>
      <protection locked="0"/>
    </xf>
    <xf numFmtId="42" fontId="22" fillId="0" borderId="0" xfId="0" applyNumberFormat="1" applyFont="1" applyFill="1" applyBorder="1" applyAlignment="1" applyProtection="1">
      <protection locked="0"/>
    </xf>
    <xf numFmtId="42" fontId="22" fillId="0" borderId="0" xfId="3" applyNumberFormat="1" applyFont="1" applyFill="1" applyBorder="1" applyProtection="1">
      <protection locked="0"/>
    </xf>
    <xf numFmtId="0" fontId="4" fillId="0" borderId="0" xfId="0" applyNumberFormat="1" applyFont="1" applyFill="1" applyAlignment="1">
      <alignment horizontal="center"/>
    </xf>
    <xf numFmtId="49" fontId="4" fillId="0" borderId="0" xfId="0" quotePrefix="1" applyNumberFormat="1" applyFont="1" applyFill="1" applyAlignment="1">
      <alignment horizontal="center"/>
    </xf>
    <xf numFmtId="3" fontId="6" fillId="0" borderId="0" xfId="0" applyNumberFormat="1" applyFont="1" applyFill="1" applyAlignment="1"/>
    <xf numFmtId="170" fontId="22" fillId="0" borderId="1" xfId="0" applyNumberFormat="1" applyFont="1" applyFill="1" applyBorder="1" applyAlignment="1"/>
    <xf numFmtId="0" fontId="6" fillId="0" borderId="1" xfId="0" applyNumberFormat="1" applyFont="1" applyFill="1" applyBorder="1" applyAlignment="1"/>
    <xf numFmtId="0" fontId="6" fillId="0" borderId="1" xfId="0" applyNumberFormat="1" applyFont="1" applyFill="1" applyBorder="1" applyAlignment="1" applyProtection="1">
      <alignment horizontal="center"/>
      <protection locked="0"/>
    </xf>
    <xf numFmtId="172" fontId="46" fillId="0" borderId="0" xfId="3" applyNumberFormat="1" applyFont="1" applyFill="1" applyAlignment="1" applyProtection="1">
      <protection locked="0"/>
    </xf>
    <xf numFmtId="41" fontId="46" fillId="0" borderId="0" xfId="9" applyNumberFormat="1" applyFont="1" applyFill="1" applyAlignment="1" applyProtection="1">
      <alignment vertical="center"/>
      <protection locked="0"/>
    </xf>
    <xf numFmtId="41" fontId="46" fillId="0" borderId="0" xfId="0" applyNumberFormat="1" applyFont="1" applyFill="1" applyAlignment="1"/>
    <xf numFmtId="41" fontId="46" fillId="0" borderId="0" xfId="0" applyNumberFormat="1" applyFont="1" applyFill="1" applyAlignment="1">
      <alignment vertical="top"/>
    </xf>
    <xf numFmtId="172" fontId="46" fillId="0" borderId="0" xfId="3" applyNumberFormat="1" applyFont="1" applyFill="1" applyBorder="1" applyAlignment="1"/>
    <xf numFmtId="41" fontId="46" fillId="0" borderId="0" xfId="3" applyNumberFormat="1" applyFont="1" applyFill="1" applyBorder="1" applyAlignment="1"/>
    <xf numFmtId="41" fontId="46" fillId="0" borderId="1" xfId="3" applyNumberFormat="1" applyFont="1" applyFill="1" applyBorder="1" applyAlignment="1"/>
    <xf numFmtId="42" fontId="46" fillId="0" borderId="0" xfId="0" applyNumberFormat="1" applyFont="1" applyFill="1" applyAlignment="1"/>
    <xf numFmtId="42" fontId="46" fillId="0" borderId="0" xfId="9" applyNumberFormat="1" applyFont="1" applyFill="1" applyBorder="1" applyAlignment="1" applyProtection="1">
      <protection locked="0"/>
    </xf>
    <xf numFmtId="41" fontId="46" fillId="0" borderId="0" xfId="9" applyNumberFormat="1" applyFont="1" applyFill="1" applyBorder="1" applyAlignment="1" applyProtection="1">
      <protection locked="0"/>
    </xf>
    <xf numFmtId="41" fontId="46" fillId="0" borderId="1" xfId="0" applyNumberFormat="1" applyFont="1" applyFill="1" applyBorder="1" applyAlignment="1"/>
    <xf numFmtId="172" fontId="22" fillId="0" borderId="30" xfId="3" applyNumberFormat="1" applyFont="1" applyFill="1" applyBorder="1" applyAlignment="1"/>
    <xf numFmtId="41" fontId="22" fillId="0" borderId="1" xfId="9" applyNumberFormat="1" applyFont="1" applyFill="1" applyBorder="1" applyAlignment="1" applyProtection="1">
      <alignment vertical="top"/>
      <protection locked="0"/>
    </xf>
    <xf numFmtId="41" fontId="22" fillId="0" borderId="1" xfId="3" applyNumberFormat="1" applyFont="1" applyBorder="1" applyAlignment="1"/>
    <xf numFmtId="171" fontId="22" fillId="0" borderId="1" xfId="3" applyNumberFormat="1" applyFont="1" applyBorder="1" applyAlignment="1"/>
    <xf numFmtId="41" fontId="46" fillId="0" borderId="1" xfId="0" applyNumberFormat="1" applyFont="1" applyFill="1" applyBorder="1" applyAlignment="1">
      <alignment vertical="top"/>
    </xf>
    <xf numFmtId="42" fontId="4" fillId="0" borderId="0" xfId="0" applyNumberFormat="1" applyFont="1" applyFill="1" applyBorder="1" applyAlignment="1"/>
    <xf numFmtId="172" fontId="46" fillId="0" borderId="0" xfId="9" applyNumberFormat="1" applyFont="1" applyFill="1" applyAlignment="1" applyProtection="1">
      <protection locked="0"/>
    </xf>
    <xf numFmtId="42" fontId="4" fillId="0" borderId="0" xfId="9" applyNumberFormat="1" applyFont="1" applyFill="1" applyAlignment="1" applyProtection="1">
      <protection locked="0"/>
    </xf>
    <xf numFmtId="167" fontId="22" fillId="0" borderId="0" xfId="0" applyNumberFormat="1" applyFont="1" applyFill="1" applyAlignment="1"/>
    <xf numFmtId="0" fontId="4" fillId="0" borderId="1" xfId="0" applyNumberFormat="1" applyFont="1" applyFill="1" applyBorder="1" applyProtection="1">
      <protection locked="0"/>
    </xf>
    <xf numFmtId="41" fontId="22" fillId="0" borderId="1" xfId="0" applyNumberFormat="1" applyFont="1" applyFill="1" applyBorder="1" applyAlignment="1">
      <alignment vertical="top"/>
    </xf>
    <xf numFmtId="41" fontId="22" fillId="0" borderId="1" xfId="9" applyNumberFormat="1" applyFont="1" applyFill="1" applyBorder="1" applyAlignment="1" applyProtection="1">
      <alignment vertical="center"/>
      <protection locked="0"/>
    </xf>
    <xf numFmtId="1" fontId="40" fillId="0" borderId="0" xfId="9" applyNumberFormat="1" applyFont="1" applyFill="1" applyAlignment="1" applyProtection="1">
      <alignment horizontal="left"/>
      <protection locked="0"/>
    </xf>
    <xf numFmtId="42" fontId="4" fillId="0" borderId="0" xfId="3" applyNumberFormat="1" applyFont="1" applyFill="1" applyAlignment="1" applyProtection="1">
      <protection locked="0"/>
    </xf>
    <xf numFmtId="174" fontId="43" fillId="0" borderId="0" xfId="1" applyNumberFormat="1" applyFont="1" applyFill="1" applyAlignment="1"/>
    <xf numFmtId="172" fontId="22" fillId="0" borderId="0" xfId="3" applyNumberFormat="1" applyFont="1" applyFill="1" applyBorder="1" applyAlignment="1" applyProtection="1">
      <protection locked="0"/>
    </xf>
    <xf numFmtId="10" fontId="4" fillId="0" borderId="0" xfId="0" applyNumberFormat="1" applyFont="1" applyFill="1" applyAlignment="1" applyProtection="1">
      <alignment horizontal="center"/>
      <protection locked="0"/>
    </xf>
    <xf numFmtId="0" fontId="19" fillId="0" borderId="0" xfId="0" applyNumberFormat="1" applyFont="1" applyFill="1" applyProtection="1">
      <protection locked="0"/>
    </xf>
    <xf numFmtId="37" fontId="19" fillId="0" borderId="0" xfId="0" applyFont="1" applyFill="1" applyAlignment="1">
      <alignment horizontal="center"/>
    </xf>
    <xf numFmtId="173" fontId="4" fillId="0" borderId="0" xfId="0" applyNumberFormat="1" applyFont="1" applyFill="1" applyProtection="1">
      <protection locked="0"/>
    </xf>
    <xf numFmtId="173" fontId="4" fillId="0" borderId="0" xfId="0" applyNumberFormat="1" applyFont="1" applyFill="1" applyAlignment="1"/>
    <xf numFmtId="173" fontId="4" fillId="0" borderId="0" xfId="0" applyNumberFormat="1" applyFont="1" applyFill="1" applyBorder="1" applyProtection="1">
      <protection locked="0"/>
    </xf>
    <xf numFmtId="10" fontId="4" fillId="0" borderId="3" xfId="0" applyNumberFormat="1" applyFont="1" applyFill="1" applyBorder="1" applyProtection="1">
      <protection locked="0"/>
    </xf>
    <xf numFmtId="173" fontId="4" fillId="0" borderId="3" xfId="0" applyNumberFormat="1" applyFont="1" applyFill="1" applyBorder="1" applyProtection="1">
      <protection locked="0"/>
    </xf>
    <xf numFmtId="37" fontId="4" fillId="0" borderId="3" xfId="0" applyFont="1" applyFill="1" applyBorder="1" applyAlignment="1"/>
    <xf numFmtId="173" fontId="4" fillId="0" borderId="3" xfId="0" applyNumberFormat="1" applyFont="1" applyFill="1" applyBorder="1" applyAlignment="1"/>
    <xf numFmtId="173" fontId="4" fillId="0" borderId="1" xfId="0" applyNumberFormat="1" applyFont="1" applyFill="1" applyBorder="1" applyProtection="1">
      <protection locked="0"/>
    </xf>
    <xf numFmtId="173" fontId="4" fillId="0" borderId="1" xfId="0" applyNumberFormat="1" applyFont="1" applyFill="1" applyBorder="1" applyAlignment="1"/>
    <xf numFmtId="10" fontId="4" fillId="2" borderId="0" xfId="0" applyNumberFormat="1" applyFont="1" applyFill="1" applyBorder="1" applyProtection="1">
      <protection locked="0"/>
    </xf>
    <xf numFmtId="10" fontId="4" fillId="2" borderId="3" xfId="0" applyNumberFormat="1" applyFont="1" applyFill="1" applyBorder="1" applyProtection="1">
      <protection locked="0"/>
    </xf>
    <xf numFmtId="170" fontId="6" fillId="0" borderId="0" xfId="0" applyNumberFormat="1" applyFont="1" applyFill="1" applyAlignment="1">
      <alignment horizontal="center" vertical="top"/>
    </xf>
    <xf numFmtId="170" fontId="6" fillId="0" borderId="0" xfId="0" applyNumberFormat="1" applyFont="1" applyFill="1" applyAlignment="1">
      <alignment horizontal="center" vertical="center"/>
    </xf>
    <xf numFmtId="169" fontId="22" fillId="0" borderId="0" xfId="0" applyNumberFormat="1" applyFont="1" applyFill="1" applyBorder="1" applyAlignment="1"/>
    <xf numFmtId="37" fontId="4" fillId="0" borderId="0" xfId="0" applyFont="1" applyFill="1" applyBorder="1"/>
    <xf numFmtId="170" fontId="4" fillId="0" borderId="1" xfId="0" applyNumberFormat="1" applyFont="1" applyFill="1" applyBorder="1" applyAlignment="1">
      <alignment horizontal="center"/>
    </xf>
    <xf numFmtId="0" fontId="2" fillId="0" borderId="0" xfId="9" applyNumberFormat="1" applyFont="1" applyFill="1" applyBorder="1" applyAlignment="1" applyProtection="1">
      <alignment horizontal="center"/>
      <protection locked="0"/>
    </xf>
    <xf numFmtId="0" fontId="4" fillId="0" borderId="0" xfId="9" applyNumberFormat="1" applyFont="1" applyFill="1" applyBorder="1" applyAlignment="1" applyProtection="1">
      <alignment horizontal="center"/>
      <protection locked="0"/>
    </xf>
    <xf numFmtId="0" fontId="4" fillId="0" borderId="0" xfId="9" applyNumberFormat="1" applyFont="1" applyFill="1" applyAlignment="1" applyProtection="1">
      <alignment horizontal="center"/>
      <protection locked="0"/>
    </xf>
    <xf numFmtId="41" fontId="4" fillId="0" borderId="0" xfId="9" applyNumberFormat="1" applyFont="1" applyFill="1" applyBorder="1" applyProtection="1">
      <protection locked="0"/>
    </xf>
    <xf numFmtId="41" fontId="4" fillId="0" borderId="0" xfId="9" applyNumberFormat="1" applyFont="1" applyFill="1" applyAlignment="1" applyProtection="1">
      <protection locked="0"/>
    </xf>
    <xf numFmtId="42" fontId="4" fillId="0" borderId="24" xfId="1" applyNumberFormat="1" applyFont="1" applyFill="1" applyBorder="1" applyAlignment="1"/>
    <xf numFmtId="43" fontId="4" fillId="0" borderId="0" xfId="1" applyFont="1" applyFill="1" applyAlignment="1"/>
    <xf numFmtId="37" fontId="40" fillId="0" borderId="0" xfId="0" applyFont="1" applyFill="1" applyAlignment="1">
      <alignment horizontal="right"/>
    </xf>
    <xf numFmtId="37" fontId="37" fillId="0" borderId="0" xfId="0" applyFont="1" applyFill="1"/>
    <xf numFmtId="37" fontId="11" fillId="0" borderId="0" xfId="0" applyFont="1" applyFill="1"/>
    <xf numFmtId="37" fontId="4" fillId="0" borderId="0" xfId="0" applyFont="1" applyFill="1" applyAlignment="1">
      <alignment horizontal="right"/>
    </xf>
    <xf numFmtId="170" fontId="22" fillId="0" borderId="0" xfId="0" applyNumberFormat="1" applyFont="1" applyFill="1" applyAlignment="1">
      <alignment horizontal="center" wrapText="1"/>
    </xf>
    <xf numFmtId="1" fontId="22" fillId="0" borderId="0" xfId="0" applyNumberFormat="1" applyFont="1" applyFill="1" applyAlignment="1">
      <alignment horizontal="center"/>
    </xf>
    <xf numFmtId="170" fontId="22" fillId="0" borderId="0" xfId="0" applyNumberFormat="1" applyFont="1" applyFill="1" applyAlignment="1">
      <alignment vertical="top"/>
    </xf>
    <xf numFmtId="0" fontId="30" fillId="0" borderId="0" xfId="6" applyFont="1" applyFill="1" applyAlignment="1">
      <alignment horizontal="center" wrapText="1"/>
    </xf>
    <xf numFmtId="0" fontId="38" fillId="0" borderId="0" xfId="6" applyFont="1" applyFill="1" applyAlignment="1">
      <alignment horizontal="left"/>
    </xf>
    <xf numFmtId="0" fontId="6" fillId="0" borderId="10" xfId="13" applyFont="1" applyFill="1" applyBorder="1" applyAlignment="1">
      <alignment horizontal="center"/>
    </xf>
    <xf numFmtId="0" fontId="6" fillId="0" borderId="0" xfId="13" applyFont="1" applyFill="1" applyBorder="1" applyAlignment="1">
      <alignment horizontal="center"/>
    </xf>
    <xf numFmtId="0" fontId="6" fillId="0" borderId="1" xfId="6" applyFont="1" applyFill="1" applyBorder="1" applyAlignment="1">
      <alignment horizontal="center"/>
    </xf>
    <xf numFmtId="37" fontId="6" fillId="0" borderId="14" xfId="0" applyFont="1" applyFill="1" applyBorder="1" applyAlignment="1">
      <alignment horizontal="center"/>
    </xf>
    <xf numFmtId="37" fontId="6" fillId="0" borderId="1" xfId="0" applyFont="1" applyFill="1" applyBorder="1" applyAlignment="1">
      <alignment horizontal="center"/>
    </xf>
    <xf numFmtId="171" fontId="4" fillId="2" borderId="3" xfId="6" applyNumberFormat="1" applyFont="1" applyFill="1" applyBorder="1" applyAlignment="1">
      <alignment vertical="center"/>
    </xf>
    <xf numFmtId="0" fontId="12" fillId="0" borderId="1" xfId="6" applyFont="1" applyFill="1" applyBorder="1" applyAlignment="1">
      <alignment vertical="center"/>
    </xf>
    <xf numFmtId="0" fontId="37" fillId="0" borderId="0" xfId="6" applyFont="1" applyFill="1" applyAlignment="1">
      <alignment horizontal="center"/>
    </xf>
    <xf numFmtId="0" fontId="11" fillId="0" borderId="0" xfId="6" applyFont="1" applyFill="1" applyAlignment="1">
      <alignment horizontal="center"/>
    </xf>
    <xf numFmtId="0" fontId="14" fillId="0" borderId="0" xfId="6" applyFont="1" applyFill="1"/>
    <xf numFmtId="37" fontId="67" fillId="0" borderId="0" xfId="0" applyNumberFormat="1" applyFont="1" applyFill="1" applyAlignment="1">
      <alignment horizontal="center" vertical="center"/>
    </xf>
    <xf numFmtId="170" fontId="64" fillId="0" borderId="0" xfId="0" applyNumberFormat="1" applyFont="1" applyFill="1" applyBorder="1"/>
    <xf numFmtId="3" fontId="9" fillId="0" borderId="12" xfId="0" applyNumberFormat="1" applyFont="1" applyFill="1" applyBorder="1" applyAlignment="1">
      <alignment horizontal="right"/>
    </xf>
    <xf numFmtId="42" fontId="9" fillId="0" borderId="30" xfId="0" applyNumberFormat="1" applyFont="1" applyFill="1" applyBorder="1" applyAlignment="1"/>
    <xf numFmtId="0" fontId="64" fillId="0" borderId="0" xfId="0" applyNumberFormat="1" applyFont="1" applyFill="1"/>
    <xf numFmtId="3" fontId="9" fillId="0" borderId="0" xfId="0" applyNumberFormat="1" applyFont="1" applyFill="1" applyAlignment="1">
      <alignment horizontal="center"/>
    </xf>
    <xf numFmtId="37" fontId="6" fillId="0" borderId="0" xfId="0" applyFont="1" applyFill="1" applyAlignment="1">
      <alignment horizontal="center" vertical="center"/>
    </xf>
    <xf numFmtId="37" fontId="6" fillId="0" borderId="0" xfId="0" applyFont="1" applyFill="1" applyAlignment="1">
      <alignment horizontal="center"/>
    </xf>
    <xf numFmtId="37" fontId="4" fillId="0" borderId="0" xfId="0" applyFont="1" applyFill="1"/>
    <xf numFmtId="170" fontId="2" fillId="0" borderId="0" xfId="0" applyNumberFormat="1" applyFont="1" applyFill="1" applyAlignment="1">
      <alignment horizontal="center" wrapText="1"/>
    </xf>
    <xf numFmtId="41" fontId="0" fillId="0" borderId="28" xfId="0" applyNumberFormat="1" applyFill="1" applyBorder="1" applyAlignment="1">
      <alignment horizontal="center" wrapText="1"/>
    </xf>
    <xf numFmtId="41" fontId="0" fillId="0" borderId="28" xfId="0" applyNumberFormat="1" applyFill="1" applyBorder="1" applyAlignment="1">
      <alignment horizontal="center"/>
    </xf>
    <xf numFmtId="41" fontId="0" fillId="0" borderId="28" xfId="0" applyNumberFormat="1" applyFill="1" applyBorder="1"/>
    <xf numFmtId="41" fontId="4" fillId="0" borderId="0" xfId="0" applyNumberFormat="1" applyFont="1" applyFill="1"/>
    <xf numFmtId="41" fontId="9" fillId="0" borderId="0" xfId="0" applyNumberFormat="1" applyFont="1" applyFill="1"/>
    <xf numFmtId="41" fontId="0" fillId="0" borderId="3" xfId="0" applyNumberFormat="1" applyFill="1" applyBorder="1"/>
    <xf numFmtId="170" fontId="0" fillId="0" borderId="3" xfId="0" applyNumberFormat="1" applyFill="1" applyBorder="1"/>
    <xf numFmtId="41" fontId="2" fillId="0" borderId="24" xfId="0" applyNumberFormat="1" applyFont="1" applyFill="1" applyBorder="1"/>
    <xf numFmtId="41" fontId="0" fillId="0" borderId="24" xfId="0" applyNumberFormat="1" applyFill="1" applyBorder="1"/>
    <xf numFmtId="37" fontId="59" fillId="0" borderId="0" xfId="0" applyFont="1" applyFill="1"/>
    <xf numFmtId="49" fontId="3" fillId="0" borderId="0" xfId="0" applyNumberFormat="1" applyFont="1" applyFill="1" applyAlignment="1">
      <alignment horizontal="center"/>
    </xf>
    <xf numFmtId="170" fontId="3" fillId="0" borderId="5" xfId="0" applyNumberFormat="1" applyFont="1" applyFill="1" applyBorder="1" applyAlignment="1">
      <alignment horizontal="center" wrapText="1"/>
    </xf>
    <xf numFmtId="170" fontId="3" fillId="0" borderId="0" xfId="0" applyNumberFormat="1" applyFont="1" applyFill="1" applyBorder="1" applyAlignment="1">
      <alignment horizontal="center" wrapText="1"/>
    </xf>
    <xf numFmtId="170" fontId="3" fillId="0" borderId="10" xfId="0" applyNumberFormat="1" applyFont="1" applyFill="1" applyBorder="1" applyAlignment="1">
      <alignment horizontal="center" wrapText="1"/>
    </xf>
    <xf numFmtId="170" fontId="3" fillId="0" borderId="0" xfId="0" applyNumberFormat="1" applyFont="1" applyFill="1" applyBorder="1" applyAlignment="1">
      <alignment horizontal="right"/>
    </xf>
    <xf numFmtId="171" fontId="3" fillId="0" borderId="10" xfId="1" applyNumberFormat="1" applyFont="1" applyFill="1" applyBorder="1" applyAlignment="1"/>
    <xf numFmtId="41" fontId="3" fillId="2" borderId="0" xfId="3" applyNumberFormat="1" applyFont="1" applyFill="1" applyBorder="1" applyAlignment="1">
      <alignment horizontal="center"/>
    </xf>
    <xf numFmtId="172" fontId="3" fillId="2" borderId="5" xfId="3" applyNumberFormat="1" applyFont="1" applyFill="1" applyBorder="1" applyAlignment="1"/>
    <xf numFmtId="170" fontId="3" fillId="2" borderId="4" xfId="0" applyNumberFormat="1" applyFont="1" applyFill="1" applyBorder="1" applyAlignment="1">
      <alignment horizontal="center"/>
    </xf>
    <xf numFmtId="170" fontId="3" fillId="2" borderId="7" xfId="0" applyNumberFormat="1" applyFont="1" applyFill="1" applyBorder="1" applyAlignment="1">
      <alignment horizontal="center"/>
    </xf>
    <xf numFmtId="170" fontId="35" fillId="2" borderId="0" xfId="0" applyNumberFormat="1" applyFont="1" applyFill="1" applyAlignment="1"/>
    <xf numFmtId="37" fontId="3" fillId="2" borderId="0" xfId="0" applyFont="1" applyFill="1" applyAlignment="1"/>
    <xf numFmtId="171" fontId="3" fillId="2" borderId="0" xfId="1" applyNumberFormat="1" applyFont="1" applyFill="1" applyAlignment="1"/>
    <xf numFmtId="170" fontId="3" fillId="0" borderId="8" xfId="0" quotePrefix="1" applyNumberFormat="1" applyFont="1" applyFill="1" applyBorder="1" applyAlignment="1"/>
    <xf numFmtId="169" fontId="3" fillId="2" borderId="5" xfId="0" applyNumberFormat="1" applyFont="1" applyFill="1" applyBorder="1" applyAlignment="1"/>
    <xf numFmtId="171" fontId="3" fillId="2" borderId="3" xfId="1" applyNumberFormat="1" applyFont="1" applyFill="1" applyBorder="1" applyAlignment="1"/>
    <xf numFmtId="170" fontId="3" fillId="0" borderId="4" xfId="0" applyNumberFormat="1" applyFont="1" applyFill="1" applyBorder="1" applyAlignment="1"/>
    <xf numFmtId="170" fontId="33" fillId="0" borderId="7" xfId="0" applyNumberFormat="1" applyFont="1" applyFill="1" applyBorder="1" applyAlignment="1"/>
    <xf numFmtId="170" fontId="27" fillId="0" borderId="7" xfId="0" quotePrefix="1" applyNumberFormat="1" applyFont="1" applyFill="1" applyBorder="1" applyAlignment="1"/>
    <xf numFmtId="10" fontId="3" fillId="0" borderId="9" xfId="15" applyNumberFormat="1" applyFont="1" applyFill="1" applyBorder="1" applyAlignment="1"/>
    <xf numFmtId="170" fontId="3" fillId="0" borderId="5" xfId="0" applyNumberFormat="1" applyFont="1" applyFill="1" applyBorder="1" applyAlignment="1">
      <alignment horizontal="right"/>
    </xf>
    <xf numFmtId="170" fontId="3" fillId="0" borderId="6" xfId="0" applyNumberFormat="1" applyFont="1" applyFill="1" applyBorder="1" applyAlignment="1">
      <alignment horizontal="right"/>
    </xf>
    <xf numFmtId="170" fontId="27" fillId="0" borderId="3" xfId="0" applyNumberFormat="1" applyFont="1" applyFill="1" applyBorder="1" applyAlignment="1">
      <alignment horizontal="center"/>
    </xf>
    <xf numFmtId="170" fontId="3" fillId="0" borderId="2" xfId="0" applyNumberFormat="1" applyFont="1" applyFill="1" applyBorder="1" applyAlignment="1">
      <alignment horizontal="center"/>
    </xf>
    <xf numFmtId="42" fontId="3" fillId="2" borderId="5" xfId="0" applyNumberFormat="1" applyFont="1" applyFill="1" applyBorder="1" applyAlignment="1"/>
    <xf numFmtId="41" fontId="3" fillId="0" borderId="0" xfId="3" applyNumberFormat="1" applyFont="1" applyFill="1" applyBorder="1" applyAlignment="1">
      <alignment horizontal="center"/>
    </xf>
    <xf numFmtId="170" fontId="3" fillId="0" borderId="7" xfId="0" applyNumberFormat="1" applyFont="1" applyFill="1" applyBorder="1" applyAlignment="1">
      <alignment horizontal="right"/>
    </xf>
    <xf numFmtId="10" fontId="3" fillId="0" borderId="7" xfId="15" applyNumberFormat="1" applyFont="1" applyFill="1" applyBorder="1" applyAlignment="1"/>
    <xf numFmtId="43" fontId="3" fillId="0" borderId="0" xfId="3" applyNumberFormat="1" applyFont="1" applyFill="1" applyBorder="1" applyAlignment="1">
      <alignment horizontal="center"/>
    </xf>
    <xf numFmtId="43" fontId="3" fillId="2" borderId="0" xfId="3" applyNumberFormat="1" applyFont="1" applyFill="1" applyBorder="1" applyAlignment="1">
      <alignment horizontal="center"/>
    </xf>
    <xf numFmtId="170" fontId="29" fillId="0" borderId="0" xfId="0" applyNumberFormat="1" applyFont="1" applyFill="1" applyBorder="1" applyAlignment="1"/>
    <xf numFmtId="0" fontId="29" fillId="0" borderId="0" xfId="0" applyNumberFormat="1" applyFont="1" applyFill="1" applyBorder="1" applyAlignment="1">
      <alignment horizontal="center" vertical="center"/>
    </xf>
    <xf numFmtId="170" fontId="83" fillId="0" borderId="0" xfId="0" applyNumberFormat="1" applyFont="1" applyFill="1" applyAlignment="1"/>
    <xf numFmtId="0" fontId="4" fillId="0" borderId="0" xfId="6" applyFont="1" applyFill="1" applyAlignment="1">
      <alignment horizontal="center"/>
    </xf>
    <xf numFmtId="0" fontId="11" fillId="0" borderId="0" xfId="0" applyNumberFormat="1" applyFont="1" applyFill="1"/>
    <xf numFmtId="0" fontId="9" fillId="0" borderId="0" xfId="0" applyNumberFormat="1" applyFont="1" applyFill="1" applyAlignment="1">
      <alignment horizontal="center"/>
    </xf>
    <xf numFmtId="0" fontId="11" fillId="0" borderId="6" xfId="0" applyNumberFormat="1" applyFont="1" applyFill="1" applyBorder="1"/>
    <xf numFmtId="0" fontId="9" fillId="0" borderId="10" xfId="0" applyNumberFormat="1" applyFont="1" applyFill="1" applyBorder="1"/>
    <xf numFmtId="0" fontId="11" fillId="0" borderId="21" xfId="0" applyNumberFormat="1" applyFont="1" applyFill="1" applyBorder="1" applyAlignment="1">
      <alignment horizontal="center"/>
    </xf>
    <xf numFmtId="0" fontId="11" fillId="0" borderId="11" xfId="13" applyFont="1" applyFill="1" applyBorder="1" applyAlignment="1">
      <alignment horizontal="center"/>
    </xf>
    <xf numFmtId="41" fontId="11" fillId="0" borderId="6" xfId="6" applyNumberFormat="1" applyFont="1" applyFill="1" applyBorder="1" applyAlignment="1">
      <alignment horizontal="center"/>
    </xf>
    <xf numFmtId="41" fontId="11" fillId="0" borderId="3" xfId="6" applyNumberFormat="1" applyFont="1" applyFill="1" applyBorder="1" applyAlignment="1">
      <alignment horizontal="center"/>
    </xf>
    <xf numFmtId="41" fontId="11" fillId="0" borderId="8" xfId="6" applyNumberFormat="1" applyFont="1" applyFill="1" applyBorder="1" applyAlignment="1">
      <alignment horizontal="center"/>
    </xf>
    <xf numFmtId="0" fontId="9" fillId="0" borderId="8" xfId="0" applyNumberFormat="1" applyFont="1" applyFill="1" applyBorder="1"/>
    <xf numFmtId="0" fontId="9" fillId="0" borderId="2" xfId="0" applyNumberFormat="1" applyFont="1" applyFill="1" applyBorder="1" applyAlignment="1">
      <alignment horizontal="center"/>
    </xf>
    <xf numFmtId="0" fontId="9" fillId="0" borderId="2" xfId="0" applyNumberFormat="1" applyFont="1" applyFill="1" applyBorder="1"/>
    <xf numFmtId="0" fontId="9" fillId="0" borderId="5" xfId="0" applyNumberFormat="1" applyFont="1" applyFill="1" applyBorder="1"/>
    <xf numFmtId="42" fontId="9" fillId="0" borderId="0" xfId="6" applyNumberFormat="1" applyFont="1" applyFill="1"/>
    <xf numFmtId="41" fontId="11" fillId="0" borderId="4" xfId="6" applyNumberFormat="1" applyFont="1" applyFill="1" applyBorder="1" applyAlignment="1">
      <alignment horizontal="center"/>
    </xf>
    <xf numFmtId="41" fontId="11" fillId="0" borderId="7" xfId="6" applyNumberFormat="1" applyFont="1" applyFill="1" applyBorder="1" applyAlignment="1">
      <alignment horizontal="center"/>
    </xf>
    <xf numFmtId="41" fontId="11" fillId="0" borderId="9" xfId="6" applyNumberFormat="1" applyFont="1" applyFill="1" applyBorder="1" applyAlignment="1">
      <alignment horizontal="center"/>
    </xf>
    <xf numFmtId="41" fontId="9" fillId="0" borderId="6" xfId="3" applyNumberFormat="1" applyFont="1" applyFill="1" applyBorder="1"/>
    <xf numFmtId="41" fontId="9" fillId="0" borderId="3" xfId="3" applyNumberFormat="1" applyFont="1" applyFill="1" applyBorder="1"/>
    <xf numFmtId="42" fontId="9" fillId="0" borderId="13" xfId="3" applyNumberFormat="1" applyFont="1" applyFill="1" applyBorder="1"/>
    <xf numFmtId="172" fontId="9" fillId="0" borderId="0" xfId="3" applyNumberFormat="1" applyFont="1" applyFill="1" applyBorder="1"/>
    <xf numFmtId="42" fontId="9" fillId="0" borderId="0" xfId="3" applyNumberFormat="1" applyFont="1" applyFill="1" applyBorder="1"/>
    <xf numFmtId="173" fontId="9" fillId="0" borderId="0" xfId="15" applyNumberFormat="1" applyFont="1" applyFill="1" applyBorder="1"/>
    <xf numFmtId="164" fontId="9" fillId="0" borderId="0" xfId="15" applyNumberFormat="1" applyFont="1" applyFill="1" applyBorder="1"/>
    <xf numFmtId="0" fontId="6" fillId="0" borderId="25" xfId="13" applyFont="1" applyFill="1" applyBorder="1"/>
    <xf numFmtId="0" fontId="4" fillId="0" borderId="25" xfId="13" applyFont="1" applyFill="1" applyBorder="1"/>
    <xf numFmtId="42" fontId="9" fillId="0" borderId="21" xfId="13" applyNumberFormat="1" applyFill="1" applyBorder="1"/>
    <xf numFmtId="42" fontId="9" fillId="0" borderId="6" xfId="13" applyNumberFormat="1" applyFill="1" applyBorder="1"/>
    <xf numFmtId="0" fontId="1" fillId="0" borderId="0" xfId="6" applyFont="1" applyFill="1"/>
    <xf numFmtId="0" fontId="11" fillId="0" borderId="3" xfId="8" applyFont="1" applyFill="1" applyBorder="1" applyAlignment="1">
      <alignment horizontal="left"/>
    </xf>
    <xf numFmtId="0" fontId="9" fillId="0" borderId="3" xfId="8" applyFont="1" applyFill="1" applyBorder="1" applyAlignment="1">
      <alignment horizontal="center"/>
    </xf>
    <xf numFmtId="0" fontId="9" fillId="0" borderId="3" xfId="8" applyFont="1" applyFill="1" applyBorder="1" applyAlignment="1">
      <alignment wrapText="1"/>
    </xf>
    <xf numFmtId="0" fontId="11" fillId="0" borderId="3" xfId="8" applyFont="1" applyFill="1" applyBorder="1" applyAlignment="1">
      <alignment horizontal="center" wrapText="1"/>
    </xf>
    <xf numFmtId="171" fontId="9" fillId="0" borderId="0" xfId="1" applyNumberFormat="1" applyFont="1" applyFill="1" applyAlignment="1">
      <alignment wrapText="1"/>
    </xf>
    <xf numFmtId="173" fontId="9" fillId="0" borderId="0" xfId="15" applyNumberFormat="1" applyFont="1" applyFill="1" applyAlignment="1">
      <alignment wrapText="1"/>
    </xf>
    <xf numFmtId="0" fontId="11" fillId="0" borderId="0" xfId="8" applyFont="1" applyFill="1" applyAlignment="1">
      <alignment horizontal="center" wrapText="1"/>
    </xf>
    <xf numFmtId="0" fontId="9" fillId="0" borderId="0" xfId="8" applyFont="1" applyFill="1" applyAlignment="1">
      <alignment horizontal="center" vertical="center"/>
    </xf>
    <xf numFmtId="37" fontId="29" fillId="0" borderId="0" xfId="0" applyFont="1" applyFill="1" applyAlignment="1"/>
    <xf numFmtId="37" fontId="2" fillId="0" borderId="0" xfId="0" applyFont="1" applyFill="1" applyAlignment="1"/>
    <xf numFmtId="0" fontId="9" fillId="0" borderId="0" xfId="9" applyNumberFormat="1" applyFont="1" applyFill="1" applyAlignment="1" applyProtection="1">
      <alignment horizontal="left"/>
      <protection locked="0"/>
    </xf>
    <xf numFmtId="170" fontId="27" fillId="0" borderId="0" xfId="0" quotePrefix="1" applyNumberFormat="1" applyFont="1" applyFill="1" applyAlignment="1">
      <alignment horizontal="center"/>
    </xf>
    <xf numFmtId="37" fontId="27" fillId="0" borderId="0" xfId="0" applyFont="1" applyFill="1" applyAlignment="1">
      <alignment horizontal="center" wrapText="1"/>
    </xf>
    <xf numFmtId="37" fontId="72" fillId="0" borderId="0" xfId="0" applyFont="1" applyFill="1" applyAlignment="1">
      <alignment horizontal="center"/>
    </xf>
    <xf numFmtId="172" fontId="3" fillId="0" borderId="0" xfId="3" applyNumberFormat="1" applyFont="1" applyFill="1" applyBorder="1" applyAlignment="1">
      <alignment horizontal="center"/>
    </xf>
    <xf numFmtId="37" fontId="29" fillId="0" borderId="1" xfId="0" applyFont="1" applyFill="1" applyBorder="1" applyAlignment="1">
      <alignment horizontal="center" wrapText="1"/>
    </xf>
    <xf numFmtId="42" fontId="3" fillId="0" borderId="0" xfId="3" applyNumberFormat="1" applyFont="1" applyFill="1" applyBorder="1" applyAlignment="1">
      <alignment horizontal="right"/>
    </xf>
    <xf numFmtId="42" fontId="3" fillId="0" borderId="0" xfId="3" applyNumberFormat="1" applyFont="1" applyFill="1" applyBorder="1" applyAlignment="1">
      <alignment horizontal="center"/>
    </xf>
    <xf numFmtId="42" fontId="3" fillId="2" borderId="0" xfId="3" applyNumberFormat="1" applyFont="1" applyFill="1" applyAlignment="1"/>
    <xf numFmtId="42" fontId="4" fillId="0" borderId="0" xfId="0" applyNumberFormat="1" applyFont="1" applyFill="1" applyBorder="1" applyProtection="1">
      <protection locked="0"/>
    </xf>
    <xf numFmtId="41" fontId="22" fillId="0" borderId="0" xfId="1" applyNumberFormat="1" applyFont="1" applyFill="1" applyBorder="1" applyAlignment="1"/>
    <xf numFmtId="0" fontId="22" fillId="0" borderId="1" xfId="0" applyNumberFormat="1" applyFont="1" applyFill="1" applyBorder="1" applyAlignment="1"/>
    <xf numFmtId="0" fontId="5" fillId="0" borderId="0" xfId="0" applyNumberFormat="1" applyFont="1" applyFill="1" applyAlignment="1">
      <alignment horizontal="center"/>
    </xf>
    <xf numFmtId="3" fontId="5" fillId="0" borderId="0" xfId="0" applyNumberFormat="1" applyFont="1" applyFill="1" applyAlignment="1"/>
    <xf numFmtId="0" fontId="4" fillId="0" borderId="0" xfId="0" applyNumberFormat="1" applyFont="1" applyFill="1" applyAlignment="1">
      <alignment vertical="center"/>
    </xf>
    <xf numFmtId="41" fontId="22" fillId="0" borderId="1" xfId="0" applyNumberFormat="1" applyFont="1" applyFill="1" applyBorder="1" applyAlignment="1">
      <alignment vertical="center"/>
    </xf>
    <xf numFmtId="3" fontId="22" fillId="0" borderId="0" xfId="0" applyNumberFormat="1" applyFont="1" applyFill="1" applyAlignment="1">
      <alignment vertical="center"/>
    </xf>
    <xf numFmtId="164" fontId="22" fillId="0" borderId="0" xfId="0" applyNumberFormat="1" applyFont="1" applyFill="1" applyAlignment="1" applyProtection="1">
      <alignment horizontal="left"/>
      <protection locked="0"/>
    </xf>
    <xf numFmtId="0" fontId="4" fillId="0" borderId="0" xfId="0" applyNumberFormat="1" applyFont="1" applyFill="1" applyBorder="1" applyProtection="1">
      <protection locked="0"/>
    </xf>
    <xf numFmtId="4" fontId="22" fillId="0" borderId="0" xfId="0" applyNumberFormat="1" applyFont="1" applyFill="1" applyAlignment="1"/>
    <xf numFmtId="3" fontId="22" fillId="0" borderId="0" xfId="0" applyNumberFormat="1" applyFont="1" applyFill="1" applyBorder="1" applyAlignment="1">
      <alignment horizontal="center"/>
    </xf>
    <xf numFmtId="0" fontId="22" fillId="0" borderId="3" xfId="0" applyNumberFormat="1" applyFont="1" applyFill="1" applyBorder="1" applyAlignment="1" applyProtection="1">
      <alignment horizontal="center"/>
      <protection locked="0"/>
    </xf>
    <xf numFmtId="166" fontId="22" fillId="0" borderId="0" xfId="0" applyNumberFormat="1" applyFont="1" applyFill="1" applyAlignment="1" applyProtection="1">
      <alignment horizontal="center"/>
      <protection locked="0"/>
    </xf>
    <xf numFmtId="1" fontId="4" fillId="0" borderId="0" xfId="9" applyNumberFormat="1" applyFont="1" applyFill="1" applyBorder="1" applyAlignment="1" applyProtection="1">
      <alignment horizontal="left"/>
      <protection locked="0"/>
    </xf>
    <xf numFmtId="42" fontId="22" fillId="0" borderId="0" xfId="3" applyNumberFormat="1" applyFont="1" applyFill="1" applyBorder="1" applyAlignment="1"/>
    <xf numFmtId="0" fontId="4" fillId="0" borderId="1" xfId="9" applyNumberFormat="1" applyFont="1" applyFill="1" applyBorder="1" applyAlignment="1" applyProtection="1">
      <alignment horizontal="left"/>
      <protection locked="0"/>
    </xf>
    <xf numFmtId="0" fontId="6" fillId="0" borderId="0" xfId="0" quotePrefix="1" applyNumberFormat="1" applyFont="1" applyFill="1" applyAlignment="1" applyProtection="1">
      <alignment horizontal="left"/>
      <protection locked="0"/>
    </xf>
    <xf numFmtId="3" fontId="9" fillId="0" borderId="0" xfId="0" quotePrefix="1" applyNumberFormat="1" applyFont="1" applyFill="1" applyAlignment="1"/>
    <xf numFmtId="170" fontId="9" fillId="0" borderId="0" xfId="0" applyNumberFormat="1" applyFont="1" applyFill="1" applyAlignment="1"/>
    <xf numFmtId="178" fontId="22" fillId="0" borderId="0" xfId="0" applyNumberFormat="1" applyFont="1" applyFill="1" applyAlignment="1"/>
    <xf numFmtId="168" fontId="22" fillId="0" borderId="1" xfId="0" applyNumberFormat="1" applyFont="1" applyFill="1" applyBorder="1" applyAlignment="1"/>
    <xf numFmtId="3" fontId="9" fillId="0" borderId="0" xfId="0" quotePrefix="1" applyNumberFormat="1" applyFont="1" applyFill="1" applyAlignment="1">
      <alignment horizontal="right"/>
    </xf>
    <xf numFmtId="0" fontId="4" fillId="0" borderId="0" xfId="0" quotePrefix="1" applyNumberFormat="1" applyFont="1" applyFill="1" applyAlignment="1"/>
    <xf numFmtId="10" fontId="19" fillId="0" borderId="0" xfId="0" applyNumberFormat="1" applyFont="1" applyFill="1" applyBorder="1" applyAlignment="1" applyProtection="1">
      <alignment horizontal="center"/>
      <protection locked="0"/>
    </xf>
    <xf numFmtId="0" fontId="19" fillId="0" borderId="0" xfId="0" applyNumberFormat="1" applyFont="1" applyFill="1" applyBorder="1" applyAlignment="1" applyProtection="1">
      <alignment horizontal="center"/>
      <protection locked="0"/>
    </xf>
    <xf numFmtId="0" fontId="19" fillId="0" borderId="0" xfId="0" applyNumberFormat="1" applyFont="1" applyFill="1" applyAlignment="1" applyProtection="1">
      <alignment horizontal="center"/>
      <protection locked="0"/>
    </xf>
    <xf numFmtId="170" fontId="36" fillId="0" borderId="7" xfId="0" applyNumberFormat="1" applyFont="1" applyFill="1" applyBorder="1" applyAlignment="1"/>
    <xf numFmtId="10" fontId="35" fillId="0" borderId="0" xfId="15" applyNumberFormat="1" applyFont="1" applyFill="1" applyBorder="1" applyAlignment="1">
      <alignment horizontal="right"/>
    </xf>
    <xf numFmtId="10" fontId="3" fillId="0" borderId="10" xfId="15" applyNumberFormat="1" applyFont="1" applyFill="1" applyBorder="1" applyAlignment="1"/>
    <xf numFmtId="170" fontId="3" fillId="0" borderId="6" xfId="0" applyNumberFormat="1" applyFont="1" applyFill="1" applyBorder="1" applyAlignment="1"/>
    <xf numFmtId="170" fontId="35" fillId="0" borderId="3" xfId="0" applyNumberFormat="1" applyFont="1" applyFill="1" applyBorder="1" applyAlignment="1">
      <alignment horizontal="center"/>
    </xf>
    <xf numFmtId="42" fontId="34" fillId="0" borderId="5" xfId="0" applyNumberFormat="1" applyFont="1" applyFill="1" applyBorder="1" applyAlignment="1"/>
    <xf numFmtId="42" fontId="34" fillId="0" borderId="0" xfId="0" applyNumberFormat="1" applyFont="1" applyFill="1" applyBorder="1" applyAlignment="1"/>
    <xf numFmtId="170" fontId="34" fillId="0" borderId="0" xfId="0" applyNumberFormat="1" applyFont="1" applyFill="1" applyBorder="1" applyAlignment="1">
      <alignment horizontal="center"/>
    </xf>
    <xf numFmtId="170" fontId="34" fillId="0" borderId="10" xfId="0" applyNumberFormat="1" applyFont="1" applyFill="1" applyBorder="1" applyAlignment="1">
      <alignment horizontal="center"/>
    </xf>
    <xf numFmtId="175" fontId="32" fillId="0" borderId="0" xfId="1" applyNumberFormat="1" applyFont="1" applyFill="1" applyAlignment="1">
      <alignment horizontal="center"/>
    </xf>
    <xf numFmtId="171" fontId="32" fillId="0" borderId="3" xfId="1" applyNumberFormat="1" applyFont="1" applyFill="1" applyBorder="1" applyAlignment="1"/>
    <xf numFmtId="170" fontId="9" fillId="0" borderId="3" xfId="0" applyNumberFormat="1" applyFont="1" applyFill="1" applyBorder="1"/>
    <xf numFmtId="170" fontId="32" fillId="0" borderId="2" xfId="0" applyNumberFormat="1" applyFont="1" applyFill="1" applyBorder="1" applyAlignment="1">
      <alignment horizontal="center"/>
    </xf>
    <xf numFmtId="170" fontId="32" fillId="0" borderId="2" xfId="0" quotePrefix="1" applyNumberFormat="1" applyFont="1" applyFill="1" applyBorder="1" applyAlignment="1">
      <alignment horizontal="center"/>
    </xf>
    <xf numFmtId="170" fontId="11" fillId="0" borderId="12" xfId="0" applyNumberFormat="1" applyFont="1" applyFill="1" applyBorder="1" applyAlignment="1">
      <alignment horizontal="center" wrapText="1"/>
    </xf>
    <xf numFmtId="10" fontId="22" fillId="0" borderId="2" xfId="15" applyNumberFormat="1" applyFont="1" applyFill="1" applyBorder="1"/>
    <xf numFmtId="171" fontId="22" fillId="0" borderId="23" xfId="1" applyNumberFormat="1" applyFont="1" applyFill="1" applyBorder="1"/>
    <xf numFmtId="170" fontId="22" fillId="0" borderId="2" xfId="0" applyNumberFormat="1" applyFont="1" applyFill="1" applyBorder="1" applyAlignment="1">
      <alignment horizontal="right"/>
    </xf>
    <xf numFmtId="171" fontId="22" fillId="0" borderId="2" xfId="0" applyNumberFormat="1" applyFont="1" applyFill="1" applyBorder="1"/>
    <xf numFmtId="171" fontId="22" fillId="0" borderId="25" xfId="0" applyNumberFormat="1" applyFont="1" applyFill="1" applyBorder="1"/>
    <xf numFmtId="171" fontId="22" fillId="0" borderId="23" xfId="0" applyNumberFormat="1" applyFont="1" applyFill="1" applyBorder="1"/>
    <xf numFmtId="189" fontId="22" fillId="0" borderId="23" xfId="0" applyNumberFormat="1" applyFont="1" applyFill="1" applyBorder="1"/>
    <xf numFmtId="170" fontId="32" fillId="0" borderId="0" xfId="0" applyNumberFormat="1" applyFont="1" applyFill="1" applyAlignment="1">
      <alignment vertical="top"/>
    </xf>
    <xf numFmtId="169" fontId="3" fillId="0" borderId="0" xfId="0" applyNumberFormat="1" applyFont="1" applyFill="1" applyAlignment="1"/>
    <xf numFmtId="177" fontId="3" fillId="0" borderId="5" xfId="0" applyNumberFormat="1" applyFont="1" applyFill="1" applyBorder="1" applyAlignment="1">
      <alignment horizontal="left"/>
    </xf>
    <xf numFmtId="171" fontId="3" fillId="0" borderId="6" xfId="1" applyNumberFormat="1" applyFont="1" applyFill="1" applyBorder="1" applyAlignment="1"/>
    <xf numFmtId="170" fontId="29" fillId="0" borderId="0" xfId="0" quotePrefix="1" applyNumberFormat="1" applyFont="1" applyFill="1" applyAlignment="1"/>
    <xf numFmtId="170" fontId="4" fillId="0" borderId="0" xfId="0" applyNumberFormat="1" applyFont="1" applyAlignment="1">
      <alignment horizontal="center"/>
    </xf>
    <xf numFmtId="10" fontId="4" fillId="4" borderId="12" xfId="15" applyNumberFormat="1" applyFont="1" applyFill="1" applyBorder="1"/>
    <xf numFmtId="10" fontId="4" fillId="4" borderId="11" xfId="15" applyNumberFormat="1" applyFont="1" applyFill="1" applyBorder="1"/>
    <xf numFmtId="10" fontId="4" fillId="4" borderId="21" xfId="15" applyNumberFormat="1" applyFont="1" applyFill="1" applyBorder="1"/>
    <xf numFmtId="189" fontId="4" fillId="4" borderId="12" xfId="0" applyNumberFormat="1" applyFont="1" applyFill="1" applyBorder="1"/>
    <xf numFmtId="189" fontId="4" fillId="4" borderId="11" xfId="0" applyNumberFormat="1" applyFont="1" applyFill="1" applyBorder="1"/>
    <xf numFmtId="189" fontId="4" fillId="4" borderId="21" xfId="0" applyNumberFormat="1" applyFont="1" applyFill="1" applyBorder="1"/>
    <xf numFmtId="3" fontId="22" fillId="0" borderId="0" xfId="0" quotePrefix="1" applyNumberFormat="1" applyFont="1" applyAlignment="1">
      <alignment horizontal="right"/>
    </xf>
    <xf numFmtId="170" fontId="2" fillId="0" borderId="0" xfId="0" applyNumberFormat="1" applyFont="1" applyAlignment="1">
      <alignment horizontal="right"/>
    </xf>
    <xf numFmtId="0" fontId="18" fillId="0" borderId="0" xfId="6" applyFont="1" applyFill="1" applyAlignment="1">
      <alignment horizontal="left"/>
    </xf>
    <xf numFmtId="0" fontId="18" fillId="0" borderId="0" xfId="6" applyFont="1" applyAlignment="1">
      <alignment horizontal="left" vertical="center"/>
    </xf>
    <xf numFmtId="1" fontId="9" fillId="0" borderId="0" xfId="9" applyNumberFormat="1" applyFont="1" applyFill="1" applyAlignment="1" applyProtection="1">
      <alignment horizontal="center"/>
      <protection locked="0"/>
    </xf>
    <xf numFmtId="170" fontId="67" fillId="0" borderId="5" xfId="0" applyNumberFormat="1" applyFont="1" applyFill="1" applyBorder="1" applyAlignment="1"/>
    <xf numFmtId="37" fontId="27" fillId="0" borderId="3" xfId="0" applyFont="1" applyBorder="1" applyAlignment="1">
      <alignment horizontal="center" wrapText="1"/>
    </xf>
    <xf numFmtId="37" fontId="27" fillId="0" borderId="3" xfId="0" applyFont="1" applyFill="1" applyBorder="1" applyAlignment="1">
      <alignment horizontal="center"/>
    </xf>
    <xf numFmtId="37" fontId="3" fillId="0" borderId="2" xfId="0" applyFont="1" applyFill="1" applyBorder="1" applyAlignment="1">
      <alignment horizontal="center"/>
    </xf>
    <xf numFmtId="37" fontId="3" fillId="0" borderId="2" xfId="0" applyFont="1" applyBorder="1" applyAlignment="1">
      <alignment horizontal="center" wrapText="1"/>
    </xf>
    <xf numFmtId="10" fontId="22" fillId="4" borderId="4" xfId="15" applyNumberFormat="1" applyFont="1" applyFill="1" applyBorder="1"/>
    <xf numFmtId="10" fontId="22" fillId="4" borderId="12" xfId="15" applyNumberFormat="1" applyFont="1" applyFill="1" applyBorder="1"/>
    <xf numFmtId="10" fontId="22" fillId="4" borderId="5" xfId="15" applyNumberFormat="1" applyFont="1" applyFill="1" applyBorder="1"/>
    <xf numFmtId="10" fontId="22" fillId="4" borderId="11" xfId="15" applyNumberFormat="1" applyFont="1" applyFill="1" applyBorder="1"/>
    <xf numFmtId="10" fontId="22" fillId="4" borderId="6" xfId="15" applyNumberFormat="1" applyFont="1" applyFill="1" applyBorder="1"/>
    <xf numFmtId="10" fontId="22" fillId="4" borderId="21" xfId="15" applyNumberFormat="1" applyFont="1" applyFill="1" applyBorder="1"/>
    <xf numFmtId="0" fontId="11" fillId="0" borderId="0" xfId="6" applyFont="1" applyFill="1" applyAlignment="1">
      <alignment horizontal="center" vertical="top"/>
    </xf>
    <xf numFmtId="0" fontId="9" fillId="0" borderId="9" xfId="0" applyNumberFormat="1" applyFont="1" applyFill="1" applyBorder="1" applyAlignment="1">
      <alignment horizontal="center"/>
    </xf>
    <xf numFmtId="42" fontId="9" fillId="0" borderId="10" xfId="6" applyNumberFormat="1" applyFont="1" applyFill="1" applyBorder="1"/>
    <xf numFmtId="41" fontId="9" fillId="0" borderId="8" xfId="3" applyNumberFormat="1" applyFont="1" applyFill="1" applyBorder="1"/>
    <xf numFmtId="42" fontId="9" fillId="0" borderId="23" xfId="3" applyNumberFormat="1" applyFont="1" applyFill="1" applyBorder="1"/>
    <xf numFmtId="42" fontId="9" fillId="0" borderId="10" xfId="3" applyNumberFormat="1" applyFont="1" applyFill="1" applyBorder="1"/>
    <xf numFmtId="164" fontId="9" fillId="0" borderId="10" xfId="15" applyNumberFormat="1" applyFont="1" applyFill="1" applyBorder="1"/>
    <xf numFmtId="172" fontId="9" fillId="0" borderId="10" xfId="3" applyNumberFormat="1" applyFont="1" applyFill="1" applyBorder="1"/>
    <xf numFmtId="172" fontId="9" fillId="0" borderId="42" xfId="3" applyNumberFormat="1" applyFont="1" applyFill="1" applyBorder="1"/>
    <xf numFmtId="173" fontId="4" fillId="0" borderId="0" xfId="0" applyNumberFormat="1" applyFont="1" applyFill="1" applyAlignment="1">
      <alignment horizontal="center"/>
    </xf>
    <xf numFmtId="173" fontId="4" fillId="0" borderId="3" xfId="0" applyNumberFormat="1" applyFont="1" applyFill="1" applyBorder="1" applyAlignment="1">
      <alignment horizontal="center"/>
    </xf>
    <xf numFmtId="173" fontId="4" fillId="0" borderId="1" xfId="0" applyNumberFormat="1" applyFont="1" applyFill="1" applyBorder="1" applyAlignment="1" applyProtection="1">
      <alignment horizontal="center"/>
      <protection locked="0"/>
    </xf>
    <xf numFmtId="37" fontId="0" fillId="0" borderId="0" xfId="0"/>
    <xf numFmtId="37" fontId="27" fillId="0" borderId="0" xfId="0" applyFont="1" applyFill="1" applyAlignment="1"/>
    <xf numFmtId="37" fontId="27" fillId="0" borderId="0" xfId="0" quotePrefix="1" applyFont="1" applyFill="1" applyAlignment="1"/>
    <xf numFmtId="10" fontId="4" fillId="0" borderId="2" xfId="15" applyNumberFormat="1" applyFont="1" applyBorder="1"/>
    <xf numFmtId="177" fontId="3" fillId="2" borderId="0" xfId="0" applyNumberFormat="1" applyFont="1" applyFill="1" applyAlignment="1">
      <alignment horizontal="left"/>
    </xf>
    <xf numFmtId="42" fontId="3" fillId="2" borderId="0" xfId="3" applyNumberFormat="1" applyFont="1" applyFill="1" applyBorder="1" applyAlignment="1">
      <alignment horizontal="center"/>
    </xf>
    <xf numFmtId="42" fontId="3" fillId="2" borderId="5" xfId="3" applyNumberFormat="1" applyFont="1" applyFill="1" applyBorder="1" applyAlignment="1">
      <alignment horizontal="right"/>
    </xf>
    <xf numFmtId="42" fontId="3" fillId="0" borderId="10" xfId="3" applyNumberFormat="1" applyFont="1" applyFill="1" applyBorder="1" applyAlignment="1"/>
    <xf numFmtId="17" fontId="3" fillId="2" borderId="0" xfId="15" applyNumberFormat="1" applyFont="1" applyFill="1" applyBorder="1" applyAlignment="1">
      <alignment horizontal="right"/>
    </xf>
    <xf numFmtId="0" fontId="4" fillId="0" borderId="0" xfId="12" applyNumberFormat="1" applyFont="1" applyFill="1" applyBorder="1" applyAlignment="1"/>
    <xf numFmtId="42" fontId="45" fillId="0" borderId="0" xfId="0" applyNumberFormat="1" applyFont="1" applyBorder="1" applyAlignment="1"/>
    <xf numFmtId="42" fontId="45" fillId="0" borderId="3" xfId="0" applyNumberFormat="1" applyFont="1" applyBorder="1" applyAlignment="1"/>
    <xf numFmtId="170" fontId="45" fillId="0" borderId="0" xfId="0" applyNumberFormat="1" applyFont="1" applyBorder="1" applyAlignment="1"/>
    <xf numFmtId="3" fontId="9" fillId="0" borderId="0" xfId="0" applyNumberFormat="1" applyFont="1" applyFill="1" applyBorder="1" applyAlignment="1">
      <alignment horizontal="center"/>
    </xf>
    <xf numFmtId="41" fontId="75" fillId="0" borderId="0" xfId="3" applyNumberFormat="1" applyFont="1" applyFill="1" applyBorder="1" applyAlignment="1" applyProtection="1">
      <protection locked="0"/>
    </xf>
    <xf numFmtId="0" fontId="11" fillId="0" borderId="25" xfId="0" applyNumberFormat="1" applyFont="1" applyBorder="1"/>
    <xf numFmtId="3" fontId="9" fillId="0" borderId="13" xfId="0" applyNumberFormat="1" applyFont="1" applyBorder="1" applyAlignment="1">
      <alignment horizontal="center"/>
    </xf>
    <xf numFmtId="41" fontId="75" fillId="0" borderId="0" xfId="0" applyNumberFormat="1" applyFont="1" applyFill="1" applyBorder="1" applyAlignment="1"/>
    <xf numFmtId="172" fontId="22" fillId="0" borderId="0" xfId="0" applyNumberFormat="1" applyFont="1" applyFill="1" applyProtection="1">
      <protection locked="0"/>
    </xf>
    <xf numFmtId="170" fontId="67" fillId="0" borderId="0" xfId="0" applyNumberFormat="1" applyFont="1" applyAlignment="1"/>
    <xf numFmtId="170" fontId="91" fillId="0" borderId="0" xfId="0" applyNumberFormat="1" applyFont="1" applyAlignment="1">
      <alignment horizontal="center"/>
    </xf>
    <xf numFmtId="170" fontId="91" fillId="0" borderId="0" xfId="0" applyNumberFormat="1" applyFont="1" applyAlignment="1">
      <alignment horizontal="right"/>
    </xf>
    <xf numFmtId="1" fontId="9" fillId="0" borderId="0" xfId="0" applyNumberFormat="1" applyFont="1" applyFill="1" applyAlignment="1">
      <alignment horizontal="right" vertical="top"/>
    </xf>
    <xf numFmtId="42" fontId="15" fillId="0" borderId="0" xfId="0" applyNumberFormat="1" applyFont="1" applyFill="1" applyBorder="1"/>
    <xf numFmtId="42" fontId="15" fillId="0" borderId="0" xfId="0" applyNumberFormat="1" applyFont="1" applyBorder="1"/>
    <xf numFmtId="42" fontId="15" fillId="0" borderId="0" xfId="0" applyNumberFormat="1" applyFont="1" applyFill="1" applyBorder="1" applyAlignment="1">
      <alignment horizontal="center"/>
    </xf>
    <xf numFmtId="42" fontId="28" fillId="0" borderId="0" xfId="0" applyNumberFormat="1" applyFont="1" applyBorder="1"/>
    <xf numFmtId="170" fontId="28" fillId="0" borderId="0" xfId="0" applyNumberFormat="1" applyFont="1" applyBorder="1" applyAlignment="1">
      <alignment horizontal="center"/>
    </xf>
    <xf numFmtId="41" fontId="75" fillId="2" borderId="2" xfId="0" applyNumberFormat="1" applyFont="1" applyFill="1" applyBorder="1" applyAlignment="1">
      <alignment horizontal="right"/>
    </xf>
    <xf numFmtId="41" fontId="75" fillId="2" borderId="2" xfId="0" applyNumberFormat="1" applyFont="1" applyFill="1" applyBorder="1" applyAlignment="1">
      <alignment horizontal="right" vertical="top"/>
    </xf>
    <xf numFmtId="42" fontId="75" fillId="2" borderId="2" xfId="3" applyNumberFormat="1" applyFont="1" applyFill="1" applyBorder="1" applyAlignment="1" applyProtection="1">
      <alignment horizontal="right"/>
      <protection locked="0"/>
    </xf>
    <xf numFmtId="41" fontId="9" fillId="0" borderId="2" xfId="0" applyNumberFormat="1" applyFont="1" applyFill="1" applyBorder="1" applyAlignment="1">
      <alignment horizontal="right"/>
    </xf>
    <xf numFmtId="41" fontId="75" fillId="2" borderId="21" xfId="0" applyNumberFormat="1" applyFont="1" applyFill="1" applyBorder="1" applyAlignment="1">
      <alignment horizontal="right"/>
    </xf>
    <xf numFmtId="41" fontId="9" fillId="0" borderId="21" xfId="0" applyNumberFormat="1" applyFont="1" applyFill="1" applyBorder="1" applyAlignment="1"/>
    <xf numFmtId="41" fontId="9" fillId="0" borderId="3" xfId="0" applyNumberFormat="1" applyFont="1" applyBorder="1" applyAlignment="1"/>
    <xf numFmtId="42" fontId="38" fillId="0" borderId="0" xfId="0" applyNumberFormat="1" applyFont="1" applyFill="1"/>
    <xf numFmtId="41" fontId="57" fillId="0" borderId="0" xfId="3" applyNumberFormat="1" applyFont="1" applyFill="1"/>
    <xf numFmtId="41" fontId="38" fillId="0" borderId="0" xfId="0" applyNumberFormat="1" applyFont="1" applyFill="1"/>
    <xf numFmtId="41" fontId="61" fillId="0" borderId="0" xfId="3" applyNumberFormat="1" applyFont="1" applyFill="1"/>
    <xf numFmtId="41" fontId="65" fillId="0" borderId="0" xfId="0" applyNumberFormat="1" applyFont="1" applyFill="1"/>
    <xf numFmtId="41" fontId="61" fillId="0" borderId="3" xfId="3" applyNumberFormat="1" applyFont="1" applyFill="1" applyBorder="1"/>
    <xf numFmtId="41" fontId="61" fillId="0" borderId="0" xfId="3" applyNumberFormat="1" applyFont="1" applyFill="1" applyBorder="1"/>
    <xf numFmtId="170" fontId="28" fillId="0" borderId="0" xfId="0" applyNumberFormat="1" applyFont="1" applyAlignment="1"/>
    <xf numFmtId="187" fontId="3" fillId="0" borderId="0" xfId="0" applyNumberFormat="1" applyFont="1" applyAlignment="1"/>
    <xf numFmtId="42" fontId="75" fillId="0" borderId="10" xfId="0" applyNumberFormat="1" applyFont="1" applyFill="1" applyBorder="1" applyAlignment="1"/>
    <xf numFmtId="42" fontId="75" fillId="0" borderId="10" xfId="0" applyNumberFormat="1" applyFont="1" applyFill="1" applyBorder="1" applyAlignment="1">
      <alignment vertical="top"/>
    </xf>
    <xf numFmtId="41" fontId="78" fillId="0" borderId="0" xfId="0" applyNumberFormat="1" applyFont="1" applyAlignment="1">
      <alignment horizontal="center"/>
    </xf>
    <xf numFmtId="42" fontId="9" fillId="0" borderId="0" xfId="8" applyNumberFormat="1" applyFont="1" applyAlignment="1">
      <alignment wrapText="1"/>
    </xf>
    <xf numFmtId="42" fontId="9" fillId="0" borderId="0" xfId="8" applyNumberFormat="1" applyFont="1" applyFill="1"/>
    <xf numFmtId="187" fontId="0" fillId="0" borderId="0" xfId="0" applyNumberFormat="1"/>
    <xf numFmtId="170" fontId="29" fillId="0" borderId="0" xfId="0" applyNumberFormat="1" applyFont="1" applyFill="1" applyAlignment="1">
      <alignment horizontal="right"/>
    </xf>
    <xf numFmtId="170" fontId="6" fillId="0" borderId="0" xfId="9" applyFont="1" applyFill="1" applyAlignment="1">
      <alignment horizontal="center"/>
    </xf>
    <xf numFmtId="41" fontId="4" fillId="0" borderId="1" xfId="9" applyNumberFormat="1" applyFont="1" applyFill="1" applyBorder="1" applyAlignment="1" applyProtection="1">
      <protection locked="0"/>
    </xf>
    <xf numFmtId="41" fontId="4" fillId="0" borderId="0" xfId="1" applyNumberFormat="1" applyFont="1" applyFill="1" applyAlignment="1"/>
    <xf numFmtId="42" fontId="4" fillId="0" borderId="0" xfId="1" applyNumberFormat="1" applyFont="1" applyFill="1" applyAlignment="1"/>
    <xf numFmtId="42" fontId="4" fillId="0" borderId="0" xfId="9" applyNumberFormat="1" applyFont="1" applyFill="1" applyAlignment="1"/>
    <xf numFmtId="41" fontId="4" fillId="0" borderId="1" xfId="1" applyNumberFormat="1" applyFont="1" applyFill="1" applyBorder="1" applyAlignment="1" applyProtection="1">
      <protection locked="0"/>
    </xf>
    <xf numFmtId="42" fontId="4" fillId="0" borderId="0" xfId="1" applyNumberFormat="1" applyFont="1" applyFill="1" applyAlignment="1" applyProtection="1">
      <protection locked="0"/>
    </xf>
    <xf numFmtId="1" fontId="4" fillId="0" borderId="0" xfId="9" applyNumberFormat="1" applyFont="1" applyFill="1" applyBorder="1" applyAlignment="1" applyProtection="1">
      <alignment horizontal="center"/>
      <protection locked="0"/>
    </xf>
    <xf numFmtId="42" fontId="4" fillId="0" borderId="24" xfId="9" applyNumberFormat="1" applyFont="1" applyFill="1" applyBorder="1" applyAlignment="1" applyProtection="1">
      <protection locked="0"/>
    </xf>
    <xf numFmtId="169" fontId="4" fillId="0" borderId="0" xfId="9" applyNumberFormat="1" applyFont="1" applyFill="1" applyBorder="1" applyAlignment="1" applyProtection="1">
      <protection locked="0"/>
    </xf>
    <xf numFmtId="3" fontId="45" fillId="0" borderId="0" xfId="0" applyNumberFormat="1" applyFont="1" applyFill="1" applyAlignment="1"/>
    <xf numFmtId="170" fontId="93" fillId="0" borderId="0" xfId="0" applyNumberFormat="1" applyFont="1" applyAlignment="1"/>
    <xf numFmtId="170" fontId="92" fillId="0" borderId="0" xfId="0" applyNumberFormat="1" applyFont="1" applyFill="1" applyAlignment="1"/>
    <xf numFmtId="42" fontId="34" fillId="0" borderId="3" xfId="0" applyNumberFormat="1" applyFont="1" applyBorder="1" applyAlignment="1"/>
    <xf numFmtId="170" fontId="66" fillId="0" borderId="5" xfId="0" applyNumberFormat="1" applyFont="1" applyBorder="1" applyAlignment="1">
      <alignment horizontal="center"/>
    </xf>
    <xf numFmtId="42" fontId="34" fillId="0" borderId="8" xfId="0" applyNumberFormat="1" applyFont="1" applyBorder="1" applyAlignment="1"/>
    <xf numFmtId="43" fontId="3" fillId="0" borderId="0" xfId="1" quotePrefix="1" applyFont="1" applyFill="1" applyAlignment="1">
      <alignment horizontal="center"/>
    </xf>
    <xf numFmtId="42" fontId="3" fillId="0" borderId="5" xfId="3" applyNumberFormat="1" applyFont="1" applyFill="1" applyBorder="1" applyAlignment="1">
      <alignment horizontal="right"/>
    </xf>
    <xf numFmtId="170" fontId="3" fillId="0" borderId="4" xfId="0" applyNumberFormat="1" applyFont="1" applyFill="1" applyBorder="1" applyAlignment="1">
      <alignment horizontal="center"/>
    </xf>
    <xf numFmtId="170" fontId="3" fillId="0" borderId="7" xfId="0" applyNumberFormat="1" applyFont="1" applyFill="1" applyBorder="1" applyAlignment="1">
      <alignment horizontal="center"/>
    </xf>
    <xf numFmtId="49" fontId="43" fillId="0" borderId="21" xfId="0" applyNumberFormat="1" applyFont="1" applyFill="1" applyBorder="1" applyAlignment="1">
      <alignment horizontal="left"/>
    </xf>
    <xf numFmtId="49" fontId="43" fillId="0" borderId="2" xfId="0" applyNumberFormat="1" applyFont="1" applyFill="1" applyBorder="1" applyAlignment="1">
      <alignment horizontal="left"/>
    </xf>
    <xf numFmtId="49" fontId="43" fillId="0" borderId="16" xfId="0" applyNumberFormat="1" applyFont="1" applyFill="1" applyBorder="1" applyAlignment="1">
      <alignment horizontal="left"/>
    </xf>
    <xf numFmtId="41" fontId="43" fillId="0" borderId="0" xfId="6" applyNumberFormat="1" applyFont="1" applyFill="1" applyAlignment="1">
      <alignment vertical="center"/>
    </xf>
    <xf numFmtId="41" fontId="43" fillId="2" borderId="0" xfId="6" applyNumberFormat="1" applyFont="1" applyFill="1" applyAlignment="1">
      <alignment vertical="center"/>
    </xf>
    <xf numFmtId="41" fontId="9" fillId="0" borderId="2" xfId="0" applyNumberFormat="1" applyFont="1" applyFill="1" applyBorder="1" applyAlignment="1"/>
    <xf numFmtId="41" fontId="9" fillId="0" borderId="11" xfId="0" applyNumberFormat="1" applyFont="1" applyFill="1" applyBorder="1" applyAlignment="1"/>
    <xf numFmtId="171" fontId="94" fillId="6" borderId="0" xfId="1" applyNumberFormat="1" applyFont="1" applyFill="1" applyAlignment="1">
      <alignment horizontal="right"/>
    </xf>
    <xf numFmtId="170" fontId="49" fillId="6" borderId="0" xfId="0" applyNumberFormat="1" applyFont="1" applyFill="1" applyBorder="1"/>
    <xf numFmtId="41" fontId="43" fillId="8" borderId="23" xfId="15" applyNumberFormat="1" applyFont="1" applyFill="1" applyBorder="1"/>
    <xf numFmtId="37" fontId="6" fillId="0" borderId="0" xfId="0" applyFont="1" applyFill="1" applyBorder="1" applyAlignment="1">
      <alignment horizontal="center"/>
    </xf>
    <xf numFmtId="0" fontId="12" fillId="0" borderId="0" xfId="6" applyFont="1" applyFill="1" applyBorder="1" applyAlignment="1">
      <alignment horizontal="center" vertical="center"/>
    </xf>
    <xf numFmtId="0" fontId="6" fillId="0" borderId="0" xfId="6" applyFont="1"/>
    <xf numFmtId="171" fontId="61" fillId="2" borderId="0" xfId="6" applyNumberFormat="1" applyFont="1" applyFill="1" applyBorder="1" applyAlignment="1">
      <alignment vertical="center"/>
    </xf>
    <xf numFmtId="171" fontId="38" fillId="2" borderId="0" xfId="6" applyNumberFormat="1" applyFont="1" applyFill="1" applyBorder="1" applyAlignment="1">
      <alignment vertical="center"/>
    </xf>
    <xf numFmtId="41" fontId="9" fillId="0" borderId="0" xfId="0" applyNumberFormat="1" applyFont="1" applyBorder="1"/>
    <xf numFmtId="42" fontId="75" fillId="9" borderId="23" xfId="0" applyNumberFormat="1" applyFont="1" applyFill="1" applyBorder="1" applyAlignment="1"/>
    <xf numFmtId="41" fontId="75" fillId="9" borderId="9" xfId="0" applyNumberFormat="1" applyFont="1" applyFill="1" applyBorder="1" applyAlignment="1">
      <alignment vertical="top"/>
    </xf>
    <xf numFmtId="170" fontId="33" fillId="0" borderId="5" xfId="0" applyNumberFormat="1" applyFont="1" applyBorder="1" applyAlignment="1">
      <alignment horizontal="center"/>
    </xf>
    <xf numFmtId="170" fontId="51" fillId="0" borderId="10" xfId="0" applyNumberFormat="1" applyFont="1" applyFill="1" applyBorder="1" applyAlignment="1"/>
    <xf numFmtId="42" fontId="9" fillId="10" borderId="0" xfId="8" applyNumberFormat="1" applyFont="1" applyFill="1"/>
    <xf numFmtId="42" fontId="9" fillId="10" borderId="0" xfId="8" applyNumberFormat="1" applyFont="1" applyFill="1" applyAlignment="1"/>
    <xf numFmtId="171" fontId="75" fillId="11" borderId="0" xfId="1" applyNumberFormat="1" applyFont="1" applyFill="1" applyAlignment="1">
      <alignment wrapText="1"/>
    </xf>
    <xf numFmtId="171" fontId="4" fillId="0" borderId="0" xfId="1" applyNumberFormat="1" applyFont="1" applyFill="1" applyBorder="1" applyAlignment="1" applyProtection="1">
      <protection locked="0"/>
    </xf>
    <xf numFmtId="41" fontId="43" fillId="11" borderId="1" xfId="1" applyNumberFormat="1" applyFont="1" applyFill="1" applyBorder="1" applyAlignment="1"/>
    <xf numFmtId="42" fontId="4" fillId="12" borderId="0" xfId="9" applyNumberFormat="1" applyFont="1" applyFill="1" applyAlignment="1" applyProtection="1">
      <protection locked="0"/>
    </xf>
    <xf numFmtId="173" fontId="43" fillId="13" borderId="37" xfId="15" applyNumberFormat="1" applyFont="1" applyFill="1" applyBorder="1" applyAlignment="1">
      <alignment vertical="top"/>
    </xf>
    <xf numFmtId="10" fontId="4" fillId="14" borderId="0" xfId="15" applyNumberFormat="1" applyFont="1" applyFill="1" applyBorder="1" applyAlignment="1">
      <alignment vertical="top"/>
    </xf>
    <xf numFmtId="10" fontId="4" fillId="15" borderId="0" xfId="15" applyNumberFormat="1" applyFont="1" applyFill="1" applyBorder="1" applyAlignment="1">
      <alignment vertical="top"/>
    </xf>
    <xf numFmtId="173" fontId="43" fillId="13" borderId="36" xfId="15" applyNumberFormat="1" applyFont="1" applyFill="1" applyBorder="1" applyAlignment="1">
      <alignment vertical="top"/>
    </xf>
    <xf numFmtId="3" fontId="67" fillId="0" borderId="0" xfId="0" applyNumberFormat="1" applyFont="1"/>
    <xf numFmtId="42" fontId="75" fillId="16" borderId="2" xfId="0" applyNumberFormat="1" applyFont="1" applyFill="1" applyBorder="1" applyAlignment="1"/>
    <xf numFmtId="41" fontId="75" fillId="16" borderId="2" xfId="0" applyNumberFormat="1" applyFont="1" applyFill="1" applyBorder="1" applyAlignment="1"/>
    <xf numFmtId="41" fontId="75" fillId="16" borderId="2" xfId="0" applyNumberFormat="1" applyFont="1" applyFill="1" applyBorder="1" applyAlignment="1">
      <alignment vertical="top"/>
    </xf>
    <xf numFmtId="42" fontId="75" fillId="16" borderId="11" xfId="0" applyNumberFormat="1" applyFont="1" applyFill="1" applyBorder="1" applyAlignment="1"/>
    <xf numFmtId="41" fontId="75" fillId="16" borderId="2" xfId="3" applyNumberFormat="1" applyFont="1" applyFill="1" applyBorder="1" applyAlignment="1" applyProtection="1">
      <protection locked="0"/>
    </xf>
    <xf numFmtId="42" fontId="75" fillId="16" borderId="23" xfId="0" applyNumberFormat="1" applyFont="1" applyFill="1" applyBorder="1"/>
    <xf numFmtId="41" fontId="75" fillId="16" borderId="10" xfId="0" applyNumberFormat="1" applyFont="1" applyFill="1" applyBorder="1"/>
    <xf numFmtId="41" fontId="75" fillId="16" borderId="23" xfId="0" applyNumberFormat="1" applyFont="1" applyFill="1" applyBorder="1"/>
    <xf numFmtId="42" fontId="75" fillId="16" borderId="2" xfId="0" applyNumberFormat="1" applyFont="1" applyFill="1" applyBorder="1"/>
    <xf numFmtId="42" fontId="75" fillId="16" borderId="13" xfId="13" applyNumberFormat="1" applyFont="1" applyFill="1" applyBorder="1"/>
    <xf numFmtId="184" fontId="43" fillId="16" borderId="15" xfId="0" quotePrefix="1" applyNumberFormat="1" applyFont="1" applyFill="1" applyBorder="1" applyAlignment="1">
      <alignment horizontal="right"/>
    </xf>
    <xf numFmtId="189" fontId="43" fillId="16" borderId="21" xfId="0" applyNumberFormat="1" applyFont="1" applyFill="1" applyBorder="1"/>
    <xf numFmtId="189" fontId="43" fillId="16" borderId="16" xfId="0" applyNumberFormat="1" applyFont="1" applyFill="1" applyBorder="1"/>
    <xf numFmtId="189" fontId="43" fillId="16" borderId="2" xfId="0" applyNumberFormat="1" applyFont="1" applyFill="1" applyBorder="1"/>
    <xf numFmtId="0" fontId="1" fillId="0" borderId="12" xfId="0" applyNumberFormat="1" applyFont="1" applyBorder="1" applyAlignment="1">
      <alignment horizontal="center"/>
    </xf>
    <xf numFmtId="37" fontId="4" fillId="0" borderId="0" xfId="0" applyFont="1" applyAlignment="1">
      <alignment wrapText="1"/>
    </xf>
    <xf numFmtId="37" fontId="0" fillId="0" borderId="0" xfId="0" applyAlignment="1">
      <alignment wrapText="1"/>
    </xf>
    <xf numFmtId="41" fontId="43" fillId="0" borderId="0" xfId="0" applyNumberFormat="1" applyFont="1" applyFill="1" applyBorder="1" applyAlignment="1"/>
    <xf numFmtId="41" fontId="43" fillId="0" borderId="1" xfId="0" applyNumberFormat="1" applyFont="1" applyFill="1" applyBorder="1" applyAlignment="1"/>
    <xf numFmtId="172" fontId="43" fillId="0" borderId="0" xfId="9" applyNumberFormat="1" applyFont="1" applyFill="1" applyAlignment="1" applyProtection="1">
      <protection locked="0"/>
    </xf>
    <xf numFmtId="172" fontId="43" fillId="0" borderId="0" xfId="3" applyNumberFormat="1" applyFont="1" applyFill="1" applyAlignment="1"/>
    <xf numFmtId="42" fontId="43" fillId="0" borderId="0" xfId="0" applyNumberFormat="1" applyFont="1" applyFill="1" applyAlignment="1"/>
    <xf numFmtId="3" fontId="43" fillId="0" borderId="0" xfId="0" applyNumberFormat="1" applyFont="1" applyFill="1" applyAlignment="1"/>
    <xf numFmtId="3" fontId="43" fillId="0" borderId="1" xfId="0" applyNumberFormat="1" applyFont="1" applyFill="1" applyBorder="1" applyAlignment="1"/>
    <xf numFmtId="172" fontId="43" fillId="0" borderId="0" xfId="3" applyNumberFormat="1" applyFont="1" applyFill="1" applyAlignment="1" applyProtection="1">
      <protection locked="0"/>
    </xf>
    <xf numFmtId="10" fontId="4" fillId="0" borderId="0" xfId="0" applyNumberFormat="1" applyFont="1" applyFill="1" applyBorder="1" applyProtection="1">
      <protection locked="0"/>
    </xf>
    <xf numFmtId="41" fontId="43" fillId="0" borderId="1" xfId="9" applyNumberFormat="1" applyFont="1" applyFill="1" applyBorder="1" applyAlignment="1" applyProtection="1">
      <protection locked="0"/>
    </xf>
    <xf numFmtId="42" fontId="61" fillId="0" borderId="0" xfId="3" applyNumberFormat="1" applyFont="1" applyFill="1"/>
    <xf numFmtId="41" fontId="43" fillId="0" borderId="0" xfId="6" applyNumberFormat="1" applyFont="1" applyFill="1" applyBorder="1" applyAlignment="1">
      <alignment vertical="center"/>
    </xf>
    <xf numFmtId="41" fontId="43" fillId="0" borderId="3" xfId="6" applyNumberFormat="1" applyFont="1" applyFill="1" applyBorder="1" applyAlignment="1">
      <alignment vertical="center"/>
    </xf>
    <xf numFmtId="42" fontId="43" fillId="0" borderId="0" xfId="6" applyNumberFormat="1" applyFont="1" applyFill="1" applyBorder="1" applyAlignment="1">
      <alignment vertical="center"/>
    </xf>
    <xf numFmtId="171" fontId="43" fillId="0" borderId="0" xfId="6" applyNumberFormat="1" applyFont="1" applyFill="1" applyBorder="1" applyAlignment="1">
      <alignment vertical="center"/>
    </xf>
    <xf numFmtId="41" fontId="45" fillId="0" borderId="0" xfId="0" applyNumberFormat="1" applyFont="1" applyFill="1"/>
    <xf numFmtId="41" fontId="45" fillId="0" borderId="0" xfId="0" applyNumberFormat="1" applyFont="1" applyFill="1" applyBorder="1"/>
    <xf numFmtId="41" fontId="45" fillId="0" borderId="3" xfId="0" applyNumberFormat="1" applyFont="1" applyFill="1" applyBorder="1"/>
    <xf numFmtId="41" fontId="43" fillId="0" borderId="0" xfId="9" applyNumberFormat="1" applyFont="1" applyFill="1" applyAlignment="1" applyProtection="1">
      <protection locked="0"/>
    </xf>
    <xf numFmtId="41" fontId="43" fillId="0" borderId="3" xfId="9" applyNumberFormat="1" applyFont="1" applyFill="1" applyBorder="1" applyAlignment="1" applyProtection="1">
      <protection locked="0"/>
    </xf>
    <xf numFmtId="42" fontId="45" fillId="0" borderId="0" xfId="10" applyNumberFormat="1" applyFont="1" applyFill="1" applyBorder="1" applyAlignment="1"/>
    <xf numFmtId="42" fontId="43" fillId="0" borderId="0" xfId="0" applyNumberFormat="1" applyFont="1" applyFill="1" applyBorder="1" applyAlignment="1">
      <alignment horizontal="left"/>
    </xf>
    <xf numFmtId="42" fontId="43" fillId="0" borderId="3" xfId="0" applyNumberFormat="1" applyFont="1" applyFill="1" applyBorder="1" applyAlignment="1">
      <alignment horizontal="left"/>
    </xf>
    <xf numFmtId="42" fontId="75" fillId="13" borderId="3" xfId="13" applyNumberFormat="1" applyFont="1" applyFill="1" applyBorder="1"/>
    <xf numFmtId="3" fontId="9" fillId="0" borderId="0" xfId="0" applyNumberFormat="1" applyFont="1" applyFill="1" applyAlignment="1">
      <alignment horizontal="center" vertical="top"/>
    </xf>
    <xf numFmtId="0" fontId="78" fillId="0" borderId="0" xfId="0" applyNumberFormat="1" applyFont="1" applyFill="1" applyAlignment="1">
      <alignment horizontal="center"/>
    </xf>
    <xf numFmtId="173" fontId="75" fillId="17" borderId="0" xfId="15" applyNumberFormat="1" applyFont="1" applyFill="1" applyAlignment="1">
      <alignment horizontal="right" wrapText="1"/>
    </xf>
    <xf numFmtId="173" fontId="75" fillId="17" borderId="0" xfId="15" applyNumberFormat="1" applyFont="1" applyFill="1" applyAlignment="1">
      <alignment wrapText="1"/>
    </xf>
    <xf numFmtId="42" fontId="0" fillId="0" borderId="3" xfId="0" applyNumberFormat="1" applyFill="1" applyBorder="1"/>
    <xf numFmtId="10" fontId="4" fillId="11" borderId="0" xfId="0" applyNumberFormat="1" applyFont="1" applyFill="1" applyBorder="1" applyProtection="1">
      <protection locked="0"/>
    </xf>
    <xf numFmtId="171" fontId="3" fillId="0" borderId="8" xfId="1" applyNumberFormat="1" applyFont="1" applyFill="1" applyBorder="1" applyAlignment="1"/>
    <xf numFmtId="177" fontId="3" fillId="0" borderId="0" xfId="0" applyNumberFormat="1" applyFont="1" applyFill="1" applyBorder="1" applyAlignment="1">
      <alignment horizontal="left"/>
    </xf>
    <xf numFmtId="170" fontId="33" fillId="0" borderId="4" xfId="0" applyNumberFormat="1" applyFont="1" applyFill="1" applyBorder="1" applyAlignment="1"/>
    <xf numFmtId="170" fontId="33" fillId="0" borderId="5" xfId="0" applyNumberFormat="1" applyFont="1" applyFill="1" applyBorder="1" applyAlignment="1"/>
    <xf numFmtId="0" fontId="3" fillId="0" borderId="10" xfId="0" applyNumberFormat="1" applyFont="1" applyFill="1" applyBorder="1" applyAlignment="1">
      <alignment horizontal="center"/>
    </xf>
    <xf numFmtId="43" fontId="4" fillId="0" borderId="0" xfId="0" applyNumberFormat="1" applyFont="1" applyAlignment="1" applyProtection="1">
      <alignment horizontal="center"/>
      <protection locked="0"/>
    </xf>
    <xf numFmtId="170" fontId="95" fillId="0" borderId="0" xfId="0" applyNumberFormat="1" applyFont="1" applyFill="1" applyAlignment="1">
      <alignment horizontal="center"/>
    </xf>
    <xf numFmtId="42" fontId="42" fillId="0" borderId="0" xfId="6" applyNumberFormat="1" applyFont="1" applyFill="1" applyBorder="1" applyAlignment="1">
      <alignment horizontal="left" vertical="center"/>
    </xf>
    <xf numFmtId="42" fontId="4" fillId="18" borderId="13" xfId="6" applyNumberFormat="1" applyFont="1" applyFill="1" applyBorder="1" applyAlignment="1">
      <alignment vertical="center"/>
    </xf>
    <xf numFmtId="170" fontId="4" fillId="0" borderId="0" xfId="0" applyNumberFormat="1" applyFont="1" applyAlignment="1"/>
    <xf numFmtId="41" fontId="96" fillId="0" borderId="0" xfId="3" applyNumberFormat="1" applyFont="1" applyFill="1"/>
    <xf numFmtId="41" fontId="4" fillId="0" borderId="7" xfId="9" applyNumberFormat="1" applyFont="1" applyFill="1" applyBorder="1" applyAlignment="1" applyProtection="1">
      <protection locked="0"/>
    </xf>
    <xf numFmtId="41" fontId="96" fillId="0" borderId="0" xfId="0" applyNumberFormat="1" applyFont="1" applyFill="1" applyBorder="1" applyAlignment="1"/>
    <xf numFmtId="3" fontId="75" fillId="16" borderId="0" xfId="0" applyNumberFormat="1" applyFont="1" applyFill="1" applyBorder="1" applyAlignment="1">
      <alignment horizontal="right"/>
    </xf>
    <xf numFmtId="3" fontId="75" fillId="16" borderId="11" xfId="0" applyNumberFormat="1" applyFont="1" applyFill="1" applyBorder="1" applyAlignment="1">
      <alignment horizontal="right"/>
    </xf>
    <xf numFmtId="3" fontId="75" fillId="16" borderId="13" xfId="0" applyNumberFormat="1" applyFont="1" applyFill="1" applyBorder="1" applyAlignment="1">
      <alignment horizontal="right"/>
    </xf>
    <xf numFmtId="3" fontId="75" fillId="16" borderId="2" xfId="0" applyNumberFormat="1" applyFont="1" applyFill="1" applyBorder="1" applyAlignment="1">
      <alignment horizontal="right"/>
    </xf>
    <xf numFmtId="3" fontId="75" fillId="16" borderId="25" xfId="0" applyNumberFormat="1" applyFont="1" applyFill="1" applyBorder="1" applyAlignment="1">
      <alignment horizontal="right"/>
    </xf>
    <xf numFmtId="173" fontId="0" fillId="0" borderId="0" xfId="0" applyNumberFormat="1" applyBorder="1" applyAlignment="1"/>
    <xf numFmtId="171" fontId="22" fillId="0" borderId="1" xfId="1" applyNumberFormat="1" applyFont="1" applyBorder="1" applyAlignment="1"/>
    <xf numFmtId="170" fontId="27" fillId="2" borderId="7" xfId="0" quotePrefix="1" applyNumberFormat="1" applyFont="1" applyFill="1" applyBorder="1" applyAlignment="1">
      <alignment wrapText="1"/>
    </xf>
    <xf numFmtId="170" fontId="97" fillId="0" borderId="0" xfId="0" applyNumberFormat="1" applyFont="1" applyAlignment="1">
      <alignment horizontal="center"/>
    </xf>
    <xf numFmtId="170" fontId="27" fillId="11" borderId="7" xfId="0" quotePrefix="1" applyNumberFormat="1" applyFont="1" applyFill="1" applyBorder="1" applyAlignment="1"/>
    <xf numFmtId="170" fontId="3" fillId="11" borderId="0" xfId="0" applyNumberFormat="1" applyFont="1" applyFill="1" applyBorder="1" applyAlignment="1"/>
    <xf numFmtId="0" fontId="27" fillId="11" borderId="0" xfId="0" applyNumberFormat="1" applyFont="1" applyFill="1" applyBorder="1" applyAlignment="1">
      <alignment wrapText="1"/>
    </xf>
    <xf numFmtId="173" fontId="3" fillId="11" borderId="0" xfId="15" applyNumberFormat="1" applyFont="1" applyFill="1" applyBorder="1" applyAlignment="1"/>
    <xf numFmtId="172" fontId="3" fillId="11" borderId="0" xfId="3" applyNumberFormat="1" applyFont="1" applyFill="1" applyBorder="1" applyAlignment="1"/>
    <xf numFmtId="171" fontId="3" fillId="11" borderId="0" xfId="1" applyNumberFormat="1" applyFont="1" applyFill="1" applyBorder="1" applyAlignment="1"/>
    <xf numFmtId="0" fontId="3" fillId="11" borderId="0" xfId="15" applyNumberFormat="1" applyFont="1" applyFill="1" applyBorder="1" applyAlignment="1">
      <alignment horizontal="right"/>
    </xf>
    <xf numFmtId="170" fontId="3" fillId="11" borderId="0" xfId="0" applyNumberFormat="1" applyFont="1" applyFill="1" applyBorder="1" applyAlignment="1">
      <alignment horizontal="center"/>
    </xf>
    <xf numFmtId="172" fontId="3" fillId="11" borderId="4" xfId="3" applyNumberFormat="1" applyFont="1" applyFill="1" applyBorder="1" applyAlignment="1">
      <alignment horizontal="right"/>
    </xf>
    <xf numFmtId="170" fontId="3" fillId="11" borderId="7" xfId="0" applyNumberFormat="1" applyFont="1" applyFill="1" applyBorder="1" applyAlignment="1">
      <alignment horizontal="center"/>
    </xf>
    <xf numFmtId="170" fontId="3" fillId="11" borderId="9" xfId="0" applyNumberFormat="1" applyFont="1" applyFill="1" applyBorder="1" applyAlignment="1">
      <alignment horizontal="center"/>
    </xf>
    <xf numFmtId="172" fontId="3" fillId="11" borderId="5" xfId="3" applyNumberFormat="1" applyFont="1" applyFill="1" applyBorder="1" applyAlignment="1">
      <alignment horizontal="right"/>
    </xf>
    <xf numFmtId="172" fontId="3" fillId="11" borderId="0" xfId="3" applyNumberFormat="1" applyFont="1" applyFill="1" applyBorder="1" applyAlignment="1">
      <alignment horizontal="center"/>
    </xf>
    <xf numFmtId="172" fontId="3" fillId="11" borderId="10" xfId="3" applyNumberFormat="1" applyFont="1" applyFill="1" applyBorder="1" applyAlignment="1"/>
    <xf numFmtId="172" fontId="3" fillId="11" borderId="0" xfId="3" applyNumberFormat="1" applyFont="1" applyFill="1" applyAlignment="1"/>
    <xf numFmtId="170" fontId="3" fillId="0" borderId="8" xfId="0" applyNumberFormat="1" applyFont="1" applyFill="1" applyBorder="1" applyAlignment="1">
      <alignment horizontal="center"/>
    </xf>
    <xf numFmtId="170" fontId="3" fillId="0" borderId="6" xfId="0" applyNumberFormat="1" applyFont="1" applyFill="1" applyBorder="1" applyAlignment="1">
      <alignment horizontal="center"/>
    </xf>
    <xf numFmtId="170" fontId="3" fillId="0" borderId="5" xfId="0" applyNumberFormat="1" applyFont="1" applyFill="1" applyBorder="1" applyAlignment="1">
      <alignment horizontal="center"/>
    </xf>
    <xf numFmtId="0" fontId="3" fillId="0" borderId="5" xfId="0" applyNumberFormat="1" applyFont="1" applyFill="1" applyBorder="1" applyAlignment="1"/>
    <xf numFmtId="170" fontId="0" fillId="0" borderId="9" xfId="0" applyNumberFormat="1" applyFill="1" applyBorder="1" applyAlignment="1">
      <alignment wrapText="1"/>
    </xf>
    <xf numFmtId="170" fontId="27" fillId="0" borderId="0" xfId="0" quotePrefix="1" applyNumberFormat="1" applyFont="1" applyFill="1" applyBorder="1" applyAlignment="1"/>
    <xf numFmtId="184" fontId="27" fillId="0" borderId="0" xfId="0" applyNumberFormat="1" applyFont="1" applyFill="1" applyBorder="1" applyAlignment="1"/>
    <xf numFmtId="192" fontId="3" fillId="0" borderId="0" xfId="15" applyNumberFormat="1" applyFont="1" applyFill="1" applyBorder="1" applyAlignment="1">
      <alignment horizontal="right"/>
    </xf>
    <xf numFmtId="42" fontId="9" fillId="0" borderId="0" xfId="0" applyNumberFormat="1" applyFont="1" applyFill="1" applyAlignment="1"/>
    <xf numFmtId="172" fontId="3" fillId="11" borderId="5" xfId="3" applyNumberFormat="1" applyFont="1" applyFill="1" applyBorder="1" applyAlignment="1"/>
    <xf numFmtId="170" fontId="98" fillId="0" borderId="0" xfId="0" applyNumberFormat="1" applyFont="1" applyBorder="1" applyAlignment="1"/>
    <xf numFmtId="170" fontId="99" fillId="0" borderId="0" xfId="0" applyNumberFormat="1" applyFont="1" applyFill="1" applyAlignment="1"/>
    <xf numFmtId="172" fontId="100" fillId="0" borderId="0" xfId="3" applyNumberFormat="1" applyFont="1" applyFill="1" applyAlignment="1"/>
    <xf numFmtId="170" fontId="2" fillId="0" borderId="0" xfId="0" applyNumberFormat="1" applyFont="1" applyFill="1" applyAlignment="1">
      <alignment horizontal="left" vertical="top" wrapText="1"/>
    </xf>
    <xf numFmtId="170" fontId="2" fillId="0" borderId="0" xfId="0" applyNumberFormat="1" applyFont="1" applyFill="1" applyAlignment="1">
      <alignment vertical="top" wrapText="1"/>
    </xf>
    <xf numFmtId="170" fontId="0" fillId="0" borderId="0" xfId="0" applyNumberFormat="1" applyFill="1" applyAlignment="1">
      <alignment wrapText="1"/>
    </xf>
    <xf numFmtId="170" fontId="56" fillId="0" borderId="0" xfId="0" applyNumberFormat="1" applyFont="1" applyAlignment="1">
      <alignment horizontal="center"/>
    </xf>
    <xf numFmtId="170" fontId="0" fillId="0" borderId="0" xfId="0" applyNumberFormat="1" applyAlignment="1">
      <alignment wrapText="1"/>
    </xf>
    <xf numFmtId="170" fontId="2" fillId="0" borderId="0" xfId="0" applyNumberFormat="1" applyFont="1" applyBorder="1" applyAlignment="1">
      <alignment horizontal="left" wrapText="1"/>
    </xf>
    <xf numFmtId="170" fontId="55" fillId="0" borderId="25" xfId="0" applyNumberFormat="1" applyFont="1" applyBorder="1" applyAlignment="1">
      <alignment horizontal="center"/>
    </xf>
    <xf numFmtId="170" fontId="55" fillId="0" borderId="13" xfId="0" applyNumberFormat="1" applyFont="1" applyBorder="1" applyAlignment="1">
      <alignment horizontal="center"/>
    </xf>
    <xf numFmtId="170" fontId="55" fillId="0" borderId="23" xfId="0" applyNumberFormat="1" applyFont="1" applyBorder="1" applyAlignment="1">
      <alignment horizontal="center"/>
    </xf>
    <xf numFmtId="0" fontId="20" fillId="0" borderId="0" xfId="0" applyNumberFormat="1" applyFont="1" applyFill="1" applyAlignment="1">
      <alignment horizontal="center"/>
    </xf>
    <xf numFmtId="37" fontId="7" fillId="0" borderId="0" xfId="0" applyFont="1" applyFill="1" applyAlignment="1">
      <alignment horizontal="center"/>
    </xf>
    <xf numFmtId="170" fontId="7" fillId="0" borderId="0" xfId="0" applyNumberFormat="1" applyFont="1" applyFill="1" applyAlignment="1">
      <alignment horizontal="center"/>
    </xf>
    <xf numFmtId="0" fontId="22" fillId="0" borderId="0" xfId="0" applyNumberFormat="1" applyFont="1" applyFill="1" applyAlignment="1" applyProtection="1">
      <alignment horizontal="center"/>
      <protection locked="0"/>
    </xf>
    <xf numFmtId="0" fontId="20" fillId="0" borderId="0" xfId="0" applyNumberFormat="1" applyFont="1" applyFill="1" applyAlignment="1" applyProtection="1">
      <alignment horizontal="center"/>
      <protection locked="0"/>
    </xf>
    <xf numFmtId="0" fontId="20" fillId="0" borderId="0" xfId="0" applyNumberFormat="1" applyFont="1" applyFill="1" applyAlignment="1"/>
    <xf numFmtId="170" fontId="7" fillId="0" borderId="0" xfId="0" applyNumberFormat="1" applyFont="1" applyFill="1" applyAlignment="1"/>
    <xf numFmtId="0" fontId="20" fillId="0" borderId="0" xfId="0" applyNumberFormat="1" applyFont="1" applyAlignment="1">
      <alignment horizontal="center"/>
    </xf>
    <xf numFmtId="37" fontId="7" fillId="0" borderId="0" xfId="0" applyFont="1" applyAlignment="1">
      <alignment horizontal="center"/>
    </xf>
    <xf numFmtId="0" fontId="20" fillId="0" borderId="0" xfId="0" applyNumberFormat="1" applyFont="1" applyAlignment="1"/>
    <xf numFmtId="170" fontId="7" fillId="0" borderId="0" xfId="0" applyNumberFormat="1" applyFont="1" applyAlignment="1"/>
    <xf numFmtId="0" fontId="20" fillId="0" borderId="0" xfId="0" applyNumberFormat="1" applyFont="1" applyAlignment="1" applyProtection="1">
      <alignment horizontal="center"/>
      <protection locked="0"/>
    </xf>
    <xf numFmtId="170" fontId="7" fillId="0" borderId="0" xfId="0" applyNumberFormat="1" applyFont="1" applyAlignment="1">
      <alignment horizontal="center"/>
    </xf>
    <xf numFmtId="170" fontId="22" fillId="0" borderId="0" xfId="0" applyNumberFormat="1" applyFont="1" applyAlignment="1">
      <alignment horizontal="center"/>
    </xf>
    <xf numFmtId="170" fontId="22" fillId="0" borderId="0" xfId="0" applyNumberFormat="1" applyFont="1" applyAlignment="1"/>
    <xf numFmtId="4" fontId="22" fillId="0" borderId="0" xfId="0" applyNumberFormat="1" applyFont="1" applyAlignment="1">
      <alignment horizontal="center"/>
    </xf>
    <xf numFmtId="4" fontId="22" fillId="0" borderId="0" xfId="0" applyNumberFormat="1" applyFont="1" applyAlignment="1"/>
    <xf numFmtId="0" fontId="6" fillId="0" borderId="0" xfId="0" applyNumberFormat="1" applyFont="1" applyAlignment="1">
      <alignment horizontal="center"/>
    </xf>
    <xf numFmtId="0" fontId="4" fillId="0" borderId="0" xfId="0" applyNumberFormat="1" applyFont="1" applyAlignment="1" applyProtection="1">
      <alignment horizontal="center"/>
      <protection locked="0"/>
    </xf>
    <xf numFmtId="170" fontId="4" fillId="0" borderId="0" xfId="0" applyNumberFormat="1" applyFont="1" applyAlignment="1"/>
    <xf numFmtId="3" fontId="4" fillId="0" borderId="0" xfId="0" applyNumberFormat="1" applyFont="1" applyAlignment="1">
      <alignment horizontal="center"/>
    </xf>
    <xf numFmtId="3" fontId="22" fillId="0" borderId="0" xfId="0" applyNumberFormat="1" applyFont="1" applyAlignment="1">
      <alignment horizontal="center"/>
    </xf>
    <xf numFmtId="49" fontId="4" fillId="0" borderId="0" xfId="0" applyNumberFormat="1" applyFont="1" applyAlignment="1">
      <alignment horizontal="center"/>
    </xf>
    <xf numFmtId="37" fontId="4" fillId="0" borderId="0" xfId="0" applyFont="1" applyAlignment="1"/>
    <xf numFmtId="49" fontId="4" fillId="0" borderId="0" xfId="0" applyNumberFormat="1" applyFont="1" applyAlignment="1" applyProtection="1">
      <alignment horizontal="center"/>
      <protection locked="0"/>
    </xf>
    <xf numFmtId="37" fontId="2" fillId="0" borderId="0" xfId="0" applyFont="1" applyAlignment="1"/>
    <xf numFmtId="0" fontId="4" fillId="0" borderId="0" xfId="0" applyNumberFormat="1" applyFont="1" applyFill="1" applyAlignment="1" applyProtection="1">
      <alignment wrapText="1"/>
      <protection locked="0"/>
    </xf>
    <xf numFmtId="37" fontId="0" fillId="0" borderId="0" xfId="0" applyFill="1" applyAlignment="1">
      <alignment wrapText="1"/>
    </xf>
    <xf numFmtId="170" fontId="4" fillId="0" borderId="0" xfId="0" applyNumberFormat="1" applyFont="1" applyFill="1" applyAlignment="1">
      <alignment wrapText="1"/>
    </xf>
    <xf numFmtId="10" fontId="4" fillId="0" borderId="0" xfId="0" applyNumberFormat="1" applyFont="1" applyFill="1" applyBorder="1" applyAlignment="1" applyProtection="1">
      <alignment horizontal="right"/>
      <protection locked="0"/>
    </xf>
    <xf numFmtId="0" fontId="4" fillId="0" borderId="0" xfId="0" applyNumberFormat="1" applyFont="1" applyFill="1" applyBorder="1" applyAlignment="1" applyProtection="1">
      <alignment horizontal="right"/>
      <protection locked="0"/>
    </xf>
    <xf numFmtId="170" fontId="11" fillId="0" borderId="0" xfId="0" applyNumberFormat="1" applyFont="1" applyFill="1" applyBorder="1" applyAlignment="1">
      <alignment horizontal="center"/>
    </xf>
    <xf numFmtId="170" fontId="4" fillId="0" borderId="1" xfId="0" applyNumberFormat="1" applyFont="1" applyFill="1" applyBorder="1" applyAlignment="1">
      <alignment horizontal="center"/>
    </xf>
    <xf numFmtId="170" fontId="4" fillId="0" borderId="0" xfId="0" applyNumberFormat="1" applyFont="1" applyFill="1" applyAlignment="1">
      <alignment horizontal="left" wrapText="1"/>
    </xf>
    <xf numFmtId="3" fontId="4" fillId="0" borderId="0" xfId="14" applyNumberFormat="1" applyFont="1" applyFill="1" applyBorder="1" applyAlignment="1">
      <alignment horizontal="left" wrapText="1"/>
    </xf>
    <xf numFmtId="37" fontId="18" fillId="0" borderId="0" xfId="0" applyFont="1" applyFill="1" applyAlignment="1">
      <alignment horizontal="center"/>
    </xf>
    <xf numFmtId="37" fontId="4" fillId="0" borderId="0" xfId="0" applyFont="1" applyAlignment="1">
      <alignment horizontal="center"/>
    </xf>
    <xf numFmtId="170" fontId="18" fillId="0" borderId="0" xfId="0" applyNumberFormat="1" applyFont="1" applyFill="1" applyAlignment="1">
      <alignment horizontal="center"/>
    </xf>
    <xf numFmtId="170" fontId="4" fillId="0" borderId="0" xfId="0" applyNumberFormat="1" applyFont="1" applyAlignment="1">
      <alignment horizontal="center"/>
    </xf>
    <xf numFmtId="0" fontId="41" fillId="0" borderId="0" xfId="6" applyFont="1" applyAlignment="1">
      <alignment wrapText="1"/>
    </xf>
    <xf numFmtId="0" fontId="9" fillId="0" borderId="0" xfId="6" applyFont="1" applyAlignment="1">
      <alignment wrapText="1"/>
    </xf>
    <xf numFmtId="170" fontId="4" fillId="0" borderId="0" xfId="0" applyNumberFormat="1" applyFont="1" applyFill="1" applyAlignment="1">
      <alignment horizontal="center"/>
    </xf>
    <xf numFmtId="37" fontId="4" fillId="0" borderId="0" xfId="0" applyFont="1" applyFill="1" applyAlignment="1">
      <alignment wrapText="1"/>
    </xf>
    <xf numFmtId="37" fontId="32" fillId="0" borderId="0" xfId="0" applyFont="1" applyFill="1" applyAlignment="1">
      <alignment wrapText="1"/>
    </xf>
    <xf numFmtId="0" fontId="4" fillId="0" borderId="0" xfId="6" applyFont="1" applyFill="1" applyAlignment="1">
      <alignment horizontal="left" wrapText="1"/>
    </xf>
    <xf numFmtId="170" fontId="32" fillId="0" borderId="0" xfId="0" applyNumberFormat="1" applyFont="1" applyFill="1" applyAlignment="1">
      <alignment wrapText="1"/>
    </xf>
    <xf numFmtId="170" fontId="18" fillId="0" borderId="0" xfId="11" applyFont="1" applyAlignment="1">
      <alignment horizontal="center"/>
    </xf>
    <xf numFmtId="170" fontId="7" fillId="0" borderId="0" xfId="11" applyFont="1" applyAlignment="1">
      <alignment horizontal="center"/>
    </xf>
    <xf numFmtId="170" fontId="18" fillId="0" borderId="0" xfId="0" applyNumberFormat="1" applyFont="1" applyAlignment="1">
      <alignment horizontal="center"/>
    </xf>
    <xf numFmtId="170" fontId="90" fillId="0" borderId="0" xfId="0" applyNumberFormat="1" applyFont="1" applyAlignment="1">
      <alignment horizontal="center"/>
    </xf>
    <xf numFmtId="170" fontId="34" fillId="0" borderId="0" xfId="0" applyNumberFormat="1" applyFont="1" applyAlignment="1">
      <alignment horizontal="center"/>
    </xf>
    <xf numFmtId="170" fontId="17" fillId="0" borderId="0" xfId="11" applyFont="1" applyAlignment="1">
      <alignment horizontal="center"/>
    </xf>
    <xf numFmtId="37" fontId="6" fillId="0" borderId="0" xfId="0" applyFont="1" applyAlignment="1">
      <alignment horizontal="center"/>
    </xf>
    <xf numFmtId="170" fontId="91" fillId="0" borderId="0" xfId="0" applyNumberFormat="1" applyFont="1" applyAlignment="1">
      <alignment horizontal="center"/>
    </xf>
    <xf numFmtId="0" fontId="64" fillId="0" borderId="7" xfId="0" applyNumberFormat="1" applyFont="1" applyBorder="1" applyAlignment="1">
      <alignment horizontal="center"/>
    </xf>
    <xf numFmtId="0" fontId="64" fillId="0" borderId="9" xfId="0" applyNumberFormat="1" applyFont="1" applyBorder="1" applyAlignment="1">
      <alignment horizontal="center"/>
    </xf>
    <xf numFmtId="37" fontId="0" fillId="0" borderId="0" xfId="0" applyFont="1" applyAlignment="1">
      <alignment horizontal="center"/>
    </xf>
    <xf numFmtId="37" fontId="2" fillId="0" borderId="0" xfId="0" applyFont="1" applyAlignment="1">
      <alignment horizontal="center"/>
    </xf>
    <xf numFmtId="7" fontId="48" fillId="0" borderId="0" xfId="0" applyNumberFormat="1" applyFont="1" applyBorder="1" applyAlignment="1">
      <alignment horizontal="center"/>
    </xf>
    <xf numFmtId="37" fontId="4" fillId="0" borderId="0" xfId="0" applyFont="1" applyAlignment="1">
      <alignment wrapText="1"/>
    </xf>
    <xf numFmtId="37" fontId="0" fillId="0" borderId="0" xfId="0" applyAlignment="1">
      <alignment wrapText="1"/>
    </xf>
    <xf numFmtId="37" fontId="9" fillId="0" borderId="0" xfId="0" applyFont="1" applyAlignment="1">
      <alignment wrapText="1"/>
    </xf>
    <xf numFmtId="37" fontId="6" fillId="0" borderId="31" xfId="0" applyFont="1" applyBorder="1" applyAlignment="1">
      <alignment horizontal="center"/>
    </xf>
    <xf numFmtId="37" fontId="6" fillId="0" borderId="33" xfId="0" applyFont="1" applyBorder="1" applyAlignment="1">
      <alignment horizontal="center"/>
    </xf>
    <xf numFmtId="37" fontId="20" fillId="0" borderId="0" xfId="0" applyFont="1" applyAlignment="1">
      <alignment horizontal="center"/>
    </xf>
    <xf numFmtId="37" fontId="6" fillId="0" borderId="30" xfId="0" applyFont="1" applyBorder="1" applyAlignment="1">
      <alignment horizontal="center"/>
    </xf>
    <xf numFmtId="0" fontId="17" fillId="0" borderId="0" xfId="6" applyFont="1" applyFill="1" applyAlignment="1">
      <alignment horizontal="left"/>
    </xf>
    <xf numFmtId="37" fontId="18" fillId="0" borderId="0" xfId="0" applyFont="1" applyAlignment="1">
      <alignment horizontal="left"/>
    </xf>
    <xf numFmtId="170" fontId="69" fillId="0" borderId="25" xfId="0" applyNumberFormat="1" applyFont="1" applyBorder="1" applyAlignment="1">
      <alignment horizontal="center"/>
    </xf>
    <xf numFmtId="170" fontId="69" fillId="0" borderId="13" xfId="0" applyNumberFormat="1" applyFont="1" applyBorder="1" applyAlignment="1">
      <alignment horizontal="center"/>
    </xf>
    <xf numFmtId="170" fontId="69" fillId="0" borderId="23" xfId="0" applyNumberFormat="1" applyFont="1" applyBorder="1" applyAlignment="1">
      <alignment horizontal="center"/>
    </xf>
    <xf numFmtId="170" fontId="27" fillId="0" borderId="0" xfId="0" applyNumberFormat="1" applyFont="1" applyFill="1" applyBorder="1" applyAlignment="1">
      <alignment horizontal="center"/>
    </xf>
    <xf numFmtId="37" fontId="3" fillId="2" borderId="0" xfId="0" applyFont="1" applyFill="1" applyAlignment="1">
      <alignment wrapText="1"/>
    </xf>
    <xf numFmtId="170" fontId="0" fillId="2" borderId="0" xfId="0" applyNumberFormat="1" applyFill="1" applyAlignment="1">
      <alignment wrapText="1"/>
    </xf>
    <xf numFmtId="37" fontId="0" fillId="2" borderId="0" xfId="0" applyFill="1" applyAlignment="1">
      <alignment wrapText="1"/>
    </xf>
    <xf numFmtId="170" fontId="21" fillId="0" borderId="0" xfId="0" applyNumberFormat="1" applyFont="1" applyFill="1" applyAlignment="1">
      <alignment horizontal="center"/>
    </xf>
    <xf numFmtId="170" fontId="64" fillId="5" borderId="25" xfId="0" applyNumberFormat="1" applyFont="1" applyFill="1" applyBorder="1" applyAlignment="1">
      <alignment horizontal="center" wrapText="1"/>
    </xf>
    <xf numFmtId="170" fontId="64" fillId="5" borderId="13" xfId="0" applyNumberFormat="1" applyFont="1" applyFill="1" applyBorder="1" applyAlignment="1">
      <alignment horizontal="center" wrapText="1"/>
    </xf>
    <xf numFmtId="170" fontId="64" fillId="5" borderId="23" xfId="0" applyNumberFormat="1" applyFont="1" applyFill="1" applyBorder="1" applyAlignment="1">
      <alignment horizontal="center" wrapText="1"/>
    </xf>
    <xf numFmtId="170" fontId="51" fillId="0" borderId="7" xfId="0" applyNumberFormat="1" applyFont="1" applyFill="1" applyBorder="1" applyAlignment="1">
      <alignment wrapText="1"/>
    </xf>
    <xf numFmtId="170" fontId="0" fillId="0" borderId="9" xfId="0" applyNumberFormat="1" applyBorder="1" applyAlignment="1">
      <alignment wrapText="1"/>
    </xf>
    <xf numFmtId="170" fontId="29" fillId="0" borderId="0" xfId="0" applyNumberFormat="1" applyFont="1" applyBorder="1" applyAlignment="1">
      <alignment horizontal="center"/>
    </xf>
    <xf numFmtId="170" fontId="64" fillId="6" borderId="25" xfId="0" applyNumberFormat="1" applyFont="1" applyFill="1" applyBorder="1" applyAlignment="1">
      <alignment horizontal="center" wrapText="1"/>
    </xf>
    <xf numFmtId="170" fontId="0" fillId="0" borderId="13" xfId="0" applyNumberFormat="1" applyBorder="1" applyAlignment="1">
      <alignment horizontal="center" wrapText="1"/>
    </xf>
    <xf numFmtId="170" fontId="0" fillId="0" borderId="23" xfId="0" applyNumberFormat="1" applyBorder="1" applyAlignment="1">
      <alignment horizontal="center" wrapText="1"/>
    </xf>
    <xf numFmtId="170" fontId="27" fillId="0" borderId="3" xfId="0" applyNumberFormat="1" applyFont="1" applyFill="1" applyBorder="1" applyAlignment="1">
      <alignment horizontal="center"/>
    </xf>
    <xf numFmtId="37" fontId="3" fillId="0" borderId="0" xfId="0" applyFont="1" applyFill="1" applyAlignment="1">
      <alignment wrapText="1"/>
    </xf>
    <xf numFmtId="170" fontId="6" fillId="0" borderId="25" xfId="0" applyNumberFormat="1" applyFont="1" applyFill="1" applyBorder="1" applyAlignment="1">
      <alignment horizontal="center" wrapText="1"/>
    </xf>
    <xf numFmtId="170" fontId="6" fillId="0" borderId="13" xfId="0" applyNumberFormat="1" applyFont="1" applyFill="1" applyBorder="1" applyAlignment="1">
      <alignment horizontal="center" wrapText="1"/>
    </xf>
    <xf numFmtId="170" fontId="6" fillId="0" borderId="23" xfId="0" applyNumberFormat="1" applyFont="1" applyFill="1" applyBorder="1" applyAlignment="1">
      <alignment horizontal="center" wrapText="1"/>
    </xf>
    <xf numFmtId="170" fontId="21" fillId="0" borderId="0" xfId="0" applyNumberFormat="1" applyFont="1" applyAlignment="1">
      <alignment horizontal="center"/>
    </xf>
    <xf numFmtId="170" fontId="77" fillId="0" borderId="25" xfId="0" applyNumberFormat="1" applyFont="1" applyFill="1" applyBorder="1" applyAlignment="1">
      <alignment horizontal="center" wrapText="1"/>
    </xf>
    <xf numFmtId="170" fontId="77" fillId="0" borderId="13" xfId="0" applyNumberFormat="1" applyFont="1" applyFill="1" applyBorder="1" applyAlignment="1">
      <alignment horizontal="center" wrapText="1"/>
    </xf>
    <xf numFmtId="170" fontId="77" fillId="0" borderId="23" xfId="0" applyNumberFormat="1" applyFont="1" applyFill="1" applyBorder="1" applyAlignment="1">
      <alignment horizontal="center" wrapText="1"/>
    </xf>
    <xf numFmtId="170" fontId="4" fillId="0" borderId="0" xfId="11" applyFont="1" applyFill="1" applyAlignment="1">
      <alignment horizontal="center"/>
    </xf>
    <xf numFmtId="170" fontId="85" fillId="0" borderId="0" xfId="0" applyNumberFormat="1" applyFont="1" applyFill="1" applyAlignment="1">
      <alignment wrapText="1"/>
    </xf>
    <xf numFmtId="0" fontId="6" fillId="0" borderId="0" xfId="6" applyFont="1" applyFill="1" applyAlignment="1">
      <alignment horizontal="center"/>
    </xf>
    <xf numFmtId="0" fontId="5" fillId="0" borderId="0" xfId="6" applyFont="1" applyFill="1" applyAlignment="1">
      <alignment horizontal="center"/>
    </xf>
    <xf numFmtId="170" fontId="17" fillId="0" borderId="0" xfId="11" applyFont="1" applyAlignment="1">
      <alignment horizontal="left"/>
    </xf>
    <xf numFmtId="170" fontId="8" fillId="0" borderId="0" xfId="11" applyFont="1" applyAlignment="1">
      <alignment horizontal="left"/>
    </xf>
    <xf numFmtId="0" fontId="9" fillId="0" borderId="25" xfId="13" applyFont="1" applyBorder="1" applyAlignment="1">
      <alignment horizontal="right"/>
    </xf>
    <xf numFmtId="0" fontId="9" fillId="0" borderId="23" xfId="13" applyFont="1" applyBorder="1" applyAlignment="1">
      <alignment horizontal="right"/>
    </xf>
    <xf numFmtId="0" fontId="17" fillId="0" borderId="0" xfId="0" applyNumberFormat="1" applyFont="1" applyFill="1" applyAlignment="1">
      <alignment horizontal="left"/>
    </xf>
    <xf numFmtId="0" fontId="3" fillId="0" borderId="25" xfId="0" applyNumberFormat="1" applyFont="1" applyBorder="1" applyAlignment="1">
      <alignment horizontal="right"/>
    </xf>
    <xf numFmtId="0" fontId="3" fillId="0" borderId="23" xfId="0" applyNumberFormat="1" applyFont="1" applyBorder="1" applyAlignment="1">
      <alignment horizontal="right"/>
    </xf>
    <xf numFmtId="0" fontId="64" fillId="0" borderId="0" xfId="0" applyNumberFormat="1" applyFont="1" applyBorder="1" applyAlignment="1">
      <alignment horizontal="center"/>
    </xf>
    <xf numFmtId="0" fontId="64" fillId="0" borderId="10" xfId="0" applyNumberFormat="1" applyFont="1" applyBorder="1" applyAlignment="1">
      <alignment horizontal="center"/>
    </xf>
    <xf numFmtId="0" fontId="44" fillId="0" borderId="0" xfId="8" applyFont="1" applyAlignment="1">
      <alignment wrapText="1"/>
    </xf>
    <xf numFmtId="170" fontId="0" fillId="0" borderId="0" xfId="0" applyNumberFormat="1" applyAlignment="1"/>
    <xf numFmtId="0" fontId="9" fillId="0" borderId="0" xfId="8" applyFont="1" applyFill="1" applyAlignment="1">
      <alignment wrapText="1"/>
    </xf>
    <xf numFmtId="37" fontId="9" fillId="0" borderId="0" xfId="0" applyFont="1" applyFill="1" applyAlignment="1">
      <alignment wrapText="1"/>
    </xf>
    <xf numFmtId="37" fontId="54" fillId="0" borderId="0" xfId="0" applyFont="1" applyFill="1" applyAlignment="1">
      <alignment horizontal="center"/>
    </xf>
    <xf numFmtId="170" fontId="95" fillId="0" borderId="0" xfId="0" applyNumberFormat="1" applyFont="1" applyFill="1" applyAlignment="1">
      <alignment horizontal="center"/>
    </xf>
    <xf numFmtId="170" fontId="21" fillId="0" borderId="0" xfId="0" applyNumberFormat="1" applyFont="1" applyFill="1" applyAlignment="1">
      <alignment wrapText="1"/>
    </xf>
    <xf numFmtId="170" fontId="22" fillId="0" borderId="0" xfId="0" applyNumberFormat="1" applyFont="1" applyAlignment="1">
      <alignment wrapText="1"/>
    </xf>
    <xf numFmtId="49" fontId="22" fillId="0" borderId="0" xfId="0" applyNumberFormat="1" applyFont="1" applyAlignment="1">
      <alignment horizontal="center"/>
    </xf>
    <xf numFmtId="170" fontId="32" fillId="0" borderId="0" xfId="0" applyNumberFormat="1" applyFont="1" applyBorder="1" applyAlignment="1"/>
    <xf numFmtId="3" fontId="6" fillId="0" borderId="0" xfId="0" applyNumberFormat="1" applyFont="1" applyAlignment="1">
      <alignment horizontal="center"/>
    </xf>
    <xf numFmtId="10" fontId="4" fillId="0" borderId="1" xfId="0" applyNumberFormat="1" applyFont="1" applyFill="1" applyBorder="1" applyAlignment="1" applyProtection="1">
      <alignment horizontal="right"/>
      <protection locked="0"/>
    </xf>
    <xf numFmtId="170" fontId="11" fillId="0" borderId="0" xfId="0" applyNumberFormat="1" applyFont="1" applyBorder="1" applyAlignment="1">
      <alignment horizontal="center"/>
    </xf>
    <xf numFmtId="170" fontId="4" fillId="0" borderId="1" xfId="0" applyNumberFormat="1" applyFont="1" applyBorder="1" applyAlignment="1">
      <alignment horizontal="center"/>
    </xf>
    <xf numFmtId="0" fontId="4" fillId="0" borderId="0" xfId="0" applyNumberFormat="1" applyFont="1" applyFill="1" applyAlignment="1" applyProtection="1">
      <alignment horizontal="center"/>
      <protection locked="0"/>
    </xf>
    <xf numFmtId="49" fontId="22" fillId="0" borderId="0" xfId="0" applyNumberFormat="1" applyFont="1" applyAlignment="1" applyProtection="1">
      <alignment horizontal="center"/>
      <protection locked="0"/>
    </xf>
    <xf numFmtId="170" fontId="32" fillId="0" borderId="0" xfId="0" applyNumberFormat="1" applyFont="1" applyAlignment="1"/>
    <xf numFmtId="170" fontId="12" fillId="0" borderId="0" xfId="9" applyFont="1" applyFill="1" applyBorder="1" applyAlignment="1">
      <alignment horizontal="center"/>
    </xf>
    <xf numFmtId="3" fontId="20" fillId="0" borderId="0" xfId="0" applyNumberFormat="1" applyFont="1" applyFill="1" applyAlignment="1">
      <alignment horizontal="center"/>
    </xf>
    <xf numFmtId="49" fontId="6" fillId="0" borderId="0" xfId="9" applyNumberFormat="1" applyFont="1" applyAlignment="1" applyProtection="1">
      <alignment horizontal="center"/>
      <protection locked="0"/>
    </xf>
    <xf numFmtId="171" fontId="27" fillId="0" borderId="6" xfId="1" applyNumberFormat="1" applyFont="1" applyFill="1" applyBorder="1" applyAlignment="1">
      <alignment wrapText="1"/>
    </xf>
    <xf numFmtId="170" fontId="0" fillId="0" borderId="3" xfId="0" applyNumberFormat="1" applyBorder="1" applyAlignment="1"/>
    <xf numFmtId="170" fontId="27" fillId="0" borderId="0" xfId="0" quotePrefix="1" applyNumberFormat="1" applyFont="1" applyFill="1" applyAlignment="1">
      <alignment wrapText="1"/>
    </xf>
    <xf numFmtId="170" fontId="27" fillId="0" borderId="0" xfId="0" applyNumberFormat="1" applyFont="1" applyBorder="1" applyAlignment="1">
      <alignment horizontal="center"/>
    </xf>
    <xf numFmtId="170" fontId="35" fillId="0" borderId="3" xfId="0" applyNumberFormat="1" applyFont="1" applyBorder="1" applyAlignment="1">
      <alignment horizontal="center"/>
    </xf>
    <xf numFmtId="170" fontId="35" fillId="0" borderId="3" xfId="0" applyNumberFormat="1" applyFont="1" applyFill="1" applyBorder="1" applyAlignment="1">
      <alignment horizontal="center"/>
    </xf>
    <xf numFmtId="170" fontId="35" fillId="0" borderId="8" xfId="0" applyNumberFormat="1" applyFont="1" applyFill="1" applyBorder="1" applyAlignment="1">
      <alignment horizontal="center"/>
    </xf>
    <xf numFmtId="170" fontId="35" fillId="0" borderId="0" xfId="0" applyNumberFormat="1" applyFont="1" applyAlignment="1">
      <alignment horizontal="center"/>
    </xf>
    <xf numFmtId="170" fontId="35" fillId="0" borderId="10" xfId="0" applyNumberFormat="1" applyFont="1" applyBorder="1" applyAlignment="1">
      <alignment horizontal="center"/>
    </xf>
    <xf numFmtId="171" fontId="27" fillId="0" borderId="0" xfId="1" applyNumberFormat="1" applyFont="1" applyFill="1" applyAlignment="1">
      <alignment wrapText="1"/>
    </xf>
    <xf numFmtId="170" fontId="34" fillId="0" borderId="43" xfId="0" applyNumberFormat="1" applyFont="1" applyBorder="1" applyAlignment="1">
      <alignment horizontal="right"/>
    </xf>
    <xf numFmtId="170" fontId="34" fillId="0" borderId="1" xfId="0" applyNumberFormat="1" applyFont="1" applyBorder="1" applyAlignment="1">
      <alignment horizontal="right"/>
    </xf>
    <xf numFmtId="170" fontId="29" fillId="0" borderId="0" xfId="0" applyNumberFormat="1" applyFont="1" applyFill="1" applyAlignment="1">
      <alignment horizontal="left" vertical="top" wrapText="1"/>
    </xf>
    <xf numFmtId="170" fontId="32" fillId="0" borderId="0" xfId="0" applyNumberFormat="1" applyFont="1" applyFill="1" applyAlignment="1">
      <alignment horizontal="left" vertical="top" wrapText="1"/>
    </xf>
    <xf numFmtId="170" fontId="29" fillId="0" borderId="0" xfId="0" applyNumberFormat="1" applyFont="1" applyFill="1" applyAlignment="1">
      <alignment wrapText="1"/>
    </xf>
    <xf numFmtId="170" fontId="27" fillId="0" borderId="3" xfId="0" applyNumberFormat="1" applyFont="1" applyBorder="1" applyAlignment="1">
      <alignment horizontal="center"/>
    </xf>
  </cellXfs>
  <cellStyles count="16">
    <cellStyle name="Comma" xfId="1" builtinId="3"/>
    <cellStyle name="Comma [0]" xfId="2" builtinId="6"/>
    <cellStyle name="Currency" xfId="3" builtinId="4"/>
    <cellStyle name="Hyperlink" xfId="4" builtinId="8"/>
    <cellStyle name="Normal" xfId="0" builtinId="0"/>
    <cellStyle name="Normal_9712_BS_Review" xfId="5"/>
    <cellStyle name="Normal_ADITAnalysisID090805" xfId="6"/>
    <cellStyle name="Normal_ADITAnalysisID090805_KCPL-GMO Transmission  Formula Rate -11-05-09 Filed -Redline 7-12-10" xfId="7"/>
    <cellStyle name="Normal_Duquesne Settled Fromula 10-3-07" xfId="8"/>
    <cellStyle name="Normal_FN1 Ratebase Draft SPP template (6-11-04) v2" xfId="9"/>
    <cellStyle name="Normal_KCPL Transmission  Formula Rate -11-05-09 Filed -Populated9-23-10a" xfId="10"/>
    <cellStyle name="Normal_KCPL Transmission  Formula Rate 9-11-09ach" xfId="11"/>
    <cellStyle name="Normal_KCPL-GMO Transmission  Formula Rate FY2011" xfId="12"/>
    <cellStyle name="Normal_Long-Term Debt Cost" xfId="13"/>
    <cellStyle name="Normal_Sheet1" xfId="14"/>
    <cellStyle name="Percent" xfId="15" builtinId="5"/>
  </cellStyles>
  <dxfs count="0"/>
  <tableStyles count="0" defaultTableStyle="TableStyleMedium9" defaultPivotStyle="PivotStyleLight16"/>
  <colors>
    <mruColors>
      <color rgb="FF00FFCC"/>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dh7164\Formula%20Rate%20-like%20AEP\FY%202008%20Rate%20Case\Formula%20Versions\KCPL%20Formula%20Rate%207-28-08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 Rates"/>
      <sheetName val="Sch 1 Rates"/>
      <sheetName val="Load WS"/>
      <sheetName val="KCPL Projected TCOS"/>
      <sheetName val="KCPL Historical TCOS-Blank"/>
      <sheetName val="KCPL WsA Rev Credits"/>
      <sheetName val="KCPL WsC RB Tax"/>
      <sheetName val="KCPL WsD Mis"/>
      <sheetName val="KCPL WsE Exp Adj"/>
      <sheetName val="KCPL WsF Inc Prjts"/>
      <sheetName val="KCPL WsG BPU"/>
      <sheetName val="KCPL WsH Bdgt RB"/>
      <sheetName val="KCPL WsI Bal Sheet"/>
      <sheetName val="KCPL WsJ Tax"/>
      <sheetName val="KCPL WsK CWIP"/>
      <sheetName val="KCPL WsL Transferred Assets"/>
      <sheetName val="KCPL WsM Supplies "/>
      <sheetName val="KCPL WsN Taxes Other"/>
    </sheetNames>
    <sheetDataSet>
      <sheetData sheetId="0" refreshError="1"/>
      <sheetData sheetId="1" refreshError="1"/>
      <sheetData sheetId="2" refreshError="1"/>
      <sheetData sheetId="3" refreshError="1"/>
      <sheetData sheetId="4">
        <row r="318">
          <cell r="I318" t="str">
            <v>CE</v>
          </cell>
          <cell r="J318">
            <v>2.7530929214923783E-2</v>
          </cell>
        </row>
        <row r="319">
          <cell r="I319" t="str">
            <v>DA</v>
          </cell>
          <cell r="J319">
            <v>1</v>
          </cell>
        </row>
        <row r="320">
          <cell r="I320" t="str">
            <v>GP(h)</v>
          </cell>
          <cell r="J320">
            <v>1</v>
          </cell>
        </row>
        <row r="321">
          <cell r="I321" t="str">
            <v>GP(p)</v>
          </cell>
          <cell r="J321">
            <v>6.0947689201491032E-2</v>
          </cell>
        </row>
        <row r="322">
          <cell r="I322" t="str">
            <v>GTD(p)</v>
          </cell>
          <cell r="J322">
            <v>0.17137573807796536</v>
          </cell>
        </row>
        <row r="323">
          <cell r="I323" t="str">
            <v>GTD(h)</v>
          </cell>
          <cell r="J323">
            <v>1</v>
          </cell>
        </row>
        <row r="324">
          <cell r="I324" t="str">
            <v>NA</v>
          </cell>
          <cell r="J324">
            <v>0</v>
          </cell>
        </row>
        <row r="325">
          <cell r="I325" t="str">
            <v>NP(h)</v>
          </cell>
          <cell r="J325">
            <v>1.0101010101010102</v>
          </cell>
        </row>
        <row r="326">
          <cell r="I326" t="str">
            <v>NP(p)</v>
          </cell>
          <cell r="J326">
            <v>7.1133123566087225E-2</v>
          </cell>
        </row>
        <row r="327">
          <cell r="I327" t="str">
            <v>TP</v>
          </cell>
          <cell r="J327">
            <v>0.79014875555602415</v>
          </cell>
        </row>
        <row r="328">
          <cell r="I328" t="str">
            <v>TP1</v>
          </cell>
          <cell r="J328">
            <v>1</v>
          </cell>
        </row>
        <row r="329">
          <cell r="I329" t="str">
            <v>W/S</v>
          </cell>
          <cell r="J329">
            <v>2.7530929214923783E-2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68"/>
  <sheetViews>
    <sheetView tabSelected="1" view="pageBreakPreview" zoomScale="75" zoomScaleNormal="85" zoomScaleSheetLayoutView="75" workbookViewId="0">
      <selection activeCell="B48" sqref="B48"/>
    </sheetView>
  </sheetViews>
  <sheetFormatPr defaultRowHeight="15"/>
  <cols>
    <col min="1" max="1" width="7.109375" customWidth="1"/>
    <col min="2" max="2" width="27.21875" customWidth="1"/>
    <col min="3" max="3" width="7.109375" customWidth="1"/>
    <col min="4" max="4" width="70.21875" customWidth="1"/>
    <col min="5" max="5" width="18.6640625" customWidth="1"/>
  </cols>
  <sheetData>
    <row r="1" spans="1:5" ht="20.25">
      <c r="A1" s="1421" t="s">
        <v>66</v>
      </c>
      <c r="E1" s="2087" t="s">
        <v>1857</v>
      </c>
    </row>
    <row r="2" spans="1:5" ht="20.25">
      <c r="A2" s="114" t="s">
        <v>469</v>
      </c>
      <c r="E2" s="2102"/>
    </row>
    <row r="3" spans="1:5" ht="15.75">
      <c r="A3" s="74"/>
      <c r="E3" s="1329"/>
    </row>
    <row r="4" spans="1:5" ht="20.25">
      <c r="A4" s="114" t="s">
        <v>1229</v>
      </c>
    </row>
    <row r="5" spans="1:5" ht="15.75">
      <c r="A5" s="74"/>
    </row>
    <row r="6" spans="1:5" ht="15.75">
      <c r="A6" s="742" t="s">
        <v>1757</v>
      </c>
      <c r="B6" s="77"/>
      <c r="C6" s="77"/>
      <c r="D6" s="77"/>
      <c r="E6" s="77"/>
    </row>
    <row r="7" spans="1:5" ht="47.25" customHeight="1">
      <c r="A7" s="2132" t="s">
        <v>753</v>
      </c>
      <c r="B7" s="2133"/>
      <c r="C7" s="2133"/>
      <c r="D7" s="2133"/>
      <c r="E7" s="2133"/>
    </row>
    <row r="8" spans="1:5">
      <c r="A8" s="77"/>
      <c r="B8" s="1635"/>
      <c r="C8" s="1635"/>
      <c r="D8" s="1635"/>
      <c r="E8" s="1635"/>
    </row>
    <row r="9" spans="1:5" ht="33.75" customHeight="1">
      <c r="A9" s="2132" t="s">
        <v>754</v>
      </c>
      <c r="B9" s="2133"/>
      <c r="C9" s="2133"/>
      <c r="D9" s="2133"/>
      <c r="E9" s="2133"/>
    </row>
    <row r="10" spans="1:5" ht="15.75">
      <c r="A10" s="77"/>
      <c r="B10" s="742"/>
      <c r="C10" s="77"/>
      <c r="D10" s="77"/>
      <c r="E10" s="77"/>
    </row>
    <row r="11" spans="1:5" ht="117.75" customHeight="1">
      <c r="A11" s="2132" t="s">
        <v>790</v>
      </c>
      <c r="B11" s="2133"/>
      <c r="C11" s="2133"/>
      <c r="D11" s="2133"/>
      <c r="E11" s="2133"/>
    </row>
    <row r="12" spans="1:5" ht="50.25" customHeight="1">
      <c r="A12" s="77"/>
      <c r="B12" s="77"/>
      <c r="C12" s="2131" t="s">
        <v>250</v>
      </c>
      <c r="D12" s="2131"/>
      <c r="E12" s="2131"/>
    </row>
    <row r="13" spans="1:5" ht="15.75">
      <c r="A13" s="1636" t="s">
        <v>784</v>
      </c>
      <c r="B13" s="77"/>
      <c r="C13" s="77"/>
      <c r="D13" s="77"/>
      <c r="E13" s="77"/>
    </row>
    <row r="14" spans="1:5" ht="16.5" thickBot="1">
      <c r="A14" s="419" t="s">
        <v>551</v>
      </c>
      <c r="B14" s="1637" t="s">
        <v>251</v>
      </c>
      <c r="C14" s="1638"/>
      <c r="D14" s="419" t="s">
        <v>1633</v>
      </c>
      <c r="E14" s="1638"/>
    </row>
    <row r="15" spans="1:5" s="77" customFormat="1">
      <c r="B15" s="602"/>
    </row>
    <row r="16" spans="1:5" s="77" customFormat="1" ht="15.75">
      <c r="A16" s="1639">
        <v>2</v>
      </c>
      <c r="B16" s="142" t="s">
        <v>970</v>
      </c>
      <c r="C16" s="695"/>
      <c r="D16" s="546" t="s">
        <v>111</v>
      </c>
      <c r="E16" s="1640"/>
    </row>
    <row r="17" spans="1:5" s="77" customFormat="1">
      <c r="A17" s="1993"/>
      <c r="B17" s="602"/>
      <c r="D17" s="546"/>
    </row>
    <row r="18" spans="1:5" s="77" customFormat="1" ht="15.75">
      <c r="A18" s="1639">
        <v>3</v>
      </c>
      <c r="B18" s="142" t="s">
        <v>1231</v>
      </c>
      <c r="D18" s="546" t="s">
        <v>1153</v>
      </c>
      <c r="E18" s="1640"/>
    </row>
    <row r="19" spans="1:5" s="77" customFormat="1">
      <c r="A19" s="1993"/>
      <c r="B19" s="602"/>
      <c r="D19" s="546"/>
    </row>
    <row r="20" spans="1:5" s="77" customFormat="1" ht="15.75">
      <c r="A20" s="1641" t="s">
        <v>1659</v>
      </c>
      <c r="B20" s="142" t="s">
        <v>1232</v>
      </c>
      <c r="D20" s="546" t="s">
        <v>1087</v>
      </c>
      <c r="E20" s="1640"/>
    </row>
    <row r="21" spans="1:5" s="77" customFormat="1">
      <c r="A21" s="1993"/>
      <c r="B21" s="142"/>
      <c r="D21" s="546"/>
      <c r="E21" s="1640"/>
    </row>
    <row r="22" spans="1:5" s="77" customFormat="1" ht="15.75">
      <c r="A22" s="1639">
        <v>9</v>
      </c>
      <c r="B22" s="142" t="s">
        <v>1564</v>
      </c>
      <c r="D22" s="546" t="s">
        <v>252</v>
      </c>
      <c r="E22" s="1640"/>
    </row>
    <row r="23" spans="1:5" s="77" customFormat="1">
      <c r="A23" s="1993"/>
      <c r="B23" s="602"/>
      <c r="D23" s="546"/>
    </row>
    <row r="24" spans="1:5" s="77" customFormat="1" ht="15.75">
      <c r="A24" s="1641" t="s">
        <v>706</v>
      </c>
      <c r="B24" s="142" t="s">
        <v>875</v>
      </c>
      <c r="D24" s="546" t="s">
        <v>338</v>
      </c>
      <c r="E24" s="1640"/>
    </row>
    <row r="25" spans="1:5" s="77" customFormat="1">
      <c r="A25" s="1993"/>
      <c r="B25" s="602"/>
      <c r="D25" s="546"/>
    </row>
    <row r="26" spans="1:5" s="77" customFormat="1" ht="15.75">
      <c r="A26" s="1639">
        <v>11</v>
      </c>
      <c r="B26" s="142" t="s">
        <v>1376</v>
      </c>
      <c r="D26" s="546" t="s">
        <v>253</v>
      </c>
      <c r="E26" s="1640"/>
    </row>
    <row r="27" spans="1:5" s="77" customFormat="1">
      <c r="A27" s="1993"/>
      <c r="B27" s="602"/>
      <c r="D27" s="546"/>
    </row>
    <row r="28" spans="1:5" s="77" customFormat="1" ht="15.75">
      <c r="A28" s="1641" t="s">
        <v>707</v>
      </c>
      <c r="B28" s="142" t="s">
        <v>1377</v>
      </c>
      <c r="D28" s="546" t="s">
        <v>1606</v>
      </c>
      <c r="E28" s="1640"/>
    </row>
    <row r="29" spans="1:5" s="77" customFormat="1">
      <c r="A29" s="1993"/>
      <c r="B29" s="602"/>
      <c r="D29" s="546"/>
    </row>
    <row r="30" spans="1:5" s="77" customFormat="1" ht="15.75">
      <c r="A30" s="1639" t="s">
        <v>757</v>
      </c>
      <c r="B30" s="142" t="s">
        <v>1731</v>
      </c>
      <c r="D30" s="546" t="s">
        <v>254</v>
      </c>
      <c r="E30" s="1640"/>
    </row>
    <row r="31" spans="1:5" s="77" customFormat="1">
      <c r="A31" s="1993"/>
      <c r="B31" s="142"/>
      <c r="D31" s="546"/>
      <c r="E31" s="1640"/>
    </row>
    <row r="32" spans="1:5" s="77" customFormat="1" ht="15.75">
      <c r="A32" s="1639" t="s">
        <v>758</v>
      </c>
      <c r="B32" s="142" t="s">
        <v>1732</v>
      </c>
      <c r="D32" s="546" t="s">
        <v>255</v>
      </c>
      <c r="E32" s="1640"/>
    </row>
    <row r="33" spans="1:5" s="77" customFormat="1">
      <c r="A33" s="1993"/>
      <c r="B33" s="142"/>
      <c r="D33" s="546"/>
      <c r="E33" s="1640"/>
    </row>
    <row r="34" spans="1:5" s="77" customFormat="1" ht="15.75">
      <c r="A34" s="1639">
        <v>19</v>
      </c>
      <c r="B34" s="142" t="s">
        <v>1733</v>
      </c>
      <c r="D34" s="546" t="s">
        <v>256</v>
      </c>
      <c r="E34" s="1640"/>
    </row>
    <row r="35" spans="1:5" s="77" customFormat="1">
      <c r="A35" s="1993"/>
      <c r="B35" s="602"/>
      <c r="D35" s="546"/>
    </row>
    <row r="36" spans="1:5" s="77" customFormat="1" ht="15.75">
      <c r="A36" s="1329" t="s">
        <v>759</v>
      </c>
      <c r="B36" s="142" t="s">
        <v>1734</v>
      </c>
      <c r="D36" s="546" t="s">
        <v>257</v>
      </c>
      <c r="E36" s="1640"/>
    </row>
    <row r="37" spans="1:5" s="77" customFormat="1">
      <c r="A37" s="1993"/>
      <c r="B37" s="142"/>
      <c r="D37" s="546"/>
      <c r="E37" s="1640"/>
    </row>
    <row r="38" spans="1:5" s="77" customFormat="1" ht="15.75">
      <c r="A38" s="1639">
        <v>26</v>
      </c>
      <c r="B38" s="1253" t="s">
        <v>1050</v>
      </c>
      <c r="D38" s="546" t="s">
        <v>1638</v>
      </c>
      <c r="E38" s="1640"/>
    </row>
    <row r="39" spans="1:5" s="77" customFormat="1">
      <c r="A39" s="1993"/>
      <c r="B39" s="602"/>
      <c r="D39" s="546"/>
    </row>
    <row r="40" spans="1:5" s="77" customFormat="1" ht="15.75">
      <c r="A40" s="1329" t="s">
        <v>760</v>
      </c>
      <c r="B40" s="142" t="s">
        <v>1051</v>
      </c>
      <c r="D40" s="546" t="s">
        <v>1639</v>
      </c>
      <c r="E40" s="1640"/>
    </row>
    <row r="41" spans="1:5" s="77" customFormat="1">
      <c r="A41" s="1993"/>
      <c r="B41" s="142"/>
      <c r="D41" s="546"/>
      <c r="E41" s="1640"/>
    </row>
    <row r="42" spans="1:5" s="77" customFormat="1" ht="15.75">
      <c r="A42" s="1639">
        <v>34</v>
      </c>
      <c r="B42" s="1253" t="s">
        <v>593</v>
      </c>
      <c r="D42" s="546" t="s">
        <v>594</v>
      </c>
      <c r="E42" s="1640"/>
    </row>
    <row r="43" spans="1:5" s="77" customFormat="1">
      <c r="A43" s="602"/>
      <c r="B43" s="142"/>
      <c r="D43" s="546"/>
      <c r="E43" s="1640"/>
    </row>
    <row r="44" spans="1:5" s="77" customFormat="1" ht="15.75">
      <c r="A44" s="1329" t="s">
        <v>761</v>
      </c>
      <c r="B44" s="142" t="s">
        <v>1637</v>
      </c>
      <c r="D44" s="546" t="s">
        <v>1093</v>
      </c>
      <c r="E44" s="1640"/>
    </row>
    <row r="45" spans="1:5" s="77" customFormat="1">
      <c r="A45" s="602"/>
      <c r="B45" s="142"/>
      <c r="D45" s="546"/>
      <c r="E45" s="1640"/>
    </row>
    <row r="46" spans="1:5" s="77" customFormat="1" ht="15.75">
      <c r="A46" s="1329" t="s">
        <v>762</v>
      </c>
      <c r="B46" s="142" t="s">
        <v>965</v>
      </c>
      <c r="D46" s="546" t="s">
        <v>1094</v>
      </c>
      <c r="E46" s="1640"/>
    </row>
    <row r="47" spans="1:5" s="77" customFormat="1">
      <c r="A47" s="602"/>
      <c r="B47" s="602"/>
      <c r="D47" s="546"/>
    </row>
    <row r="48" spans="1:5" s="77" customFormat="1" ht="15.75">
      <c r="A48" s="1329" t="s">
        <v>763</v>
      </c>
      <c r="B48" s="1253" t="s">
        <v>1195</v>
      </c>
      <c r="C48" s="695"/>
      <c r="D48" s="546" t="s">
        <v>1095</v>
      </c>
      <c r="E48" s="1640"/>
    </row>
    <row r="49" spans="1:5" s="77" customFormat="1">
      <c r="A49" s="602"/>
      <c r="B49" s="602"/>
      <c r="C49" s="695"/>
      <c r="D49" s="546"/>
    </row>
    <row r="50" spans="1:5" s="77" customFormat="1" ht="15.75">
      <c r="A50" s="1329" t="s">
        <v>764</v>
      </c>
      <c r="B50" s="1253" t="s">
        <v>591</v>
      </c>
      <c r="C50" s="695"/>
      <c r="D50" s="546" t="s">
        <v>1667</v>
      </c>
      <c r="E50" s="1640"/>
    </row>
    <row r="51" spans="1:5" s="77" customFormat="1">
      <c r="A51" s="602"/>
      <c r="B51" s="602"/>
      <c r="C51" s="695"/>
      <c r="D51" s="546"/>
    </row>
    <row r="52" spans="1:5" s="77" customFormat="1" ht="15.75">
      <c r="A52" s="2076">
        <v>51</v>
      </c>
      <c r="B52" s="142" t="s">
        <v>340</v>
      </c>
      <c r="C52" s="695"/>
      <c r="D52" s="546" t="s">
        <v>1023</v>
      </c>
      <c r="E52" s="1640"/>
    </row>
    <row r="53" spans="1:5" s="77" customFormat="1">
      <c r="A53" s="602"/>
      <c r="B53" s="602"/>
      <c r="C53" s="695"/>
      <c r="D53" s="546"/>
    </row>
    <row r="54" spans="1:5" s="77" customFormat="1" ht="15.75">
      <c r="A54" s="1329" t="s">
        <v>765</v>
      </c>
      <c r="B54" s="142" t="s">
        <v>1556</v>
      </c>
      <c r="C54" s="695"/>
      <c r="D54" s="546" t="s">
        <v>1024</v>
      </c>
      <c r="E54" s="1640"/>
    </row>
    <row r="55" spans="1:5" s="77" customFormat="1">
      <c r="A55" s="602"/>
      <c r="B55" s="602"/>
      <c r="C55" s="695"/>
      <c r="D55" s="546"/>
    </row>
    <row r="56" spans="1:5" s="77" customFormat="1" ht="15.75">
      <c r="A56" s="1639">
        <v>57</v>
      </c>
      <c r="B56" s="142" t="s">
        <v>1091</v>
      </c>
      <c r="C56" s="602"/>
      <c r="D56" s="546" t="s">
        <v>1668</v>
      </c>
      <c r="E56" s="1640"/>
    </row>
    <row r="57" spans="1:5" s="77" customFormat="1">
      <c r="A57" s="602"/>
      <c r="B57" s="602"/>
      <c r="C57" s="695"/>
      <c r="D57" s="546"/>
    </row>
    <row r="58" spans="1:5" s="77" customFormat="1" ht="15.75">
      <c r="A58" s="1329" t="s">
        <v>766</v>
      </c>
      <c r="B58" s="142" t="s">
        <v>871</v>
      </c>
      <c r="C58" s="695"/>
      <c r="D58" s="546" t="s">
        <v>1669</v>
      </c>
      <c r="E58" s="1640"/>
    </row>
    <row r="59" spans="1:5" s="77" customFormat="1">
      <c r="A59" s="602"/>
      <c r="B59" s="602"/>
      <c r="C59" s="695"/>
      <c r="D59" s="546"/>
    </row>
    <row r="60" spans="1:5" s="77" customFormat="1" ht="15.75">
      <c r="A60" s="1639">
        <v>62</v>
      </c>
      <c r="B60" s="142" t="s">
        <v>872</v>
      </c>
      <c r="C60" s="695"/>
      <c r="D60" s="546" t="s">
        <v>223</v>
      </c>
      <c r="E60" s="1640"/>
    </row>
    <row r="61" spans="1:5" s="77" customFormat="1">
      <c r="A61" s="602"/>
      <c r="B61" s="602"/>
      <c r="C61" s="695"/>
      <c r="D61" s="546"/>
    </row>
    <row r="62" spans="1:5" s="77" customFormat="1" ht="15.75">
      <c r="A62" s="1639">
        <v>63</v>
      </c>
      <c r="B62" s="142" t="s">
        <v>873</v>
      </c>
      <c r="C62" s="695"/>
      <c r="D62" s="546" t="s">
        <v>1670</v>
      </c>
      <c r="E62" s="1640"/>
    </row>
    <row r="63" spans="1:5" s="77" customFormat="1">
      <c r="A63" s="602"/>
      <c r="B63" s="602"/>
      <c r="C63" s="695"/>
      <c r="D63" s="546"/>
    </row>
    <row r="64" spans="1:5" s="77" customFormat="1" ht="15.75">
      <c r="A64" s="1329" t="s">
        <v>767</v>
      </c>
      <c r="B64" s="142" t="s">
        <v>1618</v>
      </c>
      <c r="C64" s="695"/>
      <c r="D64" s="546" t="s">
        <v>1671</v>
      </c>
      <c r="E64" s="1640"/>
    </row>
    <row r="65" spans="1:5" s="77" customFormat="1">
      <c r="A65" s="602"/>
      <c r="B65" s="602"/>
      <c r="C65" s="695"/>
      <c r="D65" s="546"/>
    </row>
    <row r="66" spans="1:5" s="77" customFormat="1" ht="15.75">
      <c r="A66" s="1639">
        <v>68</v>
      </c>
      <c r="B66" s="142" t="s">
        <v>874</v>
      </c>
      <c r="C66" s="695"/>
      <c r="D66" s="546" t="s">
        <v>1672</v>
      </c>
      <c r="E66" s="1640"/>
    </row>
    <row r="67" spans="1:5">
      <c r="B67" s="537"/>
      <c r="C67" s="1405"/>
    </row>
    <row r="68" spans="1:5">
      <c r="B68" s="537"/>
    </row>
  </sheetData>
  <customSheetViews>
    <customSheetView guid="{FAA8FFD9-C96B-4A1B-8B9E-B863FD90DDBA}" scale="85" fitToPage="1" showRuler="0">
      <selection activeCell="A19" sqref="A19"/>
      <pageMargins left="0.75" right="0.75" top="1" bottom="1" header="0.5" footer="0.5"/>
      <pageSetup scale="45" orientation="portrait" r:id="rId1"/>
      <headerFooter alignWithMargins="0"/>
    </customSheetView>
  </customSheetViews>
  <mergeCells count="4">
    <mergeCell ref="C12:E12"/>
    <mergeCell ref="A7:E7"/>
    <mergeCell ref="A9:E9"/>
    <mergeCell ref="A11:E11"/>
  </mergeCells>
  <phoneticPr fontId="28" type="noConversion"/>
  <hyperlinks>
    <hyperlink ref="B18" location="'Actual Net Rev Req'!A1" display="Actual Net Rev Req"/>
    <hyperlink ref="B20" location="'Actual Gross Rev Req'!A1" display="Actual Gross Rev Req"/>
    <hyperlink ref="B24" location="'A-1 (Act. Rev Credit) '!A1" display="A-1 (Act. Rev. Credits)"/>
    <hyperlink ref="B26" location="'A-2 (Act. Divisor) '!A1" display="A-2 (Act. Divisor)"/>
    <hyperlink ref="B28" location="'A-3 ( Act. ADIT)'!A1" display="A-3 (Act  ADIT)"/>
    <hyperlink ref="B30" location="'A-4 (Act. Excluded Assets) '!A1" display="A-4 (Act. Excluded Assets)"/>
    <hyperlink ref="B36" location="'A-7 (Act. RTO Directed Proj)'!A1" display="A-9 (Act. RTO Directed Projects) "/>
    <hyperlink ref="B52" location="'Projected Net Rev Req'!A1" display="Projected Net Rev Req"/>
    <hyperlink ref="B54" location="'Projected Gross Rev Req'!A1" display="Projected Gross Rev Req"/>
    <hyperlink ref="B58" location="'P-1 (Trans Plant)'!A1" display="Worksheet P-1"/>
    <hyperlink ref="B60" location="'P-2 (Exp. &amp; Rev. Credits)'!A1" display="Worksheet P-2"/>
    <hyperlink ref="B62" location="'P-3 (Trans. Network Load)'!A1" display="Worksheet P-3"/>
    <hyperlink ref="B46" location="'TU (True-up)'!A1" display="Worksheet TU"/>
    <hyperlink ref="B48" location="'RTO Project Smry'!A1" display="'RTO Project Smry'!A1"/>
    <hyperlink ref="B64" location="'P-4 (Proj. RTO Directed)'!A1" display="P-4 (Proj. RTO Projects)"/>
    <hyperlink ref="B66" location="'P-5 (Sponsored Projects) '!A1" display="P-5 (Econ. Projects)'"/>
    <hyperlink ref="B40" location="'A-9 (Act. Incentive Projects)'!A1" display="A-11 (Act. Incentive Plant)"/>
    <hyperlink ref="B38" location="'A-8 (Act. Sponsor) '!A1" display="A-10 (Act. Sponsored Projects)"/>
    <hyperlink ref="B34" location="'A-6 (Act Taxes Other)'!A1" display="A-6 (Act. Taxes Other Than Income Taxes)"/>
    <hyperlink ref="B50" location="'Spon Project Smry'!A1" display="'Spon Project Smry'!A1"/>
    <hyperlink ref="B22" location="'Actual Sch 1 Rev Req'!A1" display="Actual Sch 1 Rev Req"/>
    <hyperlink ref="B32" location="'A-5 (Act Depreciation Rate)'!A1" display="A-5 (Act. Depreciation Rate)"/>
    <hyperlink ref="B42" location="'A-10 (Act. A&amp;G)'!A1" display="'A-10 (Act. A&amp;G)'!A1"/>
    <hyperlink ref="B56" location="'Projected Schedule 1 Rev Req'!A1" display="Projected Schedule 1 Rev Req"/>
    <hyperlink ref="B16" location="Summary!A1" display="Summary"/>
    <hyperlink ref="B44" location="'A-11 (Act 13 Mo &amp; BOY-EOY Aver)'!A1" display="A-11 (Act. 13-Mo &amp; BOY and EOY Aver.)"/>
  </hyperlinks>
  <printOptions horizontalCentered="1" gridLines="1"/>
  <pageMargins left="0.5" right="0.5" top="0.5" bottom="0.5" header="0" footer="0"/>
  <pageSetup scale="60"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theme="5" tint="0.79998168889431442"/>
  </sheetPr>
  <dimension ref="A1:S118"/>
  <sheetViews>
    <sheetView topLeftCell="A10" zoomScaleNormal="100" zoomScaleSheetLayoutView="100" workbookViewId="0">
      <selection activeCell="B56" sqref="B56"/>
    </sheetView>
  </sheetViews>
  <sheetFormatPr defaultRowHeight="15"/>
  <cols>
    <col min="1" max="1" width="4" style="485" customWidth="1"/>
    <col min="2" max="2" width="1.88671875" style="485" customWidth="1"/>
    <col min="3" max="3" width="20.88671875" style="485" customWidth="1"/>
    <col min="4" max="4" width="1.21875" style="485" customWidth="1"/>
    <col min="5" max="5" width="10.6640625" style="29" customWidth="1"/>
    <col min="6" max="6" width="10.88671875" style="29" customWidth="1"/>
    <col min="7" max="7" width="11.88671875" style="494" customWidth="1"/>
    <col min="8" max="8" width="11.5546875" style="494" customWidth="1"/>
    <col min="9" max="10" width="10" style="494" customWidth="1"/>
    <col min="11" max="18" width="10" style="485" customWidth="1"/>
    <col min="19" max="19" width="9.21875" style="485" bestFit="1" customWidth="1"/>
    <col min="20" max="20" width="13.44140625" style="485" bestFit="1" customWidth="1"/>
    <col min="21" max="16384" width="8.88671875" style="485"/>
  </cols>
  <sheetData>
    <row r="1" spans="1:15" ht="20.25">
      <c r="B1" s="1213" t="s">
        <v>1432</v>
      </c>
      <c r="G1" s="2189"/>
      <c r="H1" s="2189"/>
    </row>
    <row r="2" spans="1:15" ht="18" customHeight="1">
      <c r="A2"/>
      <c r="B2" s="1213"/>
      <c r="C2"/>
      <c r="D2"/>
      <c r="N2" s="2193" t="s">
        <v>162</v>
      </c>
      <c r="O2" s="2193"/>
    </row>
    <row r="3" spans="1:15" ht="20.25">
      <c r="A3" s="2191" t="s">
        <v>67</v>
      </c>
      <c r="B3" s="2191"/>
      <c r="C3" s="2191"/>
      <c r="D3" s="2191"/>
      <c r="E3" s="2191"/>
      <c r="F3" s="2191"/>
      <c r="G3" s="2191"/>
      <c r="H3" s="2191"/>
      <c r="J3" s="60"/>
      <c r="N3" s="2190" t="s">
        <v>770</v>
      </c>
      <c r="O3" s="2190"/>
    </row>
    <row r="4" spans="1:15" ht="16.5" customHeight="1">
      <c r="A4" s="2192" t="s">
        <v>1310</v>
      </c>
      <c r="B4" s="2192"/>
      <c r="C4" s="2192"/>
      <c r="D4" s="2192"/>
      <c r="E4" s="2192"/>
      <c r="F4" s="2192"/>
      <c r="G4" s="2192"/>
      <c r="H4" s="2192"/>
      <c r="I4" s="278"/>
    </row>
    <row r="5" spans="1:15" ht="15.75" customHeight="1">
      <c r="A5" s="2196" t="s">
        <v>1849</v>
      </c>
      <c r="B5" s="2197"/>
      <c r="C5" s="2197"/>
      <c r="D5" s="2197"/>
      <c r="E5" s="2197"/>
      <c r="F5" s="2197"/>
      <c r="G5" s="2197"/>
      <c r="H5" s="2197"/>
      <c r="I5" s="758"/>
    </row>
    <row r="6" spans="1:15" ht="24">
      <c r="A6" s="1585" t="s">
        <v>1388</v>
      </c>
      <c r="G6" s="29"/>
      <c r="H6" s="1608"/>
      <c r="I6" s="499"/>
      <c r="J6" s="500"/>
    </row>
    <row r="7" spans="1:15" ht="15.75">
      <c r="A7" s="1741">
        <v>1</v>
      </c>
      <c r="F7" s="2198" t="s">
        <v>1416</v>
      </c>
      <c r="G7" s="2198"/>
      <c r="H7" s="2198"/>
      <c r="I7" s="499"/>
      <c r="J7" s="500"/>
    </row>
    <row r="8" spans="1:15" ht="15.75">
      <c r="A8" s="1741">
        <f t="shared" ref="A8:A36" si="0">A7+1</f>
        <v>2</v>
      </c>
      <c r="B8" s="706"/>
      <c r="C8" s="713"/>
      <c r="F8" s="495" t="s">
        <v>1759</v>
      </c>
      <c r="G8" s="495" t="s">
        <v>1760</v>
      </c>
      <c r="H8" s="495" t="s">
        <v>691</v>
      </c>
      <c r="I8" s="759"/>
      <c r="J8" s="500"/>
    </row>
    <row r="9" spans="1:15" ht="15.75">
      <c r="A9" s="1741">
        <f t="shared" si="0"/>
        <v>3</v>
      </c>
      <c r="B9" s="1565" t="s">
        <v>1758</v>
      </c>
      <c r="C9" s="706"/>
      <c r="F9" s="1609"/>
      <c r="G9" s="1609"/>
      <c r="H9" s="1609"/>
      <c r="I9" s="499"/>
      <c r="J9" s="500"/>
      <c r="K9" s="82"/>
    </row>
    <row r="10" spans="1:15" ht="15.75">
      <c r="A10" s="1741">
        <f t="shared" si="0"/>
        <v>4</v>
      </c>
      <c r="B10" s="706"/>
      <c r="C10" s="1576" t="s">
        <v>11</v>
      </c>
      <c r="F10" s="1610"/>
      <c r="G10" s="1610"/>
      <c r="H10" s="1610"/>
      <c r="I10" s="499"/>
      <c r="J10" s="500"/>
      <c r="K10" s="82"/>
    </row>
    <row r="11" spans="1:15" ht="15.75">
      <c r="A11" s="1741">
        <f t="shared" si="0"/>
        <v>5</v>
      </c>
      <c r="B11" s="706"/>
      <c r="C11" s="1394" t="s">
        <v>79</v>
      </c>
      <c r="F11" s="1611">
        <f>R44</f>
        <v>2904272</v>
      </c>
      <c r="G11" s="1611">
        <f>R71</f>
        <v>1875991</v>
      </c>
      <c r="H11" s="1611">
        <f>F11-G11</f>
        <v>1028281</v>
      </c>
      <c r="I11" s="682"/>
      <c r="J11" s="500"/>
      <c r="K11" s="82"/>
    </row>
    <row r="12" spans="1:15" ht="15.75">
      <c r="A12" s="1741">
        <f t="shared" si="0"/>
        <v>6</v>
      </c>
      <c r="B12" s="706"/>
      <c r="C12" s="1394"/>
      <c r="F12" s="1612">
        <f>R45</f>
        <v>0</v>
      </c>
      <c r="G12" s="1612">
        <f>R72</f>
        <v>0</v>
      </c>
      <c r="H12" s="1612">
        <f>F12-G12</f>
        <v>0</v>
      </c>
      <c r="I12" s="614"/>
      <c r="J12" s="500"/>
      <c r="K12" s="82"/>
    </row>
    <row r="13" spans="1:15">
      <c r="A13" s="1741">
        <f t="shared" si="0"/>
        <v>7</v>
      </c>
      <c r="B13" s="706"/>
      <c r="C13" s="716" t="s">
        <v>1440</v>
      </c>
      <c r="F13" s="1613">
        <f>SUM(F11:F12)</f>
        <v>2904272</v>
      </c>
      <c r="G13" s="1613">
        <f>SUM(G11:G12)</f>
        <v>1875991</v>
      </c>
      <c r="H13" s="1613">
        <f>SUM(H11:H12)</f>
        <v>1028281</v>
      </c>
      <c r="I13" s="685"/>
      <c r="J13" s="500"/>
      <c r="K13" s="82"/>
    </row>
    <row r="14" spans="1:15">
      <c r="A14" s="1741">
        <f t="shared" si="0"/>
        <v>8</v>
      </c>
      <c r="B14" s="706"/>
      <c r="C14" s="706"/>
      <c r="F14" s="1614"/>
      <c r="G14" s="1615"/>
      <c r="H14" s="1615"/>
      <c r="I14" s="683"/>
      <c r="J14" s="500"/>
      <c r="K14" s="82"/>
    </row>
    <row r="15" spans="1:15" ht="15.75">
      <c r="A15" s="1741">
        <f t="shared" si="0"/>
        <v>9</v>
      </c>
      <c r="B15" s="1577" t="s">
        <v>1311</v>
      </c>
      <c r="C15" s="1578"/>
      <c r="D15" s="1428"/>
      <c r="F15" s="1566"/>
      <c r="G15" s="1567"/>
      <c r="H15" s="1616"/>
      <c r="I15" s="684"/>
      <c r="J15" s="500"/>
      <c r="K15" s="82"/>
    </row>
    <row r="16" spans="1:15" ht="15.75">
      <c r="A16" s="1741">
        <f t="shared" si="0"/>
        <v>10</v>
      </c>
      <c r="B16" s="706"/>
      <c r="C16" s="1579" t="s">
        <v>497</v>
      </c>
      <c r="D16" s="588"/>
      <c r="F16" s="1617"/>
      <c r="G16" s="1568"/>
      <c r="H16" s="1617"/>
      <c r="I16" s="685"/>
      <c r="J16" s="500"/>
      <c r="K16" s="82"/>
    </row>
    <row r="17" spans="1:11" ht="15.75">
      <c r="A17" s="1741">
        <f t="shared" si="0"/>
        <v>11</v>
      </c>
      <c r="B17" s="706"/>
      <c r="C17" s="1394" t="s">
        <v>79</v>
      </c>
      <c r="D17" s="588"/>
      <c r="F17" s="1611">
        <f>R48</f>
        <v>10388888</v>
      </c>
      <c r="G17" s="1611">
        <f>R75</f>
        <v>3739989</v>
      </c>
      <c r="H17" s="1611">
        <f>F17-G17</f>
        <v>6648899</v>
      </c>
      <c r="I17" s="1956"/>
      <c r="J17" s="500"/>
      <c r="K17" s="82"/>
    </row>
    <row r="18" spans="1:11" ht="15.75">
      <c r="A18" s="1741">
        <f t="shared" si="0"/>
        <v>12</v>
      </c>
      <c r="B18" s="706"/>
      <c r="C18" s="1394"/>
      <c r="D18" s="588"/>
      <c r="F18" s="1618">
        <f>R49</f>
        <v>0</v>
      </c>
      <c r="G18" s="1618">
        <f>R76</f>
        <v>0</v>
      </c>
      <c r="H18" s="1618">
        <f>F18-G18</f>
        <v>0</v>
      </c>
      <c r="I18" s="614"/>
      <c r="J18" s="500"/>
      <c r="K18" s="82"/>
    </row>
    <row r="19" spans="1:11">
      <c r="A19" s="1741">
        <f t="shared" si="0"/>
        <v>13</v>
      </c>
      <c r="B19" s="706"/>
      <c r="C19" s="706" t="s">
        <v>54</v>
      </c>
      <c r="D19" s="588"/>
      <c r="F19" s="1613">
        <f>SUM(F17:F18)</f>
        <v>10388888</v>
      </c>
      <c r="G19" s="1613">
        <f>SUM(G17:G18)</f>
        <v>3739989</v>
      </c>
      <c r="H19" s="1613">
        <f>SUM(H17:H18)</f>
        <v>6648899</v>
      </c>
      <c r="I19" s="685"/>
      <c r="J19" s="500"/>
      <c r="K19" s="82"/>
    </row>
    <row r="20" spans="1:11">
      <c r="A20" s="1741">
        <f t="shared" si="0"/>
        <v>14</v>
      </c>
      <c r="B20" s="706"/>
      <c r="C20" s="706"/>
      <c r="D20" s="588"/>
      <c r="F20" s="1617"/>
      <c r="G20" s="1617"/>
      <c r="H20" s="1617"/>
      <c r="I20" s="685"/>
      <c r="J20" s="500"/>
    </row>
    <row r="21" spans="1:11" ht="12.75" customHeight="1">
      <c r="A21" s="1741">
        <f t="shared" si="0"/>
        <v>15</v>
      </c>
      <c r="B21" s="706"/>
      <c r="C21" s="1579" t="s">
        <v>590</v>
      </c>
      <c r="D21" s="588"/>
      <c r="E21" s="1025"/>
      <c r="F21" s="1618"/>
      <c r="G21" s="1569"/>
      <c r="H21" s="1618"/>
      <c r="I21" s="687"/>
    </row>
    <row r="22" spans="1:11" ht="15.75">
      <c r="A22" s="1741">
        <f t="shared" si="0"/>
        <v>16</v>
      </c>
      <c r="B22" s="706"/>
      <c r="C22" s="1394" t="s">
        <v>79</v>
      </c>
      <c r="D22" s="588"/>
      <c r="F22" s="1611">
        <f>R52</f>
        <v>31996108</v>
      </c>
      <c r="G22" s="1611">
        <f>R79</f>
        <v>5256171</v>
      </c>
      <c r="H22" s="1611">
        <f>F22-G22</f>
        <v>26739937</v>
      </c>
      <c r="I22" s="682"/>
    </row>
    <row r="23" spans="1:11" ht="15.75">
      <c r="A23" s="1741">
        <f t="shared" si="0"/>
        <v>17</v>
      </c>
      <c r="B23" s="706"/>
      <c r="C23" s="1394"/>
      <c r="D23" s="588"/>
      <c r="F23" s="1619">
        <f>R53</f>
        <v>0</v>
      </c>
      <c r="G23" s="1570">
        <f>R80</f>
        <v>0</v>
      </c>
      <c r="H23" s="1619">
        <f>F23-G23</f>
        <v>0</v>
      </c>
      <c r="I23" s="614"/>
    </row>
    <row r="24" spans="1:11">
      <c r="A24" s="1741">
        <f t="shared" si="0"/>
        <v>18</v>
      </c>
      <c r="B24" s="706"/>
      <c r="C24" s="706" t="s">
        <v>54</v>
      </c>
      <c r="D24" s="588"/>
      <c r="F24" s="1613">
        <f>SUM(F22:F23)</f>
        <v>31996108</v>
      </c>
      <c r="G24" s="1613">
        <f>SUM(G22:G23)</f>
        <v>5256171</v>
      </c>
      <c r="H24" s="1613">
        <f>SUM(H22:H23)</f>
        <v>26739937</v>
      </c>
      <c r="I24" s="1955"/>
    </row>
    <row r="25" spans="1:11">
      <c r="A25" s="1741">
        <f t="shared" si="0"/>
        <v>19</v>
      </c>
      <c r="B25" s="706"/>
      <c r="C25" s="1580"/>
      <c r="D25" s="588"/>
      <c r="F25" s="1569"/>
      <c r="G25" s="1569"/>
      <c r="H25" s="1618"/>
      <c r="I25" s="614"/>
    </row>
    <row r="26" spans="1:11" ht="15.75">
      <c r="A26" s="1741">
        <f t="shared" si="0"/>
        <v>20</v>
      </c>
      <c r="B26" s="706"/>
      <c r="C26" s="1579" t="s">
        <v>498</v>
      </c>
      <c r="D26" s="588"/>
      <c r="F26" s="1569"/>
      <c r="G26" s="1569"/>
      <c r="H26" s="1618"/>
      <c r="I26" s="614"/>
    </row>
    <row r="27" spans="1:11" ht="15.75">
      <c r="A27" s="1741">
        <f t="shared" si="0"/>
        <v>21</v>
      </c>
      <c r="B27" s="706"/>
      <c r="C27" s="1394" t="s">
        <v>79</v>
      </c>
      <c r="D27" s="588"/>
      <c r="F27" s="1611">
        <f>R56</f>
        <v>36514333</v>
      </c>
      <c r="G27" s="1611">
        <f>R83</f>
        <v>18604815</v>
      </c>
      <c r="H27" s="1611">
        <f>F27-G27</f>
        <v>17909518</v>
      </c>
      <c r="I27" s="682"/>
    </row>
    <row r="28" spans="1:11" ht="15.75">
      <c r="A28" s="1741">
        <f t="shared" si="0"/>
        <v>22</v>
      </c>
      <c r="B28" s="706"/>
      <c r="C28" s="1394"/>
      <c r="D28" s="588"/>
      <c r="F28" s="1620">
        <f>R57</f>
        <v>0</v>
      </c>
      <c r="G28" s="1620">
        <f>R84</f>
        <v>0</v>
      </c>
      <c r="H28" s="1620">
        <f>F28-G28</f>
        <v>0</v>
      </c>
      <c r="I28" s="112"/>
    </row>
    <row r="29" spans="1:11">
      <c r="A29" s="1741">
        <f t="shared" si="0"/>
        <v>23</v>
      </c>
      <c r="B29" s="706"/>
      <c r="C29" s="706" t="s">
        <v>54</v>
      </c>
      <c r="D29" s="588"/>
      <c r="F29" s="1571">
        <f>SUM(F27:F28)</f>
        <v>36514333</v>
      </c>
      <c r="G29" s="1571">
        <f>SUM(G27:G28)</f>
        <v>18604815</v>
      </c>
      <c r="H29" s="1571">
        <f>SUM(H27:H28)</f>
        <v>17909518</v>
      </c>
      <c r="I29" s="1957"/>
    </row>
    <row r="30" spans="1:11" ht="15.75">
      <c r="A30" s="1741">
        <f t="shared" si="0"/>
        <v>24</v>
      </c>
      <c r="B30" s="706"/>
      <c r="C30" s="1581" t="s">
        <v>1441</v>
      </c>
      <c r="D30" s="497"/>
      <c r="F30" s="1572"/>
      <c r="G30" s="1572"/>
      <c r="H30" s="1572"/>
      <c r="I30" s="686"/>
    </row>
    <row r="31" spans="1:11" ht="15.75">
      <c r="A31" s="1741">
        <f t="shared" si="0"/>
        <v>25</v>
      </c>
      <c r="B31" s="706"/>
      <c r="C31" s="1394" t="s">
        <v>79</v>
      </c>
      <c r="D31" s="588"/>
      <c r="F31" s="2126">
        <f>R60</f>
        <v>13547.538461538461</v>
      </c>
      <c r="G31" s="1611">
        <f>R87</f>
        <v>0</v>
      </c>
      <c r="H31" s="1611">
        <f>F31-G31</f>
        <v>13547.538461538461</v>
      </c>
      <c r="I31" s="686"/>
    </row>
    <row r="32" spans="1:11" ht="15.75">
      <c r="A32" s="1741">
        <f t="shared" si="0"/>
        <v>26</v>
      </c>
      <c r="B32" s="706"/>
      <c r="C32" s="1394"/>
      <c r="D32" s="588"/>
      <c r="F32" s="1619">
        <f>R61</f>
        <v>0</v>
      </c>
      <c r="G32" s="1570">
        <f>R88</f>
        <v>0</v>
      </c>
      <c r="H32" s="1619">
        <f>F32-G32</f>
        <v>0</v>
      </c>
      <c r="I32" s="686"/>
    </row>
    <row r="33" spans="1:18">
      <c r="A33" s="1741">
        <f t="shared" si="0"/>
        <v>27</v>
      </c>
      <c r="B33" s="706"/>
      <c r="C33" s="706" t="s">
        <v>54</v>
      </c>
      <c r="D33" s="588"/>
      <c r="F33" s="1613">
        <f>SUM(F31:F32)</f>
        <v>13547.538461538461</v>
      </c>
      <c r="G33" s="1613">
        <f>SUM(G31:G32)</f>
        <v>0</v>
      </c>
      <c r="H33" s="1613">
        <f>SUM(H31:H32)</f>
        <v>13547.538461538461</v>
      </c>
      <c r="I33" s="686"/>
    </row>
    <row r="34" spans="1:18" ht="15.75">
      <c r="A34" s="1741">
        <f t="shared" si="0"/>
        <v>28</v>
      </c>
      <c r="B34" s="713"/>
      <c r="C34" s="1580" t="s">
        <v>1111</v>
      </c>
      <c r="D34" s="497"/>
      <c r="E34" s="1025"/>
      <c r="F34" s="1573">
        <f>F19+F24+F29-F33</f>
        <v>78885781.461538464</v>
      </c>
      <c r="G34" s="1573">
        <f>G19+G24+G29-G33</f>
        <v>27600975</v>
      </c>
      <c r="H34" s="1573">
        <f>H19+H24+H29-H33</f>
        <v>51284806.461538464</v>
      </c>
      <c r="I34" s="1957"/>
    </row>
    <row r="35" spans="1:18" ht="15.75">
      <c r="A35" s="1741">
        <f t="shared" si="0"/>
        <v>29</v>
      </c>
      <c r="B35" s="706"/>
      <c r="C35" s="1582"/>
      <c r="F35" s="1574"/>
      <c r="G35" s="1574"/>
      <c r="H35" s="1621"/>
      <c r="I35" s="496"/>
      <c r="J35" s="496"/>
    </row>
    <row r="36" spans="1:18" ht="16.5" thickBot="1">
      <c r="A36" s="1741">
        <f t="shared" si="0"/>
        <v>30</v>
      </c>
      <c r="B36" s="713" t="s">
        <v>1442</v>
      </c>
      <c r="C36" s="706"/>
      <c r="D36" s="497"/>
      <c r="F36" s="1575">
        <f>F13+F34</f>
        <v>81790053.461538464</v>
      </c>
      <c r="G36" s="1575">
        <f>G13+G34</f>
        <v>29476966</v>
      </c>
      <c r="H36" s="1575">
        <f>H13+H34</f>
        <v>52313087.461538464</v>
      </c>
      <c r="I36" s="1958"/>
      <c r="J36" s="499"/>
    </row>
    <row r="37" spans="1:18" ht="15.75">
      <c r="A37" s="1113"/>
      <c r="B37" s="1583"/>
      <c r="C37" s="1583"/>
      <c r="D37" s="788"/>
      <c r="E37" s="1058"/>
      <c r="F37" s="1959"/>
      <c r="G37" s="1959"/>
      <c r="H37" s="1959"/>
    </row>
    <row r="38" spans="1:18" ht="15.75">
      <c r="A38" s="1113"/>
      <c r="B38" s="1583"/>
      <c r="C38" s="1583"/>
      <c r="D38" s="788"/>
      <c r="E38" s="1058"/>
      <c r="F38" s="488"/>
      <c r="G38" s="499"/>
      <c r="O38" s="2193" t="s">
        <v>163</v>
      </c>
      <c r="P38" s="2193"/>
    </row>
    <row r="39" spans="1:18" ht="15.75">
      <c r="B39" s="715" t="s">
        <v>409</v>
      </c>
      <c r="C39" s="1742"/>
      <c r="D39" s="788"/>
      <c r="E39" s="488"/>
      <c r="F39" s="488"/>
      <c r="G39" s="496"/>
      <c r="O39" s="2190" t="s">
        <v>771</v>
      </c>
      <c r="P39" s="2190"/>
      <c r="Q39" s="1584"/>
    </row>
    <row r="40" spans="1:18" ht="15.75">
      <c r="A40" s="1586" t="s">
        <v>50</v>
      </c>
      <c r="C40" s="1123"/>
      <c r="D40" s="1231"/>
      <c r="E40" s="2194" t="s">
        <v>649</v>
      </c>
      <c r="F40" s="2194"/>
      <c r="G40" s="2194"/>
      <c r="H40" s="2194"/>
      <c r="I40" s="2194"/>
      <c r="J40" s="2194"/>
      <c r="K40" s="2194"/>
      <c r="L40" s="2194"/>
      <c r="M40" s="2194"/>
      <c r="N40" s="2194"/>
      <c r="O40" s="2194"/>
      <c r="P40" s="2194"/>
      <c r="Q40" s="2194"/>
      <c r="R40" s="2195"/>
    </row>
    <row r="41" spans="1:18">
      <c r="A41" s="1586" t="s">
        <v>51</v>
      </c>
      <c r="C41" s="1126"/>
      <c r="D41" s="788"/>
      <c r="E41" s="1127" t="s">
        <v>1107</v>
      </c>
      <c r="F41" s="1128"/>
      <c r="G41" s="1129"/>
      <c r="H41" s="1128"/>
      <c r="I41" s="1129"/>
      <c r="J41" s="1128"/>
      <c r="K41" s="1129"/>
      <c r="L41" s="1128"/>
      <c r="M41" s="1129"/>
      <c r="N41" s="1128"/>
      <c r="O41" s="1129"/>
      <c r="P41" s="1128"/>
      <c r="Q41" s="1127" t="s">
        <v>1107</v>
      </c>
      <c r="R41" s="1130" t="s">
        <v>1108</v>
      </c>
    </row>
    <row r="42" spans="1:18">
      <c r="A42" s="1587"/>
      <c r="C42" s="1232"/>
      <c r="D42" s="784"/>
      <c r="E42" s="1134">
        <v>40878</v>
      </c>
      <c r="F42" s="1134">
        <v>40909</v>
      </c>
      <c r="G42" s="1134">
        <v>40940</v>
      </c>
      <c r="H42" s="1134">
        <v>40969</v>
      </c>
      <c r="I42" s="1134">
        <v>41000</v>
      </c>
      <c r="J42" s="1134">
        <v>41030</v>
      </c>
      <c r="K42" s="1134">
        <v>41061</v>
      </c>
      <c r="L42" s="1134">
        <v>41091</v>
      </c>
      <c r="M42" s="1134">
        <v>41122</v>
      </c>
      <c r="N42" s="1134">
        <v>41153</v>
      </c>
      <c r="O42" s="1134">
        <v>41183</v>
      </c>
      <c r="P42" s="1134">
        <v>41214</v>
      </c>
      <c r="Q42" s="1134">
        <v>41244</v>
      </c>
      <c r="R42" s="1135" t="s">
        <v>1585</v>
      </c>
    </row>
    <row r="43" spans="1:18">
      <c r="A43" s="1588">
        <f>A36+1</f>
        <v>31</v>
      </c>
      <c r="C43" s="1195" t="s">
        <v>11</v>
      </c>
      <c r="D43" s="1216"/>
      <c r="E43" s="1215"/>
      <c r="F43" s="1214"/>
      <c r="G43" s="1214"/>
      <c r="H43" s="1214"/>
      <c r="I43" s="1214"/>
      <c r="J43" s="1214"/>
      <c r="K43" s="1214"/>
      <c r="L43" s="1214"/>
      <c r="M43" s="1214"/>
      <c r="N43" s="1214"/>
      <c r="O43" s="1214"/>
      <c r="P43" s="1214"/>
      <c r="Q43" s="1214"/>
      <c r="R43" s="1172"/>
    </row>
    <row r="44" spans="1:18">
      <c r="A44" s="1586">
        <f>A43+1</f>
        <v>32</v>
      </c>
      <c r="C44" s="1126" t="s">
        <v>79</v>
      </c>
      <c r="D44" s="1217"/>
      <c r="E44" s="2019">
        <v>2904272</v>
      </c>
      <c r="F44" s="2019">
        <v>2904272</v>
      </c>
      <c r="G44" s="2019">
        <v>2904272</v>
      </c>
      <c r="H44" s="2019">
        <v>2904272</v>
      </c>
      <c r="I44" s="2019">
        <v>2904272</v>
      </c>
      <c r="J44" s="2019">
        <v>2904272</v>
      </c>
      <c r="K44" s="2019">
        <v>2904272</v>
      </c>
      <c r="L44" s="2019">
        <v>2904272</v>
      </c>
      <c r="M44" s="2019">
        <v>2904272</v>
      </c>
      <c r="N44" s="2019">
        <v>2904272</v>
      </c>
      <c r="O44" s="2019">
        <v>2904272</v>
      </c>
      <c r="P44" s="2019">
        <v>2904272</v>
      </c>
      <c r="Q44" s="2019">
        <v>2904272</v>
      </c>
      <c r="R44" s="1172">
        <f>ROUND((SUM(E44:Q44)/13),0)</f>
        <v>2904272</v>
      </c>
    </row>
    <row r="45" spans="1:18" ht="15.75" thickBot="1">
      <c r="A45" s="1586">
        <f>A44+1</f>
        <v>33</v>
      </c>
      <c r="C45" s="1126"/>
      <c r="D45" s="1217"/>
      <c r="E45" s="2020">
        <v>0</v>
      </c>
      <c r="F45" s="2020">
        <v>0</v>
      </c>
      <c r="G45" s="2020">
        <v>0</v>
      </c>
      <c r="H45" s="2020">
        <v>0</v>
      </c>
      <c r="I45" s="2020">
        <v>0</v>
      </c>
      <c r="J45" s="2020">
        <v>0</v>
      </c>
      <c r="K45" s="2020">
        <v>0</v>
      </c>
      <c r="L45" s="2020">
        <v>0</v>
      </c>
      <c r="M45" s="2020">
        <v>0</v>
      </c>
      <c r="N45" s="2020">
        <v>0</v>
      </c>
      <c r="O45" s="2020">
        <v>0</v>
      </c>
      <c r="P45" s="2020">
        <v>0</v>
      </c>
      <c r="Q45" s="2020">
        <v>0</v>
      </c>
      <c r="R45" s="1172">
        <f>SUM(E45:Q45)/13</f>
        <v>0</v>
      </c>
    </row>
    <row r="46" spans="1:18" ht="15.75" thickBot="1">
      <c r="A46" s="1586">
        <f>A45+1</f>
        <v>34</v>
      </c>
      <c r="C46" s="1220" t="s">
        <v>54</v>
      </c>
      <c r="D46" s="788"/>
      <c r="E46" s="1228"/>
      <c r="F46" s="1229"/>
      <c r="G46" s="1229"/>
      <c r="H46" s="1229"/>
      <c r="I46" s="1229"/>
      <c r="J46" s="1229"/>
      <c r="K46" s="1229"/>
      <c r="L46" s="1229"/>
      <c r="M46" s="1229"/>
      <c r="N46" s="1229"/>
      <c r="O46" s="1229"/>
      <c r="P46" s="1229"/>
      <c r="Q46" s="1229"/>
      <c r="R46" s="1230">
        <f>SUM(R44:R45)</f>
        <v>2904272</v>
      </c>
    </row>
    <row r="47" spans="1:18">
      <c r="A47" s="1586">
        <f t="shared" ref="A47:A61" si="1">A46+1</f>
        <v>35</v>
      </c>
      <c r="C47" s="1195" t="s">
        <v>929</v>
      </c>
      <c r="D47" s="1216"/>
      <c r="E47" s="1227"/>
      <c r="F47" s="1227"/>
      <c r="G47" s="1227"/>
      <c r="H47" s="1227"/>
      <c r="I47" s="1227"/>
      <c r="J47" s="1227"/>
      <c r="K47" s="1227"/>
      <c r="L47" s="1227"/>
      <c r="M47" s="1227"/>
      <c r="N47" s="1227"/>
      <c r="O47" s="1227"/>
      <c r="P47" s="1227"/>
      <c r="Q47" s="1227"/>
      <c r="R47" s="1223"/>
    </row>
    <row r="48" spans="1:18">
      <c r="A48" s="1586">
        <f t="shared" si="1"/>
        <v>36</v>
      </c>
      <c r="C48" s="1126" t="s">
        <v>79</v>
      </c>
      <c r="D48" s="1217"/>
      <c r="E48" s="2019">
        <v>10388888.460000001</v>
      </c>
      <c r="F48" s="2019">
        <v>10388888</v>
      </c>
      <c r="G48" s="2019">
        <v>10388888</v>
      </c>
      <c r="H48" s="2019">
        <v>10388888</v>
      </c>
      <c r="I48" s="2019">
        <v>10388888</v>
      </c>
      <c r="J48" s="2019">
        <v>10388888</v>
      </c>
      <c r="K48" s="2019">
        <v>10388888</v>
      </c>
      <c r="L48" s="2019">
        <v>10388888</v>
      </c>
      <c r="M48" s="2019">
        <v>10388888</v>
      </c>
      <c r="N48" s="2019">
        <v>10388888</v>
      </c>
      <c r="O48" s="2019">
        <v>10388888</v>
      </c>
      <c r="P48" s="2019">
        <v>10388888</v>
      </c>
      <c r="Q48" s="2019">
        <v>10388888</v>
      </c>
      <c r="R48" s="1172">
        <f>ROUND((SUM(E48:Q48)/13),0)</f>
        <v>10388888</v>
      </c>
    </row>
    <row r="49" spans="1:18" ht="15.75" thickBot="1">
      <c r="A49" s="1586">
        <f t="shared" si="1"/>
        <v>37</v>
      </c>
      <c r="C49" s="1126"/>
      <c r="D49" s="1217"/>
      <c r="E49" s="2020">
        <v>0</v>
      </c>
      <c r="F49" s="2020">
        <v>0</v>
      </c>
      <c r="G49" s="2020">
        <v>0</v>
      </c>
      <c r="H49" s="2020">
        <v>0</v>
      </c>
      <c r="I49" s="2020">
        <v>0</v>
      </c>
      <c r="J49" s="2020">
        <v>0</v>
      </c>
      <c r="K49" s="2020">
        <v>0</v>
      </c>
      <c r="L49" s="2020">
        <v>0</v>
      </c>
      <c r="M49" s="2020">
        <v>0</v>
      </c>
      <c r="N49" s="2020">
        <v>0</v>
      </c>
      <c r="O49" s="2020">
        <v>0</v>
      </c>
      <c r="P49" s="2020">
        <v>0</v>
      </c>
      <c r="Q49" s="2020">
        <v>0</v>
      </c>
      <c r="R49" s="1172">
        <f>SUM(E49:Q49)/13</f>
        <v>0</v>
      </c>
    </row>
    <row r="50" spans="1:18" ht="15.75" thickBot="1">
      <c r="A50" s="1586">
        <f t="shared" si="1"/>
        <v>38</v>
      </c>
      <c r="C50" s="1220" t="s">
        <v>54</v>
      </c>
      <c r="D50" s="1217"/>
      <c r="E50" s="1221"/>
      <c r="F50" s="1221"/>
      <c r="G50" s="1221"/>
      <c r="H50" s="1221"/>
      <c r="I50" s="1221"/>
      <c r="J50" s="1221"/>
      <c r="K50" s="1221"/>
      <c r="L50" s="1221"/>
      <c r="M50" s="1221"/>
      <c r="N50" s="1221"/>
      <c r="O50" s="1221"/>
      <c r="P50" s="1221"/>
      <c r="Q50" s="1221"/>
      <c r="R50" s="1230">
        <f>SUM(R48:R49)</f>
        <v>10388888</v>
      </c>
    </row>
    <row r="51" spans="1:18">
      <c r="A51" s="1586">
        <f t="shared" si="1"/>
        <v>39</v>
      </c>
      <c r="C51" s="1195" t="s">
        <v>1666</v>
      </c>
      <c r="D51" s="1216"/>
      <c r="E51" s="1221"/>
      <c r="F51" s="1221"/>
      <c r="G51" s="1221"/>
      <c r="H51" s="1221"/>
      <c r="I51" s="1221"/>
      <c r="J51" s="1221"/>
      <c r="K51" s="1221"/>
      <c r="L51" s="1221"/>
      <c r="M51" s="1221"/>
      <c r="N51" s="1221"/>
      <c r="O51" s="1221"/>
      <c r="P51" s="1221"/>
      <c r="Q51" s="1221"/>
      <c r="R51" s="1151"/>
    </row>
    <row r="52" spans="1:18">
      <c r="A52" s="1586">
        <f t="shared" si="1"/>
        <v>40</v>
      </c>
      <c r="C52" s="1126" t="s">
        <v>79</v>
      </c>
      <c r="D52" s="1217"/>
      <c r="E52" s="2019">
        <v>31954329</v>
      </c>
      <c r="F52" s="2019">
        <v>31954329</v>
      </c>
      <c r="G52" s="2019">
        <v>31954329</v>
      </c>
      <c r="H52" s="2019">
        <v>32096849</v>
      </c>
      <c r="I52" s="2019">
        <v>32096849</v>
      </c>
      <c r="J52" s="2019">
        <v>32106181</v>
      </c>
      <c r="K52" s="2019">
        <v>32106181</v>
      </c>
      <c r="L52" s="2019">
        <v>32106181</v>
      </c>
      <c r="M52" s="2019">
        <v>32106181</v>
      </c>
      <c r="N52" s="2019">
        <v>31338868</v>
      </c>
      <c r="O52" s="2019">
        <v>32030893</v>
      </c>
      <c r="P52" s="2019">
        <v>32030893</v>
      </c>
      <c r="Q52" s="2019">
        <v>32067345</v>
      </c>
      <c r="R52" s="1172">
        <f>ROUND((SUM(E52:Q52)/13),0)</f>
        <v>31996108</v>
      </c>
    </row>
    <row r="53" spans="1:18" ht="15.75" thickBot="1">
      <c r="A53" s="1586">
        <f t="shared" si="1"/>
        <v>41</v>
      </c>
      <c r="C53" s="1126"/>
      <c r="D53" s="1217"/>
      <c r="E53" s="2020">
        <v>0</v>
      </c>
      <c r="F53" s="2020">
        <v>0</v>
      </c>
      <c r="G53" s="2020">
        <v>0</v>
      </c>
      <c r="H53" s="2020">
        <v>0</v>
      </c>
      <c r="I53" s="2020">
        <v>0</v>
      </c>
      <c r="J53" s="2020">
        <v>0</v>
      </c>
      <c r="K53" s="2020">
        <v>0</v>
      </c>
      <c r="L53" s="2020">
        <v>0</v>
      </c>
      <c r="M53" s="2020">
        <v>0</v>
      </c>
      <c r="N53" s="2020">
        <v>0</v>
      </c>
      <c r="O53" s="2020">
        <v>0</v>
      </c>
      <c r="P53" s="2020">
        <v>0</v>
      </c>
      <c r="Q53" s="2020">
        <v>0</v>
      </c>
      <c r="R53" s="1172">
        <f>SUM(E53:Q53)/13</f>
        <v>0</v>
      </c>
    </row>
    <row r="54" spans="1:18" ht="15.75" thickBot="1">
      <c r="A54" s="1586">
        <f t="shared" si="1"/>
        <v>42</v>
      </c>
      <c r="C54" s="1220" t="s">
        <v>54</v>
      </c>
      <c r="D54" s="1217"/>
      <c r="E54" s="1221"/>
      <c r="F54" s="1221"/>
      <c r="G54" s="1221"/>
      <c r="H54" s="1221"/>
      <c r="I54" s="1221"/>
      <c r="J54" s="1221"/>
      <c r="K54" s="1221"/>
      <c r="L54" s="1221"/>
      <c r="M54" s="1221"/>
      <c r="N54" s="1221"/>
      <c r="O54" s="1221"/>
      <c r="P54" s="1221"/>
      <c r="Q54" s="1221"/>
      <c r="R54" s="1230">
        <f>SUM(R52:R53)</f>
        <v>31996108</v>
      </c>
    </row>
    <row r="55" spans="1:18">
      <c r="A55" s="1586">
        <f t="shared" si="1"/>
        <v>43</v>
      </c>
      <c r="C55" s="1195" t="s">
        <v>498</v>
      </c>
      <c r="D55" s="1216"/>
      <c r="E55" s="1221"/>
      <c r="F55" s="1221"/>
      <c r="G55" s="1221"/>
      <c r="H55" s="1221"/>
      <c r="I55" s="1221"/>
      <c r="J55" s="1221"/>
      <c r="K55" s="1221"/>
      <c r="L55" s="1221"/>
      <c r="M55" s="1221"/>
      <c r="N55" s="1221"/>
      <c r="O55" s="1221"/>
      <c r="P55" s="1221"/>
      <c r="Q55" s="1221"/>
      <c r="R55" s="1151"/>
    </row>
    <row r="56" spans="1:18">
      <c r="A56" s="1586">
        <f t="shared" si="1"/>
        <v>44</v>
      </c>
      <c r="C56" s="1126" t="s">
        <v>79</v>
      </c>
      <c r="D56" s="1217"/>
      <c r="E56" s="2019">
        <v>36374377.729999997</v>
      </c>
      <c r="F56" s="2019">
        <v>36434189</v>
      </c>
      <c r="G56" s="2019">
        <v>36425356</v>
      </c>
      <c r="H56" s="2019">
        <v>36425356</v>
      </c>
      <c r="I56" s="2019">
        <v>36425356</v>
      </c>
      <c r="J56" s="2019">
        <v>36427631</v>
      </c>
      <c r="K56" s="2019">
        <v>36558455</v>
      </c>
      <c r="L56" s="2019">
        <v>36568034</v>
      </c>
      <c r="M56" s="2019">
        <v>36579686</v>
      </c>
      <c r="N56" s="2019">
        <v>36579686</v>
      </c>
      <c r="O56" s="2019">
        <v>36579686</v>
      </c>
      <c r="P56" s="2019">
        <v>36579686</v>
      </c>
      <c r="Q56" s="2019">
        <v>36728834</v>
      </c>
      <c r="R56" s="1172">
        <f>ROUND((SUM(E56:Q56)/13),0)</f>
        <v>36514333</v>
      </c>
    </row>
    <row r="57" spans="1:18" ht="15.75" thickBot="1">
      <c r="A57" s="1586">
        <f t="shared" si="1"/>
        <v>45</v>
      </c>
      <c r="C57" s="1126"/>
      <c r="D57" s="1217"/>
      <c r="E57" s="2020">
        <v>0</v>
      </c>
      <c r="F57" s="2020">
        <v>0</v>
      </c>
      <c r="G57" s="2020">
        <v>0</v>
      </c>
      <c r="H57" s="2020">
        <v>0</v>
      </c>
      <c r="I57" s="2020">
        <v>0</v>
      </c>
      <c r="J57" s="2020">
        <v>0</v>
      </c>
      <c r="K57" s="2020">
        <v>0</v>
      </c>
      <c r="L57" s="2020">
        <v>0</v>
      </c>
      <c r="M57" s="2020">
        <v>0</v>
      </c>
      <c r="N57" s="2020">
        <v>0</v>
      </c>
      <c r="O57" s="2020">
        <v>0</v>
      </c>
      <c r="P57" s="2020">
        <v>0</v>
      </c>
      <c r="Q57" s="2020">
        <v>0</v>
      </c>
      <c r="R57" s="1172">
        <f>SUM(E57:Q57)/13</f>
        <v>0</v>
      </c>
    </row>
    <row r="58" spans="1:18" ht="15.75" thickBot="1">
      <c r="A58" s="1586">
        <f t="shared" si="1"/>
        <v>46</v>
      </c>
      <c r="C58" s="1220" t="s">
        <v>54</v>
      </c>
      <c r="D58" s="1217"/>
      <c r="E58" s="1221"/>
      <c r="F58" s="1221"/>
      <c r="G58" s="1221"/>
      <c r="H58" s="1221"/>
      <c r="I58" s="1221"/>
      <c r="J58" s="1221"/>
      <c r="K58" s="1221"/>
      <c r="L58" s="1221"/>
      <c r="M58" s="1221"/>
      <c r="N58" s="1221"/>
      <c r="O58" s="1221"/>
      <c r="P58" s="1221"/>
      <c r="Q58" s="1221"/>
      <c r="R58" s="1230">
        <f>SUM(R56:R57)</f>
        <v>36514333</v>
      </c>
    </row>
    <row r="59" spans="1:18">
      <c r="A59" s="1586">
        <f t="shared" si="1"/>
        <v>47</v>
      </c>
      <c r="C59" s="1195" t="s">
        <v>38</v>
      </c>
      <c r="D59" s="1216"/>
      <c r="E59" s="1221"/>
      <c r="F59" s="1221"/>
      <c r="G59" s="1221"/>
      <c r="H59" s="1221"/>
      <c r="I59" s="1221"/>
      <c r="J59" s="1221"/>
      <c r="K59" s="1221"/>
      <c r="L59" s="1221"/>
      <c r="M59" s="1221"/>
      <c r="N59" s="1221"/>
      <c r="O59" s="1221"/>
      <c r="P59" s="1221"/>
      <c r="Q59" s="1221"/>
      <c r="R59" s="1222"/>
    </row>
    <row r="60" spans="1:18">
      <c r="A60" s="1586">
        <f t="shared" si="1"/>
        <v>48</v>
      </c>
      <c r="C60" s="1126" t="s">
        <v>79</v>
      </c>
      <c r="D60" s="1217"/>
      <c r="E60" s="2019">
        <v>0</v>
      </c>
      <c r="F60" s="2019">
        <v>0</v>
      </c>
      <c r="G60" s="2019">
        <v>0</v>
      </c>
      <c r="H60" s="2019">
        <v>0</v>
      </c>
      <c r="I60" s="2019">
        <v>0</v>
      </c>
      <c r="J60" s="2019">
        <v>0</v>
      </c>
      <c r="K60" s="2019">
        <v>0</v>
      </c>
      <c r="L60" s="2019">
        <v>0</v>
      </c>
      <c r="M60" s="2019">
        <v>0</v>
      </c>
      <c r="N60" s="2019">
        <v>0</v>
      </c>
      <c r="O60" s="2019">
        <v>0</v>
      </c>
      <c r="P60" s="2019">
        <v>0</v>
      </c>
      <c r="Q60" s="2019">
        <v>176118</v>
      </c>
      <c r="R60" s="1172">
        <f>AVERAGE(E60:Q60)</f>
        <v>13547.538461538461</v>
      </c>
    </row>
    <row r="61" spans="1:18" ht="15.75" thickBot="1">
      <c r="A61" s="1586">
        <f t="shared" si="1"/>
        <v>49</v>
      </c>
      <c r="C61" s="1126"/>
      <c r="D61" s="1217"/>
      <c r="E61" s="2020">
        <v>0</v>
      </c>
      <c r="F61" s="2020">
        <v>0</v>
      </c>
      <c r="G61" s="2020">
        <v>0</v>
      </c>
      <c r="H61" s="2020">
        <v>0</v>
      </c>
      <c r="I61" s="2020">
        <v>0</v>
      </c>
      <c r="J61" s="2020">
        <v>0</v>
      </c>
      <c r="K61" s="2020">
        <v>0</v>
      </c>
      <c r="L61" s="2020">
        <v>0</v>
      </c>
      <c r="M61" s="2020">
        <v>0</v>
      </c>
      <c r="N61" s="2020">
        <v>0</v>
      </c>
      <c r="O61" s="2020">
        <v>0</v>
      </c>
      <c r="P61" s="2020">
        <v>0</v>
      </c>
      <c r="Q61" s="2020">
        <v>0</v>
      </c>
      <c r="R61" s="1743">
        <f>AVERAGE(E61:Q61)</f>
        <v>0</v>
      </c>
    </row>
    <row r="62" spans="1:18" ht="15.75" thickBot="1">
      <c r="A62" s="1586">
        <f>A61+1</f>
        <v>50</v>
      </c>
      <c r="C62" s="1220" t="s">
        <v>54</v>
      </c>
      <c r="D62" s="788"/>
      <c r="E62" s="1225"/>
      <c r="F62" s="1225"/>
      <c r="G62" s="1225"/>
      <c r="H62" s="1225"/>
      <c r="I62" s="1225"/>
      <c r="J62" s="1225"/>
      <c r="K62" s="1225"/>
      <c r="L62" s="1225"/>
      <c r="M62" s="1225"/>
      <c r="N62" s="1225"/>
      <c r="O62" s="1225"/>
      <c r="P62" s="1225"/>
      <c r="Q62" s="1225"/>
      <c r="R62" s="1230">
        <f>SUM(R60:R61)</f>
        <v>13547.538461538461</v>
      </c>
    </row>
    <row r="63" spans="1:18" ht="15.75" thickBot="1">
      <c r="A63" s="1586">
        <f>A62+1</f>
        <v>51</v>
      </c>
      <c r="C63" s="1224" t="s">
        <v>930</v>
      </c>
      <c r="D63" s="1116"/>
      <c r="E63" s="1226">
        <f>E44+E45+E48+E49+E52+E53+E56+E57-E60-E61</f>
        <v>81621867.189999998</v>
      </c>
      <c r="F63" s="1226">
        <f t="shared" ref="F63:Q63" si="2">F44+F45+F48+F49+F52+F53+F56+F57-F60-F61</f>
        <v>81681678</v>
      </c>
      <c r="G63" s="1226">
        <f t="shared" si="2"/>
        <v>81672845</v>
      </c>
      <c r="H63" s="1226">
        <f t="shared" si="2"/>
        <v>81815365</v>
      </c>
      <c r="I63" s="1744">
        <f t="shared" si="2"/>
        <v>81815365</v>
      </c>
      <c r="J63" s="1744">
        <f t="shared" si="2"/>
        <v>81826972</v>
      </c>
      <c r="K63" s="1226">
        <f t="shared" si="2"/>
        <v>81957796</v>
      </c>
      <c r="L63" s="1226">
        <f t="shared" si="2"/>
        <v>81967375</v>
      </c>
      <c r="M63" s="1744">
        <f t="shared" si="2"/>
        <v>81979027</v>
      </c>
      <c r="N63" s="1226">
        <f t="shared" si="2"/>
        <v>81211714</v>
      </c>
      <c r="O63" s="1226">
        <f t="shared" si="2"/>
        <v>81903739</v>
      </c>
      <c r="P63" s="1226">
        <f t="shared" si="2"/>
        <v>81903739</v>
      </c>
      <c r="Q63" s="1744">
        <f t="shared" si="2"/>
        <v>81913221</v>
      </c>
      <c r="R63" s="1744">
        <f>R46+R50+R54+R58-R62</f>
        <v>81790053.461538464</v>
      </c>
    </row>
    <row r="64" spans="1:18">
      <c r="A64" s="3"/>
      <c r="C64" s="1131"/>
      <c r="D64" s="788"/>
      <c r="E64" s="1145"/>
      <c r="F64" s="1145"/>
      <c r="G64" s="1145"/>
      <c r="H64" s="1145"/>
      <c r="I64" s="1145"/>
      <c r="J64" s="1145"/>
      <c r="K64" s="1145"/>
      <c r="L64" s="1145"/>
      <c r="M64" s="1145"/>
      <c r="N64" s="1145"/>
      <c r="O64" s="1145"/>
      <c r="P64" s="1145"/>
      <c r="Q64" s="1145"/>
      <c r="R64" s="1145"/>
    </row>
    <row r="65" spans="1:18" ht="15.75">
      <c r="A65" s="3"/>
      <c r="B65" s="706"/>
      <c r="C65" s="1394"/>
      <c r="E65" s="1145"/>
      <c r="F65" s="1145"/>
      <c r="G65" s="1145"/>
      <c r="H65" s="1145"/>
      <c r="I65" s="1145"/>
      <c r="J65" s="1145"/>
      <c r="K65" s="1145"/>
      <c r="L65" s="1145"/>
      <c r="M65" s="1145"/>
      <c r="N65" s="1145"/>
      <c r="O65" s="1145"/>
      <c r="P65" s="1145"/>
      <c r="Q65" s="1145"/>
      <c r="R65" s="1145"/>
    </row>
    <row r="66" spans="1:18" ht="15.75">
      <c r="A66" s="3"/>
      <c r="B66" s="715" t="s">
        <v>892</v>
      </c>
      <c r="C66" s="1745"/>
      <c r="D66" s="498"/>
      <c r="E66" s="1746"/>
      <c r="F66" s="1146"/>
      <c r="G66" s="1146"/>
      <c r="H66" s="1146"/>
      <c r="I66" s="1146"/>
      <c r="J66" s="1146"/>
      <c r="K66" s="1146"/>
      <c r="L66" s="1146"/>
      <c r="M66" s="1146"/>
      <c r="N66" s="1146"/>
      <c r="O66" s="1146"/>
      <c r="P66" s="1146"/>
      <c r="Q66" s="1146"/>
      <c r="R66" s="1146"/>
    </row>
    <row r="67" spans="1:18" ht="15.75">
      <c r="A67" s="3"/>
      <c r="C67" s="1123"/>
      <c r="D67" s="1231"/>
      <c r="E67" s="2194" t="s">
        <v>1685</v>
      </c>
      <c r="F67" s="2194"/>
      <c r="G67" s="2194"/>
      <c r="H67" s="2194"/>
      <c r="I67" s="2194"/>
      <c r="J67" s="2194"/>
      <c r="K67" s="2194"/>
      <c r="L67" s="2194"/>
      <c r="M67" s="2194"/>
      <c r="N67" s="2194"/>
      <c r="O67" s="2194"/>
      <c r="P67" s="2194"/>
      <c r="Q67" s="2194"/>
      <c r="R67" s="2195"/>
    </row>
    <row r="68" spans="1:18" ht="15.75">
      <c r="A68" s="9"/>
      <c r="C68" s="1126"/>
      <c r="D68" s="788"/>
      <c r="E68" s="1127" t="s">
        <v>1107</v>
      </c>
      <c r="F68" s="1128"/>
      <c r="G68" s="1129"/>
      <c r="H68" s="1128"/>
      <c r="I68" s="1129"/>
      <c r="J68" s="1128"/>
      <c r="K68" s="1129"/>
      <c r="L68" s="1128"/>
      <c r="M68" s="1129"/>
      <c r="N68" s="1128"/>
      <c r="O68" s="1129"/>
      <c r="P68" s="1128"/>
      <c r="Q68" s="1127" t="s">
        <v>1107</v>
      </c>
      <c r="R68" s="1130" t="s">
        <v>1108</v>
      </c>
    </row>
    <row r="69" spans="1:18" ht="15.75">
      <c r="A69" s="1359"/>
      <c r="C69" s="1232"/>
      <c r="D69" s="784"/>
      <c r="E69" s="1133">
        <v>40878</v>
      </c>
      <c r="F69" s="1133">
        <f t="shared" ref="F69:Q69" si="3">F42</f>
        <v>40909</v>
      </c>
      <c r="G69" s="1133">
        <f t="shared" si="3"/>
        <v>40940</v>
      </c>
      <c r="H69" s="1133">
        <f t="shared" si="3"/>
        <v>40969</v>
      </c>
      <c r="I69" s="1133">
        <f t="shared" si="3"/>
        <v>41000</v>
      </c>
      <c r="J69" s="1133">
        <f t="shared" si="3"/>
        <v>41030</v>
      </c>
      <c r="K69" s="1133">
        <f t="shared" si="3"/>
        <v>41061</v>
      </c>
      <c r="L69" s="1133">
        <f t="shared" si="3"/>
        <v>41091</v>
      </c>
      <c r="M69" s="1133">
        <f t="shared" si="3"/>
        <v>41122</v>
      </c>
      <c r="N69" s="1133">
        <f t="shared" si="3"/>
        <v>41153</v>
      </c>
      <c r="O69" s="1133">
        <f t="shared" si="3"/>
        <v>41183</v>
      </c>
      <c r="P69" s="1133">
        <f t="shared" si="3"/>
        <v>41214</v>
      </c>
      <c r="Q69" s="1133">
        <f t="shared" si="3"/>
        <v>41244</v>
      </c>
      <c r="R69" s="1135" t="s">
        <v>1585</v>
      </c>
    </row>
    <row r="70" spans="1:18">
      <c r="A70" s="293">
        <f>A63+1</f>
        <v>52</v>
      </c>
      <c r="C70" s="1195" t="s">
        <v>11</v>
      </c>
      <c r="D70" s="1216"/>
      <c r="E70" s="1215"/>
      <c r="F70" s="1214"/>
      <c r="G70" s="1214"/>
      <c r="H70" s="1214"/>
      <c r="I70" s="1214"/>
      <c r="J70" s="1214"/>
      <c r="K70" s="1214"/>
      <c r="L70" s="1214"/>
      <c r="M70" s="1214"/>
      <c r="N70" s="1214"/>
      <c r="O70" s="1214"/>
      <c r="P70" s="1214"/>
      <c r="Q70" s="1214"/>
      <c r="R70" s="1172"/>
    </row>
    <row r="71" spans="1:18">
      <c r="A71" s="293">
        <f t="shared" ref="A71:A89" si="4">A70+1</f>
        <v>53</v>
      </c>
      <c r="C71" s="1126" t="s">
        <v>79</v>
      </c>
      <c r="D71" s="1217"/>
      <c r="E71" s="2019">
        <v>1875833</v>
      </c>
      <c r="F71" s="2019">
        <v>1878918</v>
      </c>
      <c r="G71" s="2019">
        <v>1882004</v>
      </c>
      <c r="H71" s="2019">
        <v>1861024</v>
      </c>
      <c r="I71" s="2019">
        <v>1864124</v>
      </c>
      <c r="J71" s="2019">
        <v>1867234</v>
      </c>
      <c r="K71" s="2019">
        <v>1870332</v>
      </c>
      <c r="L71" s="2019">
        <v>1873444</v>
      </c>
      <c r="M71" s="2019">
        <v>1876556</v>
      </c>
      <c r="N71" s="2019">
        <v>1879669</v>
      </c>
      <c r="O71" s="2019">
        <v>1882781</v>
      </c>
      <c r="P71" s="2019">
        <v>1885895</v>
      </c>
      <c r="Q71" s="2019">
        <v>1890072</v>
      </c>
      <c r="R71" s="1172">
        <f>ROUND((SUM(E71:Q71)/13),0)</f>
        <v>1875991</v>
      </c>
    </row>
    <row r="72" spans="1:18" ht="15.75" thickBot="1">
      <c r="A72" s="293">
        <f t="shared" si="4"/>
        <v>54</v>
      </c>
      <c r="C72" s="1126"/>
      <c r="D72" s="1217"/>
      <c r="E72" s="2020">
        <v>0</v>
      </c>
      <c r="F72" s="2020">
        <v>0</v>
      </c>
      <c r="G72" s="2020">
        <v>0</v>
      </c>
      <c r="H72" s="2020">
        <v>0</v>
      </c>
      <c r="I72" s="2020">
        <v>0</v>
      </c>
      <c r="J72" s="2020">
        <v>0</v>
      </c>
      <c r="K72" s="2020">
        <v>0</v>
      </c>
      <c r="L72" s="2020">
        <v>0</v>
      </c>
      <c r="M72" s="2020">
        <v>0</v>
      </c>
      <c r="N72" s="2020">
        <v>0</v>
      </c>
      <c r="O72" s="2020">
        <v>0</v>
      </c>
      <c r="P72" s="2020">
        <v>0</v>
      </c>
      <c r="Q72" s="2020">
        <v>0</v>
      </c>
      <c r="R72" s="1172">
        <f>SUM(E72:Q72)/13</f>
        <v>0</v>
      </c>
    </row>
    <row r="73" spans="1:18" ht="15.75" thickBot="1">
      <c r="A73" s="293">
        <f t="shared" si="4"/>
        <v>55</v>
      </c>
      <c r="C73" s="1220" t="s">
        <v>54</v>
      </c>
      <c r="D73" s="788"/>
      <c r="E73" s="1228"/>
      <c r="F73" s="1228"/>
      <c r="G73" s="1228"/>
      <c r="H73" s="1228"/>
      <c r="I73" s="1228"/>
      <c r="J73" s="1228"/>
      <c r="K73" s="1228"/>
      <c r="L73" s="1228"/>
      <c r="M73" s="1228"/>
      <c r="N73" s="1228"/>
      <c r="O73" s="1228"/>
      <c r="P73" s="1228"/>
      <c r="Q73" s="1228"/>
      <c r="R73" s="1230">
        <f>SUM(R71:R72)</f>
        <v>1875991</v>
      </c>
    </row>
    <row r="74" spans="1:18">
      <c r="A74" s="293">
        <f t="shared" si="4"/>
        <v>56</v>
      </c>
      <c r="C74" s="1195" t="s">
        <v>929</v>
      </c>
      <c r="D74" s="1216"/>
      <c r="E74" s="1227"/>
      <c r="F74" s="1227"/>
      <c r="G74" s="1227"/>
      <c r="H74" s="1227"/>
      <c r="I74" s="1227"/>
      <c r="J74" s="1227"/>
      <c r="K74" s="1227"/>
      <c r="L74" s="1227"/>
      <c r="M74" s="1227"/>
      <c r="N74" s="1227"/>
      <c r="O74" s="1227"/>
      <c r="P74" s="1227"/>
      <c r="Q74" s="1227"/>
      <c r="R74" s="1223"/>
    </row>
    <row r="75" spans="1:18">
      <c r="A75" s="293">
        <f t="shared" si="4"/>
        <v>57</v>
      </c>
      <c r="C75" s="1126" t="s">
        <v>79</v>
      </c>
      <c r="D75" s="1217"/>
      <c r="E75" s="2019">
        <v>3620640.33</v>
      </c>
      <c r="F75" s="2019">
        <v>3637708</v>
      </c>
      <c r="G75" s="2019">
        <v>3656386</v>
      </c>
      <c r="H75" s="2019">
        <v>3669084</v>
      </c>
      <c r="I75" s="2019">
        <v>3687664</v>
      </c>
      <c r="J75" s="2019">
        <v>3703024</v>
      </c>
      <c r="K75" s="2019">
        <v>3779724</v>
      </c>
      <c r="L75" s="2019">
        <v>3789789</v>
      </c>
      <c r="M75" s="2019">
        <v>3819139</v>
      </c>
      <c r="N75" s="2019">
        <v>3791587</v>
      </c>
      <c r="O75" s="2019">
        <v>3810002</v>
      </c>
      <c r="P75" s="2019">
        <v>3818919</v>
      </c>
      <c r="Q75" s="2019">
        <v>3836191</v>
      </c>
      <c r="R75" s="1172">
        <f>ROUND((SUM(E75:Q75)/13),0)</f>
        <v>3739989</v>
      </c>
    </row>
    <row r="76" spans="1:18" ht="15.75" thickBot="1">
      <c r="A76" s="293">
        <f t="shared" si="4"/>
        <v>58</v>
      </c>
      <c r="C76" s="1126"/>
      <c r="D76" s="1217"/>
      <c r="E76" s="2020"/>
      <c r="F76" s="2020"/>
      <c r="G76" s="2020"/>
      <c r="H76" s="2020"/>
      <c r="I76" s="2020"/>
      <c r="J76" s="2020"/>
      <c r="K76" s="2020"/>
      <c r="L76" s="2020"/>
      <c r="M76" s="2020"/>
      <c r="N76" s="2020"/>
      <c r="O76" s="2020"/>
      <c r="P76" s="2020"/>
      <c r="Q76" s="2020"/>
      <c r="R76" s="1172">
        <f>SUM(E76:Q76)/13</f>
        <v>0</v>
      </c>
    </row>
    <row r="77" spans="1:18" ht="15.75" thickBot="1">
      <c r="A77" s="293">
        <f t="shared" si="4"/>
        <v>59</v>
      </c>
      <c r="C77" s="1220" t="s">
        <v>54</v>
      </c>
      <c r="D77" s="1217"/>
      <c r="E77" s="1221"/>
      <c r="F77" s="1221"/>
      <c r="G77" s="1221"/>
      <c r="H77" s="1221"/>
      <c r="I77" s="1221"/>
      <c r="J77" s="1221"/>
      <c r="K77" s="1221"/>
      <c r="L77" s="1221"/>
      <c r="M77" s="1221"/>
      <c r="N77" s="1221"/>
      <c r="O77" s="1221"/>
      <c r="P77" s="1221"/>
      <c r="Q77" s="1221"/>
      <c r="R77" s="1230">
        <f>SUM(R75:R76)</f>
        <v>3739989</v>
      </c>
    </row>
    <row r="78" spans="1:18">
      <c r="A78" s="293">
        <f t="shared" si="4"/>
        <v>60</v>
      </c>
      <c r="C78" s="1195" t="s">
        <v>1666</v>
      </c>
      <c r="D78" s="1216"/>
      <c r="E78" s="1221"/>
      <c r="F78" s="1221"/>
      <c r="G78" s="1221"/>
      <c r="H78" s="1221"/>
      <c r="I78" s="1221"/>
      <c r="J78" s="1221"/>
      <c r="K78" s="1221"/>
      <c r="L78" s="1221"/>
      <c r="M78" s="1221"/>
      <c r="N78" s="1221"/>
      <c r="O78" s="1221"/>
      <c r="P78" s="1221"/>
      <c r="Q78" s="1221"/>
      <c r="R78" s="1151"/>
    </row>
    <row r="79" spans="1:18">
      <c r="A79" s="293">
        <f t="shared" si="4"/>
        <v>61</v>
      </c>
      <c r="C79" s="1126" t="s">
        <v>79</v>
      </c>
      <c r="D79" s="1217"/>
      <c r="E79" s="2019">
        <v>5015238</v>
      </c>
      <c r="F79" s="2019">
        <v>5070185</v>
      </c>
      <c r="G79" s="2019">
        <v>5122793</v>
      </c>
      <c r="H79" s="2019">
        <v>5155924</v>
      </c>
      <c r="I79" s="2019">
        <v>5208471</v>
      </c>
      <c r="J79" s="2019">
        <v>5261129</v>
      </c>
      <c r="K79" s="2019">
        <v>5313646</v>
      </c>
      <c r="L79" s="2019">
        <v>5365753</v>
      </c>
      <c r="M79" s="2019">
        <v>5418998</v>
      </c>
      <c r="N79" s="2019">
        <v>5412858</v>
      </c>
      <c r="O79" s="2019">
        <v>5502639</v>
      </c>
      <c r="P79" s="2019">
        <v>5553950</v>
      </c>
      <c r="Q79" s="2019">
        <v>4928637</v>
      </c>
      <c r="R79" s="1172">
        <f>ROUND((SUM(E79:Q79)/13),0)</f>
        <v>5256171</v>
      </c>
    </row>
    <row r="80" spans="1:18" ht="15.75" thickBot="1">
      <c r="A80" s="293">
        <f t="shared" si="4"/>
        <v>62</v>
      </c>
      <c r="C80" s="1126"/>
      <c r="D80" s="1217"/>
      <c r="E80" s="2020">
        <v>0</v>
      </c>
      <c r="F80" s="2020">
        <v>0</v>
      </c>
      <c r="G80" s="2020">
        <v>0</v>
      </c>
      <c r="H80" s="2020">
        <v>0</v>
      </c>
      <c r="I80" s="2020">
        <v>0</v>
      </c>
      <c r="J80" s="2020">
        <v>0</v>
      </c>
      <c r="K80" s="2020">
        <v>0</v>
      </c>
      <c r="L80" s="2020">
        <v>0</v>
      </c>
      <c r="M80" s="2020">
        <v>0</v>
      </c>
      <c r="N80" s="2020">
        <v>0</v>
      </c>
      <c r="O80" s="2020">
        <v>0</v>
      </c>
      <c r="P80" s="2020">
        <v>0</v>
      </c>
      <c r="Q80" s="2020">
        <v>0</v>
      </c>
      <c r="R80" s="1172">
        <f>SUM(E80:Q80)/13</f>
        <v>0</v>
      </c>
    </row>
    <row r="81" spans="1:19" ht="15.75" thickBot="1">
      <c r="A81" s="293">
        <f t="shared" si="4"/>
        <v>63</v>
      </c>
      <c r="C81" s="1220" t="s">
        <v>54</v>
      </c>
      <c r="D81" s="1217"/>
      <c r="E81" s="1221"/>
      <c r="F81" s="1221"/>
      <c r="G81" s="1221"/>
      <c r="H81" s="1221"/>
      <c r="I81" s="1221"/>
      <c r="J81" s="1221"/>
      <c r="K81" s="1221"/>
      <c r="L81" s="1221"/>
      <c r="M81" s="1221"/>
      <c r="N81" s="1221"/>
      <c r="O81" s="1221"/>
      <c r="P81" s="1221"/>
      <c r="Q81" s="1221"/>
      <c r="R81" s="1230">
        <f>SUM(R79:R80)</f>
        <v>5256171</v>
      </c>
    </row>
    <row r="82" spans="1:19">
      <c r="A82" s="293">
        <f t="shared" si="4"/>
        <v>64</v>
      </c>
      <c r="C82" s="1195" t="s">
        <v>498</v>
      </c>
      <c r="D82" s="1216"/>
      <c r="E82" s="1221"/>
      <c r="F82" s="1221"/>
      <c r="G82" s="1221"/>
      <c r="H82" s="1221"/>
      <c r="I82" s="1221"/>
      <c r="J82" s="1221"/>
      <c r="K82" s="1221"/>
      <c r="L82" s="1221"/>
      <c r="M82" s="1221"/>
      <c r="N82" s="1221"/>
      <c r="O82" s="1221"/>
      <c r="P82" s="1221"/>
      <c r="Q82" s="1221"/>
      <c r="R82" s="1151"/>
    </row>
    <row r="83" spans="1:19">
      <c r="A83" s="293">
        <f t="shared" si="4"/>
        <v>65</v>
      </c>
      <c r="C83" s="1126" t="s">
        <v>79</v>
      </c>
      <c r="D83" s="1217"/>
      <c r="E83" s="2019">
        <v>18318363.41</v>
      </c>
      <c r="F83" s="2019">
        <v>18354779</v>
      </c>
      <c r="G83" s="2019">
        <v>18389184</v>
      </c>
      <c r="H83" s="2019">
        <v>18407056</v>
      </c>
      <c r="I83" s="2019">
        <v>18450538</v>
      </c>
      <c r="J83" s="2019">
        <v>18481262</v>
      </c>
      <c r="K83" s="2019">
        <v>18759947</v>
      </c>
      <c r="L83" s="2019">
        <v>18769679</v>
      </c>
      <c r="M83" s="2019">
        <v>18855611</v>
      </c>
      <c r="N83" s="2019">
        <v>18720159</v>
      </c>
      <c r="O83" s="2019">
        <v>18765167</v>
      </c>
      <c r="P83" s="2019">
        <v>18773855</v>
      </c>
      <c r="Q83" s="2019">
        <v>18816995</v>
      </c>
      <c r="R83" s="1172">
        <f>ROUND((SUM(E83:Q83)/13),0)</f>
        <v>18604815</v>
      </c>
    </row>
    <row r="84" spans="1:19" ht="15.75" thickBot="1">
      <c r="A84" s="293">
        <f t="shared" si="4"/>
        <v>66</v>
      </c>
      <c r="C84" s="1126"/>
      <c r="D84" s="1217"/>
      <c r="E84" s="2020">
        <v>0</v>
      </c>
      <c r="F84" s="2020">
        <v>0</v>
      </c>
      <c r="G84" s="2020">
        <v>0</v>
      </c>
      <c r="H84" s="2020">
        <v>0</v>
      </c>
      <c r="I84" s="2020">
        <v>0</v>
      </c>
      <c r="J84" s="2020">
        <v>0</v>
      </c>
      <c r="K84" s="2020">
        <v>0</v>
      </c>
      <c r="L84" s="2020">
        <v>0</v>
      </c>
      <c r="M84" s="2020">
        <v>0</v>
      </c>
      <c r="N84" s="2020">
        <v>0</v>
      </c>
      <c r="O84" s="2020">
        <v>0</v>
      </c>
      <c r="P84" s="2020">
        <v>0</v>
      </c>
      <c r="Q84" s="2020">
        <v>0</v>
      </c>
      <c r="R84" s="1172">
        <f>SUM(E84:Q84)/13</f>
        <v>0</v>
      </c>
    </row>
    <row r="85" spans="1:19" ht="15.75" thickBot="1">
      <c r="A85" s="293">
        <f t="shared" si="4"/>
        <v>67</v>
      </c>
      <c r="C85" s="1220" t="s">
        <v>54</v>
      </c>
      <c r="D85" s="1217"/>
      <c r="E85" s="1221"/>
      <c r="F85" s="1221"/>
      <c r="G85" s="1221"/>
      <c r="H85" s="1221"/>
      <c r="I85" s="1221"/>
      <c r="J85" s="1221"/>
      <c r="K85" s="1221"/>
      <c r="L85" s="1221"/>
      <c r="M85" s="1221"/>
      <c r="N85" s="1221"/>
      <c r="O85" s="1221"/>
      <c r="P85" s="1221"/>
      <c r="Q85" s="1221"/>
      <c r="R85" s="1230">
        <f>SUM(R83:R84)</f>
        <v>18604815</v>
      </c>
    </row>
    <row r="86" spans="1:19">
      <c r="A86" s="293">
        <f t="shared" si="4"/>
        <v>68</v>
      </c>
      <c r="C86" s="1195" t="s">
        <v>38</v>
      </c>
      <c r="D86" s="1216"/>
      <c r="E86" s="1221"/>
      <c r="F86" s="1221"/>
      <c r="G86" s="1221"/>
      <c r="H86" s="1221"/>
      <c r="I86" s="1221"/>
      <c r="J86" s="1221"/>
      <c r="K86" s="1221"/>
      <c r="L86" s="1221"/>
      <c r="M86" s="1221"/>
      <c r="N86" s="1221"/>
      <c r="O86" s="1221"/>
      <c r="P86" s="1221"/>
      <c r="Q86" s="1221"/>
      <c r="R86" s="1222"/>
    </row>
    <row r="87" spans="1:19">
      <c r="A87" s="293">
        <f t="shared" si="4"/>
        <v>69</v>
      </c>
      <c r="C87" s="1126" t="s">
        <v>79</v>
      </c>
      <c r="D87" s="1217"/>
      <c r="E87" s="2019">
        <v>0</v>
      </c>
      <c r="F87" s="2019">
        <v>0</v>
      </c>
      <c r="G87" s="2019">
        <v>0</v>
      </c>
      <c r="H87" s="2019">
        <v>0</v>
      </c>
      <c r="I87" s="2019">
        <v>0</v>
      </c>
      <c r="J87" s="2019">
        <v>0</v>
      </c>
      <c r="K87" s="2019">
        <v>0</v>
      </c>
      <c r="L87" s="2019">
        <v>0</v>
      </c>
      <c r="M87" s="2019">
        <v>0</v>
      </c>
      <c r="N87" s="2019">
        <v>0</v>
      </c>
      <c r="O87" s="2019">
        <v>0</v>
      </c>
      <c r="P87" s="2019">
        <v>0</v>
      </c>
      <c r="Q87" s="2019">
        <v>0</v>
      </c>
      <c r="R87" s="1172">
        <f>SUM(E87:Q87)/13</f>
        <v>0</v>
      </c>
    </row>
    <row r="88" spans="1:19" ht="15.75" thickBot="1">
      <c r="A88" s="293">
        <f t="shared" si="4"/>
        <v>70</v>
      </c>
      <c r="C88" s="1126"/>
      <c r="D88" s="1217"/>
      <c r="E88" s="2020"/>
      <c r="F88" s="2020"/>
      <c r="G88" s="2020"/>
      <c r="H88" s="2020"/>
      <c r="I88" s="2020"/>
      <c r="J88" s="2020"/>
      <c r="K88" s="2020"/>
      <c r="L88" s="2020"/>
      <c r="M88" s="2020"/>
      <c r="N88" s="2020"/>
      <c r="O88" s="2020"/>
      <c r="P88" s="2020"/>
      <c r="Q88" s="2020"/>
      <c r="R88" s="1172">
        <f>SUM(E88:Q88)/13</f>
        <v>0</v>
      </c>
    </row>
    <row r="89" spans="1:19" ht="15.75" thickBot="1">
      <c r="A89" s="293">
        <f t="shared" si="4"/>
        <v>71</v>
      </c>
      <c r="C89" s="1220" t="s">
        <v>54</v>
      </c>
      <c r="D89" s="788"/>
      <c r="E89" s="1225"/>
      <c r="F89" s="1225"/>
      <c r="G89" s="1225"/>
      <c r="H89" s="1225"/>
      <c r="I89" s="1225"/>
      <c r="J89" s="1225"/>
      <c r="K89" s="1225"/>
      <c r="L89" s="1225"/>
      <c r="M89" s="1225"/>
      <c r="N89" s="1225"/>
      <c r="O89" s="1225"/>
      <c r="P89" s="1225"/>
      <c r="Q89" s="1225"/>
      <c r="R89" s="1230">
        <f>SUM(R87:R88)</f>
        <v>0</v>
      </c>
    </row>
    <row r="90" spans="1:19" ht="15.75" thickBot="1">
      <c r="A90" s="293">
        <f>A89+1</f>
        <v>72</v>
      </c>
      <c r="C90" s="1224" t="s">
        <v>930</v>
      </c>
      <c r="D90" s="1116"/>
      <c r="E90" s="1226">
        <f>E71+E72+E75+E76+E79+E80+E83+E84-E87-E88</f>
        <v>28830074.740000002</v>
      </c>
      <c r="F90" s="1226">
        <f t="shared" ref="F90:Q90" si="5">F71+F72+F75+F76+F79+F80+F83+F84-F87-F88</f>
        <v>28941590</v>
      </c>
      <c r="G90" s="1226">
        <f t="shared" si="5"/>
        <v>29050367</v>
      </c>
      <c r="H90" s="1226">
        <f t="shared" si="5"/>
        <v>29093088</v>
      </c>
      <c r="I90" s="1226">
        <f t="shared" si="5"/>
        <v>29210797</v>
      </c>
      <c r="J90" s="1226">
        <f t="shared" si="5"/>
        <v>29312649</v>
      </c>
      <c r="K90" s="1226">
        <f t="shared" si="5"/>
        <v>29723649</v>
      </c>
      <c r="L90" s="1226">
        <f t="shared" si="5"/>
        <v>29798665</v>
      </c>
      <c r="M90" s="1226">
        <f t="shared" si="5"/>
        <v>29970304</v>
      </c>
      <c r="N90" s="1226">
        <f t="shared" si="5"/>
        <v>29804273</v>
      </c>
      <c r="O90" s="1226">
        <f t="shared" si="5"/>
        <v>29960589</v>
      </c>
      <c r="P90" s="1226">
        <f t="shared" si="5"/>
        <v>30032619</v>
      </c>
      <c r="Q90" s="1226">
        <f t="shared" si="5"/>
        <v>29471895</v>
      </c>
      <c r="R90" s="1226">
        <f>R73+R77+R81+R85-R89</f>
        <v>29476966</v>
      </c>
    </row>
    <row r="91" spans="1:19" ht="15.75">
      <c r="A91" s="293"/>
      <c r="C91" s="1131"/>
      <c r="E91" s="1145"/>
      <c r="F91" s="1145"/>
      <c r="G91" s="1145"/>
      <c r="H91" s="1145"/>
      <c r="I91" s="1145"/>
      <c r="J91" s="1145"/>
      <c r="K91" s="1145"/>
      <c r="L91" s="1145"/>
      <c r="M91" s="1145"/>
      <c r="N91" s="1145"/>
      <c r="O91" s="2193" t="s">
        <v>164</v>
      </c>
      <c r="P91" s="2193"/>
      <c r="Q91" s="1145"/>
      <c r="R91" s="1145"/>
    </row>
    <row r="92" spans="1:19" ht="15.75">
      <c r="A92" s="293"/>
      <c r="B92" s="715" t="s">
        <v>1415</v>
      </c>
      <c r="C92" s="1745"/>
      <c r="E92" s="1146"/>
      <c r="F92" s="1146"/>
      <c r="G92" s="1146"/>
      <c r="H92" s="1146"/>
      <c r="I92" s="1146"/>
      <c r="J92" s="1146"/>
      <c r="K92" s="1146"/>
      <c r="L92" s="1146"/>
      <c r="M92" s="1146"/>
      <c r="N92" s="1146"/>
      <c r="O92" s="2190" t="s">
        <v>1253</v>
      </c>
      <c r="P92" s="2190"/>
      <c r="Q92" s="1584"/>
      <c r="R92" s="1146"/>
    </row>
    <row r="93" spans="1:19" ht="15.75">
      <c r="A93" s="293"/>
      <c r="B93" s="788"/>
      <c r="C93" s="1123"/>
      <c r="D93" s="1216"/>
      <c r="E93" s="2194" t="s">
        <v>931</v>
      </c>
      <c r="F93" s="2194"/>
      <c r="G93" s="2194"/>
      <c r="H93" s="2194"/>
      <c r="I93" s="2194"/>
      <c r="J93" s="2194"/>
      <c r="K93" s="2194"/>
      <c r="L93" s="2194"/>
      <c r="M93" s="2194"/>
      <c r="N93" s="2194"/>
      <c r="O93" s="2194"/>
      <c r="P93" s="2194"/>
      <c r="Q93" s="2194"/>
      <c r="R93" s="2195"/>
    </row>
    <row r="94" spans="1:19" ht="15.75">
      <c r="A94" s="9"/>
      <c r="B94" s="788"/>
      <c r="C94" s="1126"/>
      <c r="D94" s="1217"/>
      <c r="E94" s="1233" t="s">
        <v>1107</v>
      </c>
      <c r="F94" s="1128"/>
      <c r="G94" s="1129"/>
      <c r="H94" s="1128"/>
      <c r="I94" s="1129"/>
      <c r="J94" s="1128"/>
      <c r="K94" s="1129"/>
      <c r="L94" s="1128"/>
      <c r="M94" s="1129"/>
      <c r="N94" s="1128"/>
      <c r="O94" s="1129"/>
      <c r="P94" s="1128"/>
      <c r="Q94" s="1127" t="s">
        <v>1107</v>
      </c>
      <c r="R94" s="1130" t="s">
        <v>1108</v>
      </c>
    </row>
    <row r="95" spans="1:19" ht="15.75">
      <c r="A95" s="1359"/>
      <c r="B95" s="788"/>
      <c r="C95" s="1232"/>
      <c r="D95" s="1219"/>
      <c r="E95" s="1234">
        <f>E69</f>
        <v>40878</v>
      </c>
      <c r="F95" s="1234">
        <f t="shared" ref="F95:Q95" si="6">F69</f>
        <v>40909</v>
      </c>
      <c r="G95" s="1234">
        <f t="shared" si="6"/>
        <v>40940</v>
      </c>
      <c r="H95" s="1234">
        <f t="shared" si="6"/>
        <v>40969</v>
      </c>
      <c r="I95" s="1234">
        <f t="shared" si="6"/>
        <v>41000</v>
      </c>
      <c r="J95" s="1234">
        <f t="shared" si="6"/>
        <v>41030</v>
      </c>
      <c r="K95" s="1234">
        <f t="shared" si="6"/>
        <v>41061</v>
      </c>
      <c r="L95" s="1234">
        <f t="shared" si="6"/>
        <v>41091</v>
      </c>
      <c r="M95" s="1234">
        <f t="shared" si="6"/>
        <v>41122</v>
      </c>
      <c r="N95" s="1234">
        <f t="shared" si="6"/>
        <v>41153</v>
      </c>
      <c r="O95" s="1234">
        <f t="shared" si="6"/>
        <v>41183</v>
      </c>
      <c r="P95" s="1234">
        <f t="shared" si="6"/>
        <v>41214</v>
      </c>
      <c r="Q95" s="1234">
        <f t="shared" si="6"/>
        <v>41244</v>
      </c>
      <c r="R95" s="1135" t="s">
        <v>1585</v>
      </c>
    </row>
    <row r="96" spans="1:19">
      <c r="A96" s="293">
        <f>A90+1</f>
        <v>73</v>
      </c>
      <c r="B96" s="788"/>
      <c r="C96" s="1195" t="s">
        <v>11</v>
      </c>
      <c r="D96" s="1216"/>
      <c r="E96" s="1215"/>
      <c r="F96" s="1214"/>
      <c r="G96" s="1214"/>
      <c r="H96" s="1214"/>
      <c r="I96" s="1214"/>
      <c r="J96" s="1214"/>
      <c r="K96" s="1214"/>
      <c r="L96" s="1214"/>
      <c r="M96" s="1214"/>
      <c r="N96" s="1214"/>
      <c r="O96" s="1214"/>
      <c r="P96" s="1214"/>
      <c r="Q96" s="1214"/>
      <c r="R96" s="1172"/>
      <c r="S96" s="498"/>
    </row>
    <row r="97" spans="1:19">
      <c r="A97" s="293">
        <f>A96+1</f>
        <v>74</v>
      </c>
      <c r="B97" s="788"/>
      <c r="C97" s="1126" t="s">
        <v>79</v>
      </c>
      <c r="D97" s="1217"/>
      <c r="E97" s="2019">
        <f t="shared" ref="E97" si="7">E44-E71</f>
        <v>1028439</v>
      </c>
      <c r="F97" s="2019">
        <f t="shared" ref="F97:Q97" si="8">F44-F71</f>
        <v>1025354</v>
      </c>
      <c r="G97" s="2019">
        <f t="shared" si="8"/>
        <v>1022268</v>
      </c>
      <c r="H97" s="2019">
        <f t="shared" si="8"/>
        <v>1043248</v>
      </c>
      <c r="I97" s="2019">
        <f t="shared" si="8"/>
        <v>1040148</v>
      </c>
      <c r="J97" s="2019">
        <f t="shared" si="8"/>
        <v>1037038</v>
      </c>
      <c r="K97" s="2019">
        <f t="shared" si="8"/>
        <v>1033940</v>
      </c>
      <c r="L97" s="2019">
        <f t="shared" si="8"/>
        <v>1030828</v>
      </c>
      <c r="M97" s="2019">
        <f t="shared" si="8"/>
        <v>1027716</v>
      </c>
      <c r="N97" s="2019">
        <f t="shared" si="8"/>
        <v>1024603</v>
      </c>
      <c r="O97" s="2019">
        <f t="shared" si="8"/>
        <v>1021491</v>
      </c>
      <c r="P97" s="2019">
        <f t="shared" si="8"/>
        <v>1018377</v>
      </c>
      <c r="Q97" s="2019">
        <f t="shared" si="8"/>
        <v>1014200</v>
      </c>
      <c r="R97" s="1172">
        <f>ROUND((SUM(E97:Q97)/13),0)</f>
        <v>1028281</v>
      </c>
      <c r="S97" s="1976"/>
    </row>
    <row r="98" spans="1:19" ht="15.75" thickBot="1">
      <c r="A98" s="293">
        <f t="shared" ref="A98:A116" si="9">A97+1</f>
        <v>75</v>
      </c>
      <c r="B98" s="788"/>
      <c r="C98" s="1126"/>
      <c r="D98" s="1217"/>
      <c r="E98" s="2020">
        <f t="shared" ref="E98" si="10">E45-E72</f>
        <v>0</v>
      </c>
      <c r="F98" s="2020">
        <f t="shared" ref="F98:Q98" si="11">F45-F72</f>
        <v>0</v>
      </c>
      <c r="G98" s="2020">
        <f t="shared" si="11"/>
        <v>0</v>
      </c>
      <c r="H98" s="2020">
        <f t="shared" si="11"/>
        <v>0</v>
      </c>
      <c r="I98" s="2020">
        <f t="shared" si="11"/>
        <v>0</v>
      </c>
      <c r="J98" s="2020">
        <f t="shared" si="11"/>
        <v>0</v>
      </c>
      <c r="K98" s="2020">
        <f t="shared" si="11"/>
        <v>0</v>
      </c>
      <c r="L98" s="2020">
        <f t="shared" si="11"/>
        <v>0</v>
      </c>
      <c r="M98" s="2020">
        <f t="shared" si="11"/>
        <v>0</v>
      </c>
      <c r="N98" s="2020">
        <f t="shared" si="11"/>
        <v>0</v>
      </c>
      <c r="O98" s="2020">
        <f t="shared" si="11"/>
        <v>0</v>
      </c>
      <c r="P98" s="2020">
        <f t="shared" si="11"/>
        <v>0</v>
      </c>
      <c r="Q98" s="2020">
        <f t="shared" si="11"/>
        <v>0</v>
      </c>
      <c r="R98" s="1172">
        <f>SUM(E98:Q98)/13</f>
        <v>0</v>
      </c>
      <c r="S98" s="498"/>
    </row>
    <row r="99" spans="1:19" ht="15.75" thickBot="1">
      <c r="A99" s="293">
        <f t="shared" si="9"/>
        <v>76</v>
      </c>
      <c r="B99" s="788"/>
      <c r="C99" s="1220" t="s">
        <v>54</v>
      </c>
      <c r="D99" s="1217"/>
      <c r="E99" s="1228"/>
      <c r="F99" s="1228"/>
      <c r="G99" s="1228"/>
      <c r="H99" s="1228"/>
      <c r="I99" s="1228"/>
      <c r="J99" s="1228"/>
      <c r="K99" s="1228"/>
      <c r="L99" s="1228"/>
      <c r="M99" s="1228"/>
      <c r="N99" s="1228"/>
      <c r="O99" s="1228"/>
      <c r="P99" s="1228"/>
      <c r="Q99" s="1228"/>
      <c r="R99" s="1230">
        <f>SUM(R97:R98)</f>
        <v>1028281</v>
      </c>
      <c r="S99" s="498"/>
    </row>
    <row r="100" spans="1:19">
      <c r="A100" s="293">
        <f t="shared" si="9"/>
        <v>77</v>
      </c>
      <c r="B100" s="788"/>
      <c r="C100" s="1195" t="s">
        <v>929</v>
      </c>
      <c r="D100" s="1216"/>
      <c r="E100" s="1227"/>
      <c r="F100" s="1227"/>
      <c r="G100" s="1227"/>
      <c r="H100" s="1227"/>
      <c r="I100" s="1227"/>
      <c r="J100" s="1227"/>
      <c r="K100" s="1227"/>
      <c r="L100" s="1227"/>
      <c r="M100" s="1227"/>
      <c r="N100" s="1227"/>
      <c r="O100" s="1227"/>
      <c r="P100" s="1227"/>
      <c r="Q100" s="1227"/>
      <c r="R100" s="1223"/>
      <c r="S100" s="498"/>
    </row>
    <row r="101" spans="1:19">
      <c r="A101" s="293">
        <f t="shared" si="9"/>
        <v>78</v>
      </c>
      <c r="B101" s="788"/>
      <c r="C101" s="1126" t="s">
        <v>79</v>
      </c>
      <c r="D101" s="1217"/>
      <c r="E101" s="2019">
        <f t="shared" ref="E101" si="12">E48-E75</f>
        <v>6768248.1300000008</v>
      </c>
      <c r="F101" s="2019">
        <f t="shared" ref="F101:Q101" si="13">F48-F75</f>
        <v>6751180</v>
      </c>
      <c r="G101" s="2019">
        <f t="shared" si="13"/>
        <v>6732502</v>
      </c>
      <c r="H101" s="2019">
        <f t="shared" si="13"/>
        <v>6719804</v>
      </c>
      <c r="I101" s="2019">
        <f t="shared" si="13"/>
        <v>6701224</v>
      </c>
      <c r="J101" s="2019">
        <f t="shared" si="13"/>
        <v>6685864</v>
      </c>
      <c r="K101" s="2019">
        <f t="shared" si="13"/>
        <v>6609164</v>
      </c>
      <c r="L101" s="2019">
        <f t="shared" si="13"/>
        <v>6599099</v>
      </c>
      <c r="M101" s="2019">
        <f t="shared" si="13"/>
        <v>6569749</v>
      </c>
      <c r="N101" s="2019">
        <f t="shared" si="13"/>
        <v>6597301</v>
      </c>
      <c r="O101" s="2019">
        <f t="shared" si="13"/>
        <v>6578886</v>
      </c>
      <c r="P101" s="2019">
        <f t="shared" si="13"/>
        <v>6569969</v>
      </c>
      <c r="Q101" s="2019">
        <f t="shared" si="13"/>
        <v>6552697</v>
      </c>
      <c r="R101" s="1172">
        <f>ROUND((SUM(E101:Q101)/13),0)</f>
        <v>6648899</v>
      </c>
      <c r="S101" s="1977"/>
    </row>
    <row r="102" spans="1:19" ht="15.75" thickBot="1">
      <c r="A102" s="293">
        <f t="shared" si="9"/>
        <v>79</v>
      </c>
      <c r="B102" s="788"/>
      <c r="C102" s="1126"/>
      <c r="D102" s="1217"/>
      <c r="E102" s="2020">
        <f t="shared" ref="E102" si="14">E49-E76</f>
        <v>0</v>
      </c>
      <c r="F102" s="2020">
        <f t="shared" ref="F102:Q102" si="15">F49-F76</f>
        <v>0</v>
      </c>
      <c r="G102" s="2020">
        <f t="shared" si="15"/>
        <v>0</v>
      </c>
      <c r="H102" s="2020">
        <f t="shared" si="15"/>
        <v>0</v>
      </c>
      <c r="I102" s="2020">
        <f t="shared" si="15"/>
        <v>0</v>
      </c>
      <c r="J102" s="2020">
        <f t="shared" si="15"/>
        <v>0</v>
      </c>
      <c r="K102" s="2020">
        <f t="shared" si="15"/>
        <v>0</v>
      </c>
      <c r="L102" s="2020">
        <f t="shared" si="15"/>
        <v>0</v>
      </c>
      <c r="M102" s="2020">
        <f t="shared" si="15"/>
        <v>0</v>
      </c>
      <c r="N102" s="2020">
        <f t="shared" si="15"/>
        <v>0</v>
      </c>
      <c r="O102" s="2020">
        <f t="shared" si="15"/>
        <v>0</v>
      </c>
      <c r="P102" s="2020">
        <f t="shared" si="15"/>
        <v>0</v>
      </c>
      <c r="Q102" s="2020">
        <f t="shared" si="15"/>
        <v>0</v>
      </c>
      <c r="R102" s="1172">
        <f>SUM(E102:Q102)/13</f>
        <v>0</v>
      </c>
      <c r="S102" s="498"/>
    </row>
    <row r="103" spans="1:19" ht="15.75" thickBot="1">
      <c r="A103" s="293">
        <f t="shared" si="9"/>
        <v>80</v>
      </c>
      <c r="B103" s="1131"/>
      <c r="C103" s="1220" t="s">
        <v>54</v>
      </c>
      <c r="D103" s="1217"/>
      <c r="E103" s="1221"/>
      <c r="F103" s="1221"/>
      <c r="G103" s="1221"/>
      <c r="H103" s="1221"/>
      <c r="I103" s="1221"/>
      <c r="J103" s="1221"/>
      <c r="K103" s="1221"/>
      <c r="L103" s="1221"/>
      <c r="M103" s="1221"/>
      <c r="N103" s="1221"/>
      <c r="O103" s="1221"/>
      <c r="P103" s="1221"/>
      <c r="Q103" s="1221"/>
      <c r="R103" s="1230">
        <f>SUM(R101:R102)</f>
        <v>6648899</v>
      </c>
    </row>
    <row r="104" spans="1:19">
      <c r="A104" s="293">
        <f t="shared" si="9"/>
        <v>81</v>
      </c>
      <c r="B104" s="788"/>
      <c r="C104" s="1195" t="s">
        <v>1666</v>
      </c>
      <c r="D104" s="1216"/>
      <c r="E104" s="1221"/>
      <c r="F104" s="1221"/>
      <c r="G104" s="1221"/>
      <c r="H104" s="1221"/>
      <c r="I104" s="1221"/>
      <c r="J104" s="1221"/>
      <c r="K104" s="1221"/>
      <c r="L104" s="1221"/>
      <c r="M104" s="1221"/>
      <c r="N104" s="1221"/>
      <c r="O104" s="1221"/>
      <c r="P104" s="1221"/>
      <c r="Q104" s="1221"/>
      <c r="R104" s="1151"/>
    </row>
    <row r="105" spans="1:19">
      <c r="A105" s="293">
        <f t="shared" si="9"/>
        <v>82</v>
      </c>
      <c r="B105" s="788"/>
      <c r="C105" s="1126" t="s">
        <v>79</v>
      </c>
      <c r="D105" s="1217"/>
      <c r="E105" s="2019">
        <f t="shared" ref="E105" si="16">E52-E79</f>
        <v>26939091</v>
      </c>
      <c r="F105" s="2019">
        <f t="shared" ref="F105:Q105" si="17">F52-F79</f>
        <v>26884144</v>
      </c>
      <c r="G105" s="2019">
        <f t="shared" si="17"/>
        <v>26831536</v>
      </c>
      <c r="H105" s="2019">
        <f t="shared" si="17"/>
        <v>26940925</v>
      </c>
      <c r="I105" s="2019">
        <f t="shared" si="17"/>
        <v>26888378</v>
      </c>
      <c r="J105" s="2019">
        <f t="shared" si="17"/>
        <v>26845052</v>
      </c>
      <c r="K105" s="2019">
        <f t="shared" si="17"/>
        <v>26792535</v>
      </c>
      <c r="L105" s="2019">
        <f t="shared" si="17"/>
        <v>26740428</v>
      </c>
      <c r="M105" s="2019">
        <f t="shared" si="17"/>
        <v>26687183</v>
      </c>
      <c r="N105" s="2019">
        <f t="shared" si="17"/>
        <v>25926010</v>
      </c>
      <c r="O105" s="2019">
        <f t="shared" si="17"/>
        <v>26528254</v>
      </c>
      <c r="P105" s="2019">
        <f t="shared" si="17"/>
        <v>26476943</v>
      </c>
      <c r="Q105" s="2019">
        <f t="shared" si="17"/>
        <v>27138708</v>
      </c>
      <c r="R105" s="1172">
        <f>ROUND((SUM(E105:Q105)/13),0)</f>
        <v>26739937</v>
      </c>
    </row>
    <row r="106" spans="1:19" ht="15.75" thickBot="1">
      <c r="A106" s="293">
        <f t="shared" si="9"/>
        <v>83</v>
      </c>
      <c r="C106" s="1126"/>
      <c r="D106" s="1217"/>
      <c r="E106" s="2020">
        <f t="shared" ref="E106" si="18">E53-E80</f>
        <v>0</v>
      </c>
      <c r="F106" s="2020">
        <f t="shared" ref="F106:Q106" si="19">F53-F80</f>
        <v>0</v>
      </c>
      <c r="G106" s="2020">
        <f t="shared" si="19"/>
        <v>0</v>
      </c>
      <c r="H106" s="2020">
        <f t="shared" si="19"/>
        <v>0</v>
      </c>
      <c r="I106" s="2020">
        <f t="shared" si="19"/>
        <v>0</v>
      </c>
      <c r="J106" s="2020">
        <f t="shared" si="19"/>
        <v>0</v>
      </c>
      <c r="K106" s="2020">
        <f t="shared" si="19"/>
        <v>0</v>
      </c>
      <c r="L106" s="2020">
        <f t="shared" si="19"/>
        <v>0</v>
      </c>
      <c r="M106" s="2020">
        <f t="shared" si="19"/>
        <v>0</v>
      </c>
      <c r="N106" s="2020">
        <f t="shared" si="19"/>
        <v>0</v>
      </c>
      <c r="O106" s="2020">
        <f t="shared" si="19"/>
        <v>0</v>
      </c>
      <c r="P106" s="2020">
        <f t="shared" si="19"/>
        <v>0</v>
      </c>
      <c r="Q106" s="2020">
        <f t="shared" si="19"/>
        <v>0</v>
      </c>
      <c r="R106" s="1172">
        <f>SUM(E106:Q106)/13</f>
        <v>0</v>
      </c>
    </row>
    <row r="107" spans="1:19" ht="15.75" thickBot="1">
      <c r="A107" s="293">
        <f t="shared" si="9"/>
        <v>84</v>
      </c>
      <c r="C107" s="1220" t="s">
        <v>54</v>
      </c>
      <c r="D107" s="1217"/>
      <c r="E107" s="1221"/>
      <c r="F107" s="1221"/>
      <c r="G107" s="1221"/>
      <c r="H107" s="1221"/>
      <c r="I107" s="1221"/>
      <c r="J107" s="1221"/>
      <c r="K107" s="1221"/>
      <c r="L107" s="1221"/>
      <c r="M107" s="1221"/>
      <c r="N107" s="1221"/>
      <c r="O107" s="1221"/>
      <c r="P107" s="1221"/>
      <c r="Q107" s="1221"/>
      <c r="R107" s="1230">
        <f>SUM(R105:R106)</f>
        <v>26739937</v>
      </c>
    </row>
    <row r="108" spans="1:19">
      <c r="A108" s="293">
        <f t="shared" si="9"/>
        <v>85</v>
      </c>
      <c r="C108" s="1195" t="s">
        <v>498</v>
      </c>
      <c r="D108" s="1216"/>
      <c r="E108" s="1221"/>
      <c r="F108" s="1221"/>
      <c r="G108" s="1221"/>
      <c r="H108" s="1221"/>
      <c r="I108" s="1221"/>
      <c r="J108" s="1221"/>
      <c r="K108" s="1221"/>
      <c r="L108" s="1221"/>
      <c r="M108" s="1221"/>
      <c r="N108" s="1221"/>
      <c r="O108" s="1221"/>
      <c r="P108" s="1221"/>
      <c r="Q108" s="1221"/>
      <c r="R108" s="1151"/>
    </row>
    <row r="109" spans="1:19">
      <c r="A109" s="293">
        <f t="shared" si="9"/>
        <v>86</v>
      </c>
      <c r="C109" s="1126" t="s">
        <v>79</v>
      </c>
      <c r="D109" s="1217"/>
      <c r="E109" s="2019">
        <f t="shared" ref="E109" si="20">E56-E83</f>
        <v>18056014.319999997</v>
      </c>
      <c r="F109" s="2019">
        <f t="shared" ref="F109:Q109" si="21">F56-F83</f>
        <v>18079410</v>
      </c>
      <c r="G109" s="2019">
        <f t="shared" si="21"/>
        <v>18036172</v>
      </c>
      <c r="H109" s="2019">
        <f t="shared" si="21"/>
        <v>18018300</v>
      </c>
      <c r="I109" s="2019">
        <f t="shared" si="21"/>
        <v>17974818</v>
      </c>
      <c r="J109" s="2019">
        <f t="shared" si="21"/>
        <v>17946369</v>
      </c>
      <c r="K109" s="2019">
        <f t="shared" si="21"/>
        <v>17798508</v>
      </c>
      <c r="L109" s="2019">
        <f t="shared" si="21"/>
        <v>17798355</v>
      </c>
      <c r="M109" s="2019">
        <f t="shared" si="21"/>
        <v>17724075</v>
      </c>
      <c r="N109" s="2019">
        <f t="shared" si="21"/>
        <v>17859527</v>
      </c>
      <c r="O109" s="2019">
        <f t="shared" si="21"/>
        <v>17814519</v>
      </c>
      <c r="P109" s="2019">
        <f t="shared" si="21"/>
        <v>17805831</v>
      </c>
      <c r="Q109" s="2019">
        <f t="shared" si="21"/>
        <v>17911839</v>
      </c>
      <c r="R109" s="1172">
        <f>ROUND((SUM(E109:Q109)/13),0)</f>
        <v>17909518</v>
      </c>
    </row>
    <row r="110" spans="1:19" ht="15.75" thickBot="1">
      <c r="A110" s="293">
        <f t="shared" si="9"/>
        <v>87</v>
      </c>
      <c r="C110" s="1126"/>
      <c r="D110" s="1217"/>
      <c r="E110" s="2020">
        <f t="shared" ref="E110" si="22">E57-E84</f>
        <v>0</v>
      </c>
      <c r="F110" s="2020">
        <f t="shared" ref="F110:Q110" si="23">F57-F84</f>
        <v>0</v>
      </c>
      <c r="G110" s="2020">
        <f t="shared" si="23"/>
        <v>0</v>
      </c>
      <c r="H110" s="2020">
        <f t="shared" si="23"/>
        <v>0</v>
      </c>
      <c r="I110" s="2020">
        <f t="shared" si="23"/>
        <v>0</v>
      </c>
      <c r="J110" s="2020">
        <f t="shared" si="23"/>
        <v>0</v>
      </c>
      <c r="K110" s="2020">
        <f t="shared" si="23"/>
        <v>0</v>
      </c>
      <c r="L110" s="2020">
        <f t="shared" si="23"/>
        <v>0</v>
      </c>
      <c r="M110" s="2020">
        <f t="shared" si="23"/>
        <v>0</v>
      </c>
      <c r="N110" s="2020">
        <f t="shared" si="23"/>
        <v>0</v>
      </c>
      <c r="O110" s="2020">
        <f t="shared" si="23"/>
        <v>0</v>
      </c>
      <c r="P110" s="2020">
        <f t="shared" si="23"/>
        <v>0</v>
      </c>
      <c r="Q110" s="2020">
        <f t="shared" si="23"/>
        <v>0</v>
      </c>
      <c r="R110" s="1172">
        <f>SUM(E110:Q110)/13</f>
        <v>0</v>
      </c>
    </row>
    <row r="111" spans="1:19" ht="15.75" thickBot="1">
      <c r="A111" s="293">
        <f t="shared" si="9"/>
        <v>88</v>
      </c>
      <c r="C111" s="1218" t="s">
        <v>54</v>
      </c>
      <c r="D111" s="1219"/>
      <c r="E111" s="1221"/>
      <c r="F111" s="1221"/>
      <c r="G111" s="1221"/>
      <c r="H111" s="1221"/>
      <c r="I111" s="1221"/>
      <c r="J111" s="1221"/>
      <c r="K111" s="1221"/>
      <c r="L111" s="1221"/>
      <c r="M111" s="1221"/>
      <c r="N111" s="1221"/>
      <c r="O111" s="1221"/>
      <c r="P111" s="1221"/>
      <c r="Q111" s="1221"/>
      <c r="R111" s="1230">
        <f>SUM(R109:R110)</f>
        <v>17909518</v>
      </c>
    </row>
    <row r="112" spans="1:19">
      <c r="A112" s="293">
        <f t="shared" si="9"/>
        <v>89</v>
      </c>
      <c r="C112" s="1195" t="s">
        <v>38</v>
      </c>
      <c r="D112" s="1216"/>
      <c r="E112" s="1221"/>
      <c r="F112" s="1221"/>
      <c r="G112" s="1221"/>
      <c r="H112" s="1221"/>
      <c r="I112" s="1221"/>
      <c r="J112" s="1221"/>
      <c r="K112" s="1221"/>
      <c r="L112" s="1221"/>
      <c r="M112" s="1221"/>
      <c r="N112" s="1221"/>
      <c r="O112" s="1221"/>
      <c r="P112" s="1221"/>
      <c r="Q112" s="1221"/>
      <c r="R112" s="1222"/>
    </row>
    <row r="113" spans="1:18">
      <c r="A113" s="293">
        <f t="shared" si="9"/>
        <v>90</v>
      </c>
      <c r="C113" s="1126" t="s">
        <v>79</v>
      </c>
      <c r="D113" s="1217"/>
      <c r="E113" s="2019">
        <f t="shared" ref="E113" si="24">E60-E87</f>
        <v>0</v>
      </c>
      <c r="F113" s="2019">
        <f t="shared" ref="F113:Q113" si="25">F60-F87</f>
        <v>0</v>
      </c>
      <c r="G113" s="2019">
        <f t="shared" si="25"/>
        <v>0</v>
      </c>
      <c r="H113" s="2019">
        <f t="shared" si="25"/>
        <v>0</v>
      </c>
      <c r="I113" s="2019">
        <f t="shared" si="25"/>
        <v>0</v>
      </c>
      <c r="J113" s="2019">
        <f t="shared" si="25"/>
        <v>0</v>
      </c>
      <c r="K113" s="2019">
        <f t="shared" si="25"/>
        <v>0</v>
      </c>
      <c r="L113" s="2019">
        <f t="shared" si="25"/>
        <v>0</v>
      </c>
      <c r="M113" s="2019">
        <f t="shared" si="25"/>
        <v>0</v>
      </c>
      <c r="N113" s="2019">
        <f t="shared" si="25"/>
        <v>0</v>
      </c>
      <c r="O113" s="2019">
        <f t="shared" si="25"/>
        <v>0</v>
      </c>
      <c r="P113" s="2019">
        <f t="shared" si="25"/>
        <v>0</v>
      </c>
      <c r="Q113" s="2019">
        <f t="shared" si="25"/>
        <v>176118</v>
      </c>
      <c r="R113" s="1172">
        <f>ROUND((SUM(E113:Q113)/13),0)</f>
        <v>13548</v>
      </c>
    </row>
    <row r="114" spans="1:18" ht="15.75" thickBot="1">
      <c r="A114" s="293">
        <f t="shared" si="9"/>
        <v>91</v>
      </c>
      <c r="C114" s="1126"/>
      <c r="D114" s="1217"/>
      <c r="E114" s="2020">
        <v>0</v>
      </c>
      <c r="F114" s="2020">
        <f t="shared" ref="F114:Q114" si="26">F61-F88</f>
        <v>0</v>
      </c>
      <c r="G114" s="2020">
        <f t="shared" si="26"/>
        <v>0</v>
      </c>
      <c r="H114" s="2020">
        <f t="shared" si="26"/>
        <v>0</v>
      </c>
      <c r="I114" s="2020">
        <f t="shared" si="26"/>
        <v>0</v>
      </c>
      <c r="J114" s="2020">
        <f t="shared" si="26"/>
        <v>0</v>
      </c>
      <c r="K114" s="2020">
        <f t="shared" si="26"/>
        <v>0</v>
      </c>
      <c r="L114" s="2020">
        <f t="shared" si="26"/>
        <v>0</v>
      </c>
      <c r="M114" s="2020">
        <f t="shared" si="26"/>
        <v>0</v>
      </c>
      <c r="N114" s="2020">
        <f t="shared" si="26"/>
        <v>0</v>
      </c>
      <c r="O114" s="2020">
        <f t="shared" si="26"/>
        <v>0</v>
      </c>
      <c r="P114" s="2020">
        <f t="shared" si="26"/>
        <v>0</v>
      </c>
      <c r="Q114" s="2020">
        <f t="shared" si="26"/>
        <v>0</v>
      </c>
      <c r="R114" s="1172">
        <f>SUM(E114:Q114)/13</f>
        <v>0</v>
      </c>
    </row>
    <row r="115" spans="1:18" ht="15.75" thickBot="1">
      <c r="A115" s="293">
        <f t="shared" si="9"/>
        <v>92</v>
      </c>
      <c r="C115" s="1220" t="s">
        <v>54</v>
      </c>
      <c r="D115" s="788"/>
      <c r="E115" s="1225"/>
      <c r="F115" s="1225"/>
      <c r="G115" s="1225"/>
      <c r="H115" s="1225"/>
      <c r="I115" s="1225"/>
      <c r="J115" s="1225"/>
      <c r="K115" s="1225"/>
      <c r="L115" s="1225"/>
      <c r="M115" s="1225"/>
      <c r="N115" s="1225"/>
      <c r="O115" s="1225"/>
      <c r="P115" s="1225"/>
      <c r="Q115" s="1225"/>
      <c r="R115" s="1230">
        <f>SUM(R113:R114)</f>
        <v>13548</v>
      </c>
    </row>
    <row r="116" spans="1:18" ht="15.75" thickBot="1">
      <c r="A116" s="293">
        <f t="shared" si="9"/>
        <v>93</v>
      </c>
      <c r="C116" s="1224" t="s">
        <v>930</v>
      </c>
      <c r="D116" s="1116"/>
      <c r="E116" s="1226">
        <f>E97+E98+E101+E102+E105+E106+E109+E110-E113-E114</f>
        <v>52791792.450000003</v>
      </c>
      <c r="F116" s="1226">
        <f t="shared" ref="F116:P116" si="27">F97+F98+F101+F102+F105+F106+F109+F110-F113-F114</f>
        <v>52740088</v>
      </c>
      <c r="G116" s="1226">
        <f t="shared" si="27"/>
        <v>52622478</v>
      </c>
      <c r="H116" s="1744">
        <f t="shared" si="27"/>
        <v>52722277</v>
      </c>
      <c r="I116" s="1226">
        <f t="shared" si="27"/>
        <v>52604568</v>
      </c>
      <c r="J116" s="1744">
        <f t="shared" si="27"/>
        <v>52514323</v>
      </c>
      <c r="K116" s="1744">
        <f t="shared" si="27"/>
        <v>52234147</v>
      </c>
      <c r="L116" s="1226">
        <f t="shared" si="27"/>
        <v>52168710</v>
      </c>
      <c r="M116" s="1226">
        <f t="shared" si="27"/>
        <v>52008723</v>
      </c>
      <c r="N116" s="1226">
        <f t="shared" si="27"/>
        <v>51407441</v>
      </c>
      <c r="O116" s="1226">
        <f t="shared" si="27"/>
        <v>51943150</v>
      </c>
      <c r="P116" s="1226">
        <f t="shared" si="27"/>
        <v>51871120</v>
      </c>
      <c r="Q116" s="1226">
        <f>Q97+Q98+Q101+Q102+Q105+Q106+Q109+Q110-Q113-Q114</f>
        <v>52441326</v>
      </c>
      <c r="R116" s="1226">
        <f>R99+R103+R107+R111-R115</f>
        <v>52313087</v>
      </c>
    </row>
    <row r="117" spans="1:18">
      <c r="A117" s="1360"/>
    </row>
    <row r="118" spans="1:18">
      <c r="R118" s="2033"/>
    </row>
  </sheetData>
  <mergeCells count="14">
    <mergeCell ref="E93:R93"/>
    <mergeCell ref="E40:R40"/>
    <mergeCell ref="E67:R67"/>
    <mergeCell ref="A5:H5"/>
    <mergeCell ref="F7:H7"/>
    <mergeCell ref="O39:P39"/>
    <mergeCell ref="O92:P92"/>
    <mergeCell ref="O38:P38"/>
    <mergeCell ref="O91:P91"/>
    <mergeCell ref="G1:H1"/>
    <mergeCell ref="N3:O3"/>
    <mergeCell ref="A3:H3"/>
    <mergeCell ref="A4:H4"/>
    <mergeCell ref="N2:O2"/>
  </mergeCells>
  <phoneticPr fontId="28" type="noConversion"/>
  <printOptions horizontalCentered="1" gridLines="1"/>
  <pageMargins left="0.5" right="0.5" top="0.5" bottom="0.5" header="0" footer="0"/>
  <pageSetup scale="60" pageOrder="overThenDown" orientation="landscape" r:id="rId1"/>
  <headerFooter alignWithMargins="0">
    <oddFooter>&amp;R&amp;"Arial MT,Bold"&amp;14A-4</oddFooter>
  </headerFooter>
  <rowBreaks count="2" manualBreakCount="2">
    <brk id="37" max="17" man="1"/>
    <brk id="90"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A1:AU152"/>
  <sheetViews>
    <sheetView view="pageBreakPreview" zoomScaleNormal="100" zoomScaleSheetLayoutView="75" workbookViewId="0">
      <selection activeCell="B56" sqref="B56"/>
    </sheetView>
  </sheetViews>
  <sheetFormatPr defaultRowHeight="12.75"/>
  <cols>
    <col min="1" max="1" width="3.88671875" style="1449" customWidth="1"/>
    <col min="2" max="2" width="4.5546875" style="1449" customWidth="1"/>
    <col min="3" max="3" width="35.33203125" style="1449" customWidth="1"/>
    <col min="4" max="4" width="10.88671875" style="1449" customWidth="1"/>
    <col min="5" max="5" width="8.5546875" style="1452" customWidth="1"/>
    <col min="6" max="6" width="0.77734375" style="1452" customWidth="1"/>
    <col min="7" max="7" width="10.5546875" style="1449" customWidth="1"/>
    <col min="8" max="8" width="9.21875" style="1452" customWidth="1"/>
    <col min="9" max="9" width="0.77734375" style="1452" customWidth="1"/>
    <col min="10" max="10" width="9.77734375" style="1449" customWidth="1"/>
    <col min="11" max="11" width="7" style="1452" customWidth="1"/>
    <col min="12" max="12" width="0.88671875" style="1452" customWidth="1"/>
    <col min="13" max="13" width="9" style="1452" customWidth="1"/>
    <col min="14" max="14" width="9" style="1449" customWidth="1"/>
    <col min="15" max="15" width="11.109375" style="1449" customWidth="1"/>
    <col min="16" max="16" width="10.77734375" style="1449" customWidth="1"/>
    <col min="17" max="16384" width="8.88671875" style="1449"/>
  </cols>
  <sheetData>
    <row r="1" spans="1:16" ht="20.25">
      <c r="A1" s="2206" t="s">
        <v>791</v>
      </c>
      <c r="B1" s="2206"/>
      <c r="C1" s="2206"/>
      <c r="D1" s="2206"/>
      <c r="E1" s="2206"/>
      <c r="F1" s="1450"/>
      <c r="G1" s="1451"/>
      <c r="N1" s="2193" t="s">
        <v>165</v>
      </c>
      <c r="O1" s="2193"/>
    </row>
    <row r="2" spans="1:16" ht="18">
      <c r="A2" s="2207" t="s">
        <v>73</v>
      </c>
      <c r="B2" s="2207"/>
      <c r="C2" s="2207"/>
      <c r="D2" s="2207"/>
      <c r="E2" s="2207"/>
      <c r="F2" s="2207"/>
      <c r="G2" s="2207"/>
      <c r="H2" s="2207"/>
      <c r="I2" s="1453"/>
      <c r="N2" s="1508" t="s">
        <v>1735</v>
      </c>
    </row>
    <row r="3" spans="1:16" ht="18">
      <c r="A3" s="1454" t="s">
        <v>792</v>
      </c>
      <c r="B3" s="1453"/>
      <c r="E3" s="1453"/>
      <c r="F3" s="1453"/>
      <c r="G3" s="1453"/>
      <c r="H3" s="1453"/>
      <c r="I3" s="1453"/>
    </row>
    <row r="4" spans="1:16" ht="18.75" thickBot="1">
      <c r="A4" s="1453"/>
      <c r="B4" s="1453"/>
      <c r="C4" s="1453"/>
      <c r="D4" s="2204" t="s">
        <v>1322</v>
      </c>
      <c r="E4" s="2204"/>
      <c r="F4" s="2204"/>
      <c r="G4" s="2204"/>
      <c r="H4" s="2204"/>
      <c r="I4" s="2204"/>
      <c r="J4" s="2204"/>
      <c r="K4" s="2204"/>
      <c r="L4" s="2204"/>
      <c r="M4" s="2204"/>
      <c r="N4" s="2204"/>
      <c r="O4" s="2204"/>
    </row>
    <row r="5" spans="1:16" ht="16.5" thickBot="1">
      <c r="C5" s="1455"/>
      <c r="D5" s="2202" t="s">
        <v>709</v>
      </c>
      <c r="E5" s="2203"/>
      <c r="F5" s="1458"/>
      <c r="G5" s="2202" t="s">
        <v>710</v>
      </c>
      <c r="H5" s="2203"/>
      <c r="I5" s="1458"/>
      <c r="J5" s="2202" t="s">
        <v>1262</v>
      </c>
      <c r="K5" s="2203"/>
      <c r="L5" s="1458"/>
      <c r="M5" s="1459"/>
      <c r="N5" s="2205" t="s">
        <v>793</v>
      </c>
      <c r="O5" s="2203"/>
    </row>
    <row r="6" spans="1:16" s="1452" customFormat="1" ht="45.75" customHeight="1" thickBot="1">
      <c r="A6" s="1461" t="s">
        <v>1263</v>
      </c>
      <c r="B6" s="1461" t="s">
        <v>1264</v>
      </c>
      <c r="C6" s="1462" t="s">
        <v>1633</v>
      </c>
      <c r="D6" s="1463" t="s">
        <v>794</v>
      </c>
      <c r="E6" s="1464" t="s">
        <v>795</v>
      </c>
      <c r="F6" s="1465"/>
      <c r="G6" s="1466" t="s">
        <v>794</v>
      </c>
      <c r="H6" s="1464" t="s">
        <v>1181</v>
      </c>
      <c r="I6" s="1465"/>
      <c r="J6" s="1466" t="s">
        <v>794</v>
      </c>
      <c r="K6" s="1467" t="s">
        <v>795</v>
      </c>
      <c r="L6" s="1468"/>
      <c r="M6" s="1469" t="s">
        <v>796</v>
      </c>
      <c r="N6" s="1470" t="s">
        <v>797</v>
      </c>
      <c r="O6" s="1471" t="s">
        <v>798</v>
      </c>
    </row>
    <row r="7" spans="1:16" s="1452" customFormat="1" ht="15">
      <c r="A7" s="1461"/>
      <c r="B7" s="1461"/>
      <c r="C7" s="1462"/>
      <c r="D7" s="1472" t="s">
        <v>1740</v>
      </c>
      <c r="E7" s="1473" t="s">
        <v>1741</v>
      </c>
      <c r="F7" s="1474"/>
      <c r="G7" s="1475" t="s">
        <v>1576</v>
      </c>
      <c r="H7" s="1476" t="s">
        <v>799</v>
      </c>
      <c r="I7" s="1474"/>
      <c r="J7" s="1475" t="s">
        <v>1743</v>
      </c>
      <c r="K7" s="1476" t="s">
        <v>1744</v>
      </c>
      <c r="L7" s="1477"/>
      <c r="M7" s="1478" t="s">
        <v>1570</v>
      </c>
      <c r="N7" s="1475" t="s">
        <v>1571</v>
      </c>
      <c r="O7" s="1476" t="s">
        <v>1572</v>
      </c>
    </row>
    <row r="8" spans="1:16" s="1452" customFormat="1" ht="15.75" customHeight="1">
      <c r="A8" s="1479">
        <v>1</v>
      </c>
      <c r="B8" s="1479">
        <v>301</v>
      </c>
      <c r="C8" s="1480" t="s">
        <v>1265</v>
      </c>
      <c r="D8" s="2029">
        <v>0.54237500000000005</v>
      </c>
      <c r="E8" s="1114">
        <v>0</v>
      </c>
      <c r="F8" s="1465"/>
      <c r="G8" s="2029">
        <v>0.45286100000000001</v>
      </c>
      <c r="H8" s="1114">
        <v>0</v>
      </c>
      <c r="I8" s="1465"/>
      <c r="J8" s="2029">
        <v>4.764E-3</v>
      </c>
      <c r="K8" s="1114">
        <v>0</v>
      </c>
      <c r="L8" s="1465"/>
      <c r="M8" s="1481" t="s">
        <v>800</v>
      </c>
      <c r="N8" s="1482">
        <f>SUM(D8,G8,J8)</f>
        <v>1</v>
      </c>
      <c r="O8" s="1054">
        <f t="shared" ref="O8:O69" si="0">IF(($D8+$G8+$J8)&gt;0,ROUND((((+$D8*E8)+($G8*H8)+($J8*K8))/($D8+$G8+$J8)),4),0)</f>
        <v>0</v>
      </c>
      <c r="P8" s="1483"/>
    </row>
    <row r="9" spans="1:16" s="1452" customFormat="1" ht="15.75" customHeight="1">
      <c r="A9" s="1479">
        <f t="shared" ref="A9:A20" si="1">+A8+1</f>
        <v>2</v>
      </c>
      <c r="B9" s="1484">
        <v>302</v>
      </c>
      <c r="C9" s="1480" t="s">
        <v>1266</v>
      </c>
      <c r="D9" s="2029">
        <v>1</v>
      </c>
      <c r="E9" s="1114">
        <v>0</v>
      </c>
      <c r="F9" s="1465"/>
      <c r="G9" s="2029">
        <v>0</v>
      </c>
      <c r="H9" s="1114">
        <v>0</v>
      </c>
      <c r="I9" s="1465"/>
      <c r="J9" s="2029">
        <v>0</v>
      </c>
      <c r="K9" s="1114">
        <v>0</v>
      </c>
      <c r="L9" s="1465"/>
      <c r="M9" s="1481" t="s">
        <v>801</v>
      </c>
      <c r="N9" s="1482">
        <f t="shared" ref="N9:N69" si="2">SUM(D9,G9,J9)</f>
        <v>1</v>
      </c>
      <c r="O9" s="1054">
        <f t="shared" si="0"/>
        <v>0</v>
      </c>
      <c r="P9" s="1483"/>
    </row>
    <row r="10" spans="1:16" s="1452" customFormat="1" ht="15.75" customHeight="1">
      <c r="A10" s="1479">
        <f t="shared" si="1"/>
        <v>3</v>
      </c>
      <c r="B10" s="1484">
        <v>303</v>
      </c>
      <c r="C10" s="1480" t="s">
        <v>802</v>
      </c>
      <c r="D10" s="2029">
        <v>0.53807000000000005</v>
      </c>
      <c r="E10" s="1114">
        <v>1.7500000000000002E-2</v>
      </c>
      <c r="F10" s="1465"/>
      <c r="G10" s="2029">
        <v>0.455403</v>
      </c>
      <c r="H10" s="1114">
        <v>1.1599999999999999E-2</v>
      </c>
      <c r="I10" s="1465"/>
      <c r="J10" s="2029">
        <v>6.5269999999999998E-3</v>
      </c>
      <c r="K10" s="1114">
        <f>+K32</f>
        <v>3.2399999999999998E-2</v>
      </c>
      <c r="L10" s="1465"/>
      <c r="M10" s="1485" t="s">
        <v>1771</v>
      </c>
      <c r="N10" s="1482">
        <f t="shared" si="2"/>
        <v>1</v>
      </c>
      <c r="O10" s="1054">
        <f t="shared" si="0"/>
        <v>1.49E-2</v>
      </c>
      <c r="P10" s="1483"/>
    </row>
    <row r="11" spans="1:16" s="1452" customFormat="1" ht="15.75" customHeight="1">
      <c r="A11" s="1479">
        <f t="shared" si="1"/>
        <v>4</v>
      </c>
      <c r="B11" s="1484">
        <v>303</v>
      </c>
      <c r="C11" s="1480" t="s">
        <v>803</v>
      </c>
      <c r="D11" s="2029">
        <v>0.53166000000000002</v>
      </c>
      <c r="E11" s="1114">
        <v>0.2</v>
      </c>
      <c r="F11" s="1465"/>
      <c r="G11" s="2029">
        <v>0.46832600000000002</v>
      </c>
      <c r="H11" s="1114">
        <v>0.2</v>
      </c>
      <c r="I11" s="1465"/>
      <c r="J11" s="2029">
        <v>1.4E-5</v>
      </c>
      <c r="K11" s="1114">
        <v>0.2</v>
      </c>
      <c r="L11" s="1465"/>
      <c r="M11" s="1481" t="s">
        <v>804</v>
      </c>
      <c r="N11" s="1482">
        <f t="shared" si="2"/>
        <v>1</v>
      </c>
      <c r="O11" s="1054">
        <f t="shared" si="0"/>
        <v>0.2</v>
      </c>
      <c r="P11" s="1483"/>
    </row>
    <row r="12" spans="1:16" s="1452" customFormat="1" ht="15.75" customHeight="1">
      <c r="A12" s="1479">
        <f t="shared" si="1"/>
        <v>5</v>
      </c>
      <c r="B12" s="1484">
        <v>303</v>
      </c>
      <c r="C12" s="1480" t="s">
        <v>805</v>
      </c>
      <c r="D12" s="2029">
        <v>0.56874800000000003</v>
      </c>
      <c r="E12" s="1114">
        <v>0.2</v>
      </c>
      <c r="F12" s="1465"/>
      <c r="G12" s="2029">
        <v>0.42397000000000001</v>
      </c>
      <c r="H12" s="1114">
        <v>0.2</v>
      </c>
      <c r="I12" s="1465"/>
      <c r="J12" s="2029">
        <v>7.2820000000000003E-3</v>
      </c>
      <c r="K12" s="1114">
        <v>0.2</v>
      </c>
      <c r="L12" s="1465"/>
      <c r="M12" s="1485" t="s">
        <v>806</v>
      </c>
      <c r="N12" s="1482">
        <f t="shared" si="2"/>
        <v>1</v>
      </c>
      <c r="O12" s="1054">
        <f t="shared" si="0"/>
        <v>0.2</v>
      </c>
      <c r="P12" s="1483"/>
    </row>
    <row r="13" spans="1:16" s="1452" customFormat="1" ht="15.75" customHeight="1">
      <c r="A13" s="1479">
        <f t="shared" si="1"/>
        <v>6</v>
      </c>
      <c r="B13" s="1484">
        <v>303</v>
      </c>
      <c r="C13" s="1480" t="s">
        <v>275</v>
      </c>
      <c r="D13" s="2029">
        <v>0.53807000000000005</v>
      </c>
      <c r="E13" s="1114">
        <v>0.2</v>
      </c>
      <c r="F13" s="1465"/>
      <c r="G13" s="2029">
        <v>0.455403</v>
      </c>
      <c r="H13" s="1114">
        <v>0.2</v>
      </c>
      <c r="I13" s="1465"/>
      <c r="J13" s="2029">
        <v>6.5269999999999998E-3</v>
      </c>
      <c r="K13" s="1114">
        <v>0.2</v>
      </c>
      <c r="L13" s="1465"/>
      <c r="M13" s="1485" t="s">
        <v>1771</v>
      </c>
      <c r="N13" s="1482">
        <f t="shared" si="2"/>
        <v>1</v>
      </c>
      <c r="O13" s="1054">
        <f t="shared" si="0"/>
        <v>0.2</v>
      </c>
      <c r="P13" s="1483"/>
    </row>
    <row r="14" spans="1:16" s="1452" customFormat="1" ht="15.75" customHeight="1">
      <c r="A14" s="1479">
        <f t="shared" si="1"/>
        <v>7</v>
      </c>
      <c r="B14" s="1484">
        <v>303</v>
      </c>
      <c r="C14" s="1480" t="s">
        <v>276</v>
      </c>
      <c r="D14" s="2029">
        <v>0.53530100000000003</v>
      </c>
      <c r="E14" s="1114">
        <v>0.2</v>
      </c>
      <c r="F14" s="1465"/>
      <c r="G14" s="2029">
        <v>0.459872</v>
      </c>
      <c r="H14" s="1114">
        <v>0.2</v>
      </c>
      <c r="I14" s="1465"/>
      <c r="J14" s="2029">
        <v>4.8260000000000004E-3</v>
      </c>
      <c r="K14" s="1114">
        <v>0.2</v>
      </c>
      <c r="L14" s="1465"/>
      <c r="M14" s="1485" t="s">
        <v>277</v>
      </c>
      <c r="N14" s="1482">
        <f t="shared" si="2"/>
        <v>0.99999900000000008</v>
      </c>
      <c r="O14" s="1054">
        <f t="shared" si="0"/>
        <v>0.2</v>
      </c>
      <c r="P14" s="1483"/>
    </row>
    <row r="15" spans="1:16" s="1452" customFormat="1" ht="15.75" customHeight="1">
      <c r="A15" s="1479">
        <f t="shared" si="1"/>
        <v>8</v>
      </c>
      <c r="B15" s="1484">
        <v>303</v>
      </c>
      <c r="C15" s="1480" t="s">
        <v>278</v>
      </c>
      <c r="D15" s="2029">
        <v>0.53807000000000005</v>
      </c>
      <c r="E15" s="1114">
        <v>0.2</v>
      </c>
      <c r="F15" s="1465"/>
      <c r="G15" s="2029">
        <v>0.455403</v>
      </c>
      <c r="H15" s="1114">
        <v>0.2</v>
      </c>
      <c r="I15" s="1465"/>
      <c r="J15" s="2029">
        <v>6.5269999999999998E-3</v>
      </c>
      <c r="K15" s="1114">
        <v>0.2</v>
      </c>
      <c r="L15" s="1465"/>
      <c r="M15" s="1485" t="s">
        <v>1771</v>
      </c>
      <c r="N15" s="1482">
        <f t="shared" si="2"/>
        <v>1</v>
      </c>
      <c r="O15" s="1054">
        <f t="shared" si="0"/>
        <v>0.2</v>
      </c>
      <c r="P15" s="1483"/>
    </row>
    <row r="16" spans="1:16" s="1452" customFormat="1" ht="15.75" customHeight="1">
      <c r="A16" s="1479">
        <f t="shared" si="1"/>
        <v>9</v>
      </c>
      <c r="B16" s="1484">
        <v>303</v>
      </c>
      <c r="C16" s="1480" t="s">
        <v>279</v>
      </c>
      <c r="D16" s="2029">
        <v>0.53166000000000002</v>
      </c>
      <c r="E16" s="1114">
        <v>0.1</v>
      </c>
      <c r="F16" s="1465"/>
      <c r="G16" s="2029">
        <v>0.46832600000000002</v>
      </c>
      <c r="H16" s="1114">
        <v>0.1</v>
      </c>
      <c r="I16" s="1465"/>
      <c r="J16" s="2029">
        <v>1.4E-5</v>
      </c>
      <c r="K16" s="1114">
        <v>0.1</v>
      </c>
      <c r="L16" s="1465"/>
      <c r="M16" s="1485" t="s">
        <v>804</v>
      </c>
      <c r="N16" s="1482">
        <f t="shared" si="2"/>
        <v>1</v>
      </c>
      <c r="O16" s="1054">
        <f t="shared" si="0"/>
        <v>0.1</v>
      </c>
      <c r="P16" s="1483"/>
    </row>
    <row r="17" spans="1:16" s="1452" customFormat="1" ht="15.75" customHeight="1">
      <c r="A17" s="1479">
        <f t="shared" si="1"/>
        <v>10</v>
      </c>
      <c r="B17" s="1484">
        <v>303</v>
      </c>
      <c r="C17" s="1480" t="s">
        <v>280</v>
      </c>
      <c r="D17" s="2029">
        <v>0.56874800000000003</v>
      </c>
      <c r="E17" s="1114">
        <v>0.1</v>
      </c>
      <c r="F17" s="1465"/>
      <c r="G17" s="2029">
        <v>0.42397000000000001</v>
      </c>
      <c r="H17" s="1114">
        <v>0.1</v>
      </c>
      <c r="I17" s="1465"/>
      <c r="J17" s="2029">
        <v>7.2820000000000003E-3</v>
      </c>
      <c r="K17" s="1114">
        <v>0.1</v>
      </c>
      <c r="L17" s="1465"/>
      <c r="M17" s="1485" t="s">
        <v>806</v>
      </c>
      <c r="N17" s="1482">
        <f t="shared" si="2"/>
        <v>1</v>
      </c>
      <c r="O17" s="1054">
        <f t="shared" si="0"/>
        <v>0.1</v>
      </c>
      <c r="P17" s="1483"/>
    </row>
    <row r="18" spans="1:16" s="1452" customFormat="1" ht="15.75" customHeight="1">
      <c r="A18" s="1479">
        <f t="shared" si="1"/>
        <v>11</v>
      </c>
      <c r="B18" s="1484">
        <v>303</v>
      </c>
      <c r="C18" s="1480" t="s">
        <v>281</v>
      </c>
      <c r="D18" s="2029">
        <v>0.53667299999999996</v>
      </c>
      <c r="E18" s="1114">
        <v>2.7400000000000001E-2</v>
      </c>
      <c r="F18" s="1465"/>
      <c r="G18" s="2029">
        <v>0.46227499999999999</v>
      </c>
      <c r="H18" s="1114">
        <v>4.99E-2</v>
      </c>
      <c r="I18" s="1465"/>
      <c r="J18" s="2029">
        <v>1.052E-3</v>
      </c>
      <c r="K18" s="1114">
        <v>3.6499999999999998E-2</v>
      </c>
      <c r="L18" s="1465"/>
      <c r="M18" s="1485" t="s">
        <v>282</v>
      </c>
      <c r="N18" s="1482">
        <f t="shared" si="2"/>
        <v>1</v>
      </c>
      <c r="O18" s="1054">
        <f t="shared" si="0"/>
        <v>3.78E-2</v>
      </c>
      <c r="P18" s="1483"/>
    </row>
    <row r="19" spans="1:16" s="1452" customFormat="1" ht="15.75" customHeight="1">
      <c r="A19" s="1479">
        <f t="shared" si="1"/>
        <v>12</v>
      </c>
      <c r="B19" s="1484">
        <v>303</v>
      </c>
      <c r="C19" s="1480" t="s">
        <v>818</v>
      </c>
      <c r="D19" s="2029">
        <v>0.53807000000000005</v>
      </c>
      <c r="E19" s="1114">
        <v>2.81E-2</v>
      </c>
      <c r="F19" s="2030"/>
      <c r="G19" s="2029">
        <v>0.455403</v>
      </c>
      <c r="H19" s="1114">
        <v>1.7500000000000002E-2</v>
      </c>
      <c r="I19" s="2030"/>
      <c r="J19" s="2029">
        <v>6.5269999999999998E-3</v>
      </c>
      <c r="K19" s="1114">
        <v>0.04</v>
      </c>
      <c r="L19" s="1465"/>
      <c r="M19" s="1485" t="s">
        <v>1771</v>
      </c>
      <c r="N19" s="1482">
        <f t="shared" si="2"/>
        <v>1</v>
      </c>
      <c r="O19" s="1054">
        <f t="shared" si="0"/>
        <v>2.3400000000000001E-2</v>
      </c>
      <c r="P19" s="1483"/>
    </row>
    <row r="20" spans="1:16" s="1452" customFormat="1" ht="15.75" customHeight="1">
      <c r="A20" s="1479">
        <f t="shared" si="1"/>
        <v>13</v>
      </c>
      <c r="B20" s="1484">
        <v>303</v>
      </c>
      <c r="C20" s="1480" t="s">
        <v>1803</v>
      </c>
      <c r="D20" s="2029">
        <v>0.53807000000000005</v>
      </c>
      <c r="E20" s="1114">
        <v>2.7400000000000001E-2</v>
      </c>
      <c r="F20" s="1465"/>
      <c r="G20" s="2029">
        <v>0.455403</v>
      </c>
      <c r="H20" s="1114">
        <v>1.09E-2</v>
      </c>
      <c r="I20" s="1465"/>
      <c r="J20" s="2029">
        <v>6.5269999999999998E-3</v>
      </c>
      <c r="K20" s="1114">
        <v>4.1200000000000001E-2</v>
      </c>
      <c r="L20" s="1465"/>
      <c r="M20" s="1485" t="s">
        <v>1642</v>
      </c>
      <c r="N20" s="1482">
        <f t="shared" si="2"/>
        <v>1</v>
      </c>
      <c r="O20" s="1054">
        <f t="shared" si="0"/>
        <v>0.02</v>
      </c>
      <c r="P20" s="1483"/>
    </row>
    <row r="21" spans="1:16" s="1452" customFormat="1" ht="15.75" customHeight="1">
      <c r="A21" s="1954" t="s">
        <v>852</v>
      </c>
      <c r="B21" s="1484">
        <v>303</v>
      </c>
      <c r="C21" s="1480" t="s">
        <v>1804</v>
      </c>
      <c r="D21" s="2029">
        <v>0.53807000000000005</v>
      </c>
      <c r="E21" s="1114">
        <v>2.7900000000000001E-2</v>
      </c>
      <c r="F21" s="1465"/>
      <c r="G21" s="2029">
        <v>0.455403</v>
      </c>
      <c r="H21" s="1114">
        <v>0.02</v>
      </c>
      <c r="I21" s="1465"/>
      <c r="J21" s="2029">
        <v>6.5269999999999998E-3</v>
      </c>
      <c r="K21" s="1114">
        <v>0</v>
      </c>
      <c r="L21" s="1465"/>
      <c r="M21" s="1485" t="s">
        <v>1643</v>
      </c>
      <c r="N21" s="1482">
        <f>SUM(D21,G21,J21)</f>
        <v>1</v>
      </c>
      <c r="O21" s="1054">
        <f>IF(($D21+$G21+$J21)&gt;0,ROUND((((+$D21*E21)+($G21*H21)+($J21*K21))/($D21+$G21+$J21)),4),0)</f>
        <v>2.41E-2</v>
      </c>
      <c r="P21" s="1483"/>
    </row>
    <row r="22" spans="1:16" s="1452" customFormat="1" ht="15.75" customHeight="1">
      <c r="A22" s="1954" t="s">
        <v>1802</v>
      </c>
      <c r="B22" s="1484">
        <v>303</v>
      </c>
      <c r="C22" s="1480" t="s">
        <v>1805</v>
      </c>
      <c r="D22" s="2029">
        <v>0.53807000000000005</v>
      </c>
      <c r="E22" s="1114">
        <v>3.6299999999999999E-2</v>
      </c>
      <c r="F22" s="2031"/>
      <c r="G22" s="2029">
        <v>0.455403</v>
      </c>
      <c r="H22" s="1114">
        <v>0</v>
      </c>
      <c r="I22" s="2031"/>
      <c r="J22" s="2029">
        <v>6.5269999999999998E-3</v>
      </c>
      <c r="K22" s="1114">
        <v>0</v>
      </c>
      <c r="L22" s="1465"/>
      <c r="M22" s="1485" t="s">
        <v>1642</v>
      </c>
      <c r="N22" s="1482">
        <f>SUM(D22,G22,J22)</f>
        <v>1</v>
      </c>
      <c r="O22" s="1054">
        <f>IF(($D22+$G22+$J22)&gt;0,ROUND((((+$D22*E22)+($G22*H22)+($J22*K22))/($D22+$G22+$J22)),4),0)</f>
        <v>1.95E-2</v>
      </c>
      <c r="P22" s="1483"/>
    </row>
    <row r="23" spans="1:16" s="1452" customFormat="1" ht="15.75" customHeight="1">
      <c r="A23" s="1479">
        <f>A20+1</f>
        <v>14</v>
      </c>
      <c r="B23" s="1484">
        <v>350</v>
      </c>
      <c r="C23" s="1480" t="s">
        <v>820</v>
      </c>
      <c r="D23" s="2029">
        <v>0.53807000000000005</v>
      </c>
      <c r="E23" s="1114">
        <v>0</v>
      </c>
      <c r="F23" s="1465"/>
      <c r="G23" s="2029">
        <v>0.455403</v>
      </c>
      <c r="H23" s="1114">
        <v>0</v>
      </c>
      <c r="I23" s="1465"/>
      <c r="J23" s="2029">
        <v>6.5269999999999998E-3</v>
      </c>
      <c r="K23" s="1114">
        <v>0</v>
      </c>
      <c r="L23" s="1465"/>
      <c r="M23" s="1485" t="s">
        <v>1643</v>
      </c>
      <c r="N23" s="1482">
        <f t="shared" si="2"/>
        <v>1</v>
      </c>
      <c r="O23" s="1054">
        <f t="shared" si="0"/>
        <v>0</v>
      </c>
      <c r="P23" s="1483"/>
    </row>
    <row r="24" spans="1:16" s="1452" customFormat="1" ht="15.75" customHeight="1">
      <c r="A24" s="1479">
        <f t="shared" ref="A24:A48" si="3">+A23+1</f>
        <v>15</v>
      </c>
      <c r="B24" s="1484">
        <v>350</v>
      </c>
      <c r="C24" s="1486" t="s">
        <v>1443</v>
      </c>
      <c r="D24" s="2029">
        <v>0.53807000000000005</v>
      </c>
      <c r="E24" s="1114">
        <v>1.1900000000000001E-2</v>
      </c>
      <c r="F24" s="1465"/>
      <c r="G24" s="2029">
        <v>0.455403</v>
      </c>
      <c r="H24" s="1114">
        <v>0</v>
      </c>
      <c r="I24" s="1465"/>
      <c r="J24" s="2029">
        <v>6.5269999999999998E-3</v>
      </c>
      <c r="K24" s="1114">
        <v>1.1900000000000001E-2</v>
      </c>
      <c r="L24" s="1465"/>
      <c r="M24" s="1485" t="s">
        <v>821</v>
      </c>
      <c r="N24" s="1482">
        <f t="shared" si="2"/>
        <v>1</v>
      </c>
      <c r="O24" s="1054">
        <f t="shared" si="0"/>
        <v>6.4999999999999997E-3</v>
      </c>
      <c r="P24" s="1483"/>
    </row>
    <row r="25" spans="1:16" s="1452" customFormat="1" ht="15.75" customHeight="1">
      <c r="A25" s="1479">
        <f t="shared" si="3"/>
        <v>16</v>
      </c>
      <c r="B25" s="1484">
        <v>350</v>
      </c>
      <c r="C25" s="1486" t="s">
        <v>855</v>
      </c>
      <c r="D25" s="2029">
        <v>1</v>
      </c>
      <c r="E25" s="1114">
        <v>1.1900000000000001E-2</v>
      </c>
      <c r="F25" s="1465"/>
      <c r="G25" s="2029">
        <v>0</v>
      </c>
      <c r="H25" s="1114">
        <v>0</v>
      </c>
      <c r="I25" s="1465"/>
      <c r="J25" s="2029">
        <v>0</v>
      </c>
      <c r="K25" s="1114">
        <v>1.1900000000000001E-2</v>
      </c>
      <c r="L25" s="1465"/>
      <c r="M25" s="1487" t="s">
        <v>856</v>
      </c>
      <c r="N25" s="1482">
        <f t="shared" si="2"/>
        <v>1</v>
      </c>
      <c r="O25" s="1054">
        <f t="shared" si="0"/>
        <v>1.1900000000000001E-2</v>
      </c>
      <c r="P25" s="1483"/>
    </row>
    <row r="26" spans="1:16" s="1452" customFormat="1" ht="15.75" customHeight="1">
      <c r="A26" s="1479">
        <f t="shared" si="3"/>
        <v>17</v>
      </c>
      <c r="B26" s="1484">
        <v>350</v>
      </c>
      <c r="C26" s="1486" t="s">
        <v>857</v>
      </c>
      <c r="D26" s="2029">
        <v>0</v>
      </c>
      <c r="E26" s="1114">
        <v>1.1900000000000001E-2</v>
      </c>
      <c r="F26" s="1465"/>
      <c r="G26" s="2029">
        <v>1</v>
      </c>
      <c r="H26" s="1114">
        <v>0</v>
      </c>
      <c r="I26" s="1465"/>
      <c r="J26" s="2029">
        <v>0</v>
      </c>
      <c r="K26" s="1114">
        <v>1.1900000000000001E-2</v>
      </c>
      <c r="L26" s="1465"/>
      <c r="M26" s="1488" t="s">
        <v>858</v>
      </c>
      <c r="N26" s="1482">
        <f t="shared" si="2"/>
        <v>1</v>
      </c>
      <c r="O26" s="1054">
        <f t="shared" si="0"/>
        <v>0</v>
      </c>
      <c r="P26" s="1483"/>
    </row>
    <row r="27" spans="1:16" s="1452" customFormat="1" ht="15.75" customHeight="1">
      <c r="A27" s="1479">
        <f t="shared" si="3"/>
        <v>18</v>
      </c>
      <c r="B27" s="1484">
        <v>350</v>
      </c>
      <c r="C27" s="1480" t="s">
        <v>859</v>
      </c>
      <c r="D27" s="2029">
        <v>0.53807000000000005</v>
      </c>
      <c r="E27" s="1114">
        <v>1.1900000000000001E-2</v>
      </c>
      <c r="F27" s="1465"/>
      <c r="G27" s="2029">
        <v>0.455403</v>
      </c>
      <c r="H27" s="1114">
        <v>0</v>
      </c>
      <c r="I27" s="1465"/>
      <c r="J27" s="2029">
        <v>6.5269999999999998E-3</v>
      </c>
      <c r="K27" s="1114">
        <v>1.1900000000000001E-2</v>
      </c>
      <c r="L27" s="1465"/>
      <c r="M27" s="1485" t="s">
        <v>821</v>
      </c>
      <c r="N27" s="1482">
        <f t="shared" si="2"/>
        <v>1</v>
      </c>
      <c r="O27" s="1054">
        <f t="shared" si="0"/>
        <v>6.4999999999999997E-3</v>
      </c>
      <c r="P27" s="1483"/>
    </row>
    <row r="28" spans="1:16" s="1452" customFormat="1" ht="15.75" customHeight="1">
      <c r="A28" s="1479">
        <f t="shared" si="3"/>
        <v>19</v>
      </c>
      <c r="B28" s="1484">
        <v>350</v>
      </c>
      <c r="C28" s="1480" t="s">
        <v>860</v>
      </c>
      <c r="D28" s="2029">
        <v>1</v>
      </c>
      <c r="E28" s="1114">
        <v>1.1900000000000001E-2</v>
      </c>
      <c r="F28" s="1465"/>
      <c r="G28" s="2029">
        <v>0</v>
      </c>
      <c r="H28" s="1114">
        <v>0</v>
      </c>
      <c r="I28" s="1465"/>
      <c r="J28" s="2029">
        <v>0</v>
      </c>
      <c r="K28" s="1114">
        <v>0</v>
      </c>
      <c r="L28" s="1465"/>
      <c r="M28" s="1487" t="s">
        <v>856</v>
      </c>
      <c r="N28" s="1482">
        <f t="shared" si="2"/>
        <v>1</v>
      </c>
      <c r="O28" s="1054">
        <f t="shared" si="0"/>
        <v>1.1900000000000001E-2</v>
      </c>
      <c r="P28" s="1483"/>
    </row>
    <row r="29" spans="1:16" s="1452" customFormat="1" ht="15.75" customHeight="1">
      <c r="A29" s="1479">
        <f t="shared" si="3"/>
        <v>20</v>
      </c>
      <c r="B29" s="1484">
        <v>352</v>
      </c>
      <c r="C29" s="1486" t="s">
        <v>1267</v>
      </c>
      <c r="D29" s="2029">
        <v>0.53807000000000005</v>
      </c>
      <c r="E29" s="1114">
        <v>1.7399999999999999E-2</v>
      </c>
      <c r="F29" s="1465"/>
      <c r="G29" s="2029">
        <v>0.455403</v>
      </c>
      <c r="H29" s="1114">
        <v>1.41E-2</v>
      </c>
      <c r="I29" s="1465"/>
      <c r="J29" s="2029">
        <v>6.5269999999999998E-3</v>
      </c>
      <c r="K29" s="1114">
        <v>2.3300000000000001E-2</v>
      </c>
      <c r="L29" s="1465"/>
      <c r="M29" s="1485" t="s">
        <v>821</v>
      </c>
      <c r="N29" s="1482">
        <f t="shared" si="2"/>
        <v>1</v>
      </c>
      <c r="O29" s="1054">
        <f t="shared" si="0"/>
        <v>1.5900000000000001E-2</v>
      </c>
      <c r="P29" s="1483"/>
    </row>
    <row r="30" spans="1:16" s="1452" customFormat="1" ht="15.75" customHeight="1">
      <c r="A30" s="1479">
        <f t="shared" si="3"/>
        <v>21</v>
      </c>
      <c r="B30" s="1484">
        <v>352</v>
      </c>
      <c r="C30" s="1480" t="s">
        <v>861</v>
      </c>
      <c r="D30" s="2029">
        <v>0.53807000000000005</v>
      </c>
      <c r="E30" s="1114">
        <v>1.7399999999999999E-2</v>
      </c>
      <c r="F30" s="1465"/>
      <c r="G30" s="2029">
        <v>0.455403</v>
      </c>
      <c r="H30" s="1114">
        <v>1.41E-2</v>
      </c>
      <c r="I30" s="1465"/>
      <c r="J30" s="2029">
        <v>6.5269999999999998E-3</v>
      </c>
      <c r="K30" s="1114">
        <v>2.3300000000000001E-2</v>
      </c>
      <c r="L30" s="1465"/>
      <c r="M30" s="1485" t="s">
        <v>821</v>
      </c>
      <c r="N30" s="1482">
        <f t="shared" si="2"/>
        <v>1</v>
      </c>
      <c r="O30" s="1054">
        <f t="shared" si="0"/>
        <v>1.5900000000000001E-2</v>
      </c>
      <c r="P30" s="1483"/>
    </row>
    <row r="31" spans="1:16" s="1452" customFormat="1" ht="15.75" customHeight="1">
      <c r="A31" s="1479">
        <f t="shared" si="3"/>
        <v>22</v>
      </c>
      <c r="B31" s="1484">
        <v>352</v>
      </c>
      <c r="C31" s="1480" t="s">
        <v>330</v>
      </c>
      <c r="D31" s="2029">
        <v>1</v>
      </c>
      <c r="E31" s="1114">
        <v>1.7399999999999999E-2</v>
      </c>
      <c r="F31" s="1465"/>
      <c r="G31" s="2029">
        <v>0</v>
      </c>
      <c r="H31" s="1114">
        <v>0</v>
      </c>
      <c r="I31" s="1465"/>
      <c r="J31" s="2029">
        <v>0</v>
      </c>
      <c r="K31" s="1114">
        <v>0</v>
      </c>
      <c r="L31" s="1465"/>
      <c r="M31" s="1487" t="s">
        <v>856</v>
      </c>
      <c r="N31" s="1482">
        <f t="shared" si="2"/>
        <v>1</v>
      </c>
      <c r="O31" s="1054">
        <f t="shared" si="0"/>
        <v>1.7399999999999999E-2</v>
      </c>
      <c r="P31" s="1483"/>
    </row>
    <row r="32" spans="1:16" s="1452" customFormat="1" ht="15.75" customHeight="1">
      <c r="A32" s="1479">
        <f t="shared" si="3"/>
        <v>23</v>
      </c>
      <c r="B32" s="1484">
        <v>353</v>
      </c>
      <c r="C32" s="1486" t="s">
        <v>1268</v>
      </c>
      <c r="D32" s="2029">
        <v>0.53807000000000005</v>
      </c>
      <c r="E32" s="1114">
        <v>1.7500000000000002E-2</v>
      </c>
      <c r="F32" s="1465"/>
      <c r="G32" s="2029">
        <v>0.455403</v>
      </c>
      <c r="H32" s="1114">
        <v>1.1599999999999999E-2</v>
      </c>
      <c r="I32" s="1465"/>
      <c r="J32" s="2029">
        <v>6.5269999999999998E-3</v>
      </c>
      <c r="K32" s="1114">
        <v>3.2399999999999998E-2</v>
      </c>
      <c r="L32" s="1465"/>
      <c r="M32" s="1485" t="s">
        <v>821</v>
      </c>
      <c r="N32" s="1482">
        <f t="shared" si="2"/>
        <v>1</v>
      </c>
      <c r="O32" s="1054">
        <f t="shared" si="0"/>
        <v>1.49E-2</v>
      </c>
      <c r="P32" s="1483"/>
    </row>
    <row r="33" spans="1:16" s="1452" customFormat="1" ht="15.75" customHeight="1">
      <c r="A33" s="1479">
        <f t="shared" si="3"/>
        <v>24</v>
      </c>
      <c r="B33" s="1484">
        <v>353</v>
      </c>
      <c r="C33" s="1480" t="s">
        <v>876</v>
      </c>
      <c r="D33" s="2029">
        <v>0.53807000000000005</v>
      </c>
      <c r="E33" s="1114">
        <v>1.7500000000000002E-2</v>
      </c>
      <c r="F33" s="1465"/>
      <c r="G33" s="2029">
        <v>0.455403</v>
      </c>
      <c r="H33" s="1114">
        <v>1.1599999999999999E-2</v>
      </c>
      <c r="I33" s="1465"/>
      <c r="J33" s="2029">
        <v>6.5269999999999998E-3</v>
      </c>
      <c r="K33" s="1114">
        <v>3.2399999999999998E-2</v>
      </c>
      <c r="L33" s="1465"/>
      <c r="M33" s="1485" t="s">
        <v>821</v>
      </c>
      <c r="N33" s="1482">
        <f t="shared" si="2"/>
        <v>1</v>
      </c>
      <c r="O33" s="1054">
        <f t="shared" si="0"/>
        <v>1.49E-2</v>
      </c>
      <c r="P33" s="1483"/>
    </row>
    <row r="34" spans="1:16" s="1452" customFormat="1" ht="15.75" customHeight="1">
      <c r="A34" s="1479">
        <f t="shared" si="3"/>
        <v>25</v>
      </c>
      <c r="B34" s="1484">
        <v>353</v>
      </c>
      <c r="C34" s="1480" t="s">
        <v>877</v>
      </c>
      <c r="D34" s="2029">
        <v>1</v>
      </c>
      <c r="E34" s="1114">
        <v>1.7500000000000002E-2</v>
      </c>
      <c r="F34" s="1465"/>
      <c r="G34" s="2029">
        <v>0</v>
      </c>
      <c r="H34" s="1114">
        <v>0</v>
      </c>
      <c r="I34" s="1465"/>
      <c r="J34" s="2029">
        <v>0</v>
      </c>
      <c r="K34" s="1114">
        <v>0</v>
      </c>
      <c r="L34" s="1465"/>
      <c r="M34" s="1489" t="s">
        <v>856</v>
      </c>
      <c r="N34" s="1482">
        <f t="shared" si="2"/>
        <v>1</v>
      </c>
      <c r="O34" s="1054">
        <f t="shared" si="0"/>
        <v>1.7500000000000002E-2</v>
      </c>
      <c r="P34" s="1483"/>
    </row>
    <row r="35" spans="1:16" s="1452" customFormat="1" ht="15.75" customHeight="1">
      <c r="A35" s="1479">
        <f t="shared" si="3"/>
        <v>26</v>
      </c>
      <c r="B35" s="1484">
        <v>353</v>
      </c>
      <c r="C35" s="1486" t="s">
        <v>146</v>
      </c>
      <c r="D35" s="2029">
        <v>0.53807000000000005</v>
      </c>
      <c r="E35" s="1114">
        <v>9.2100000000000001E-2</v>
      </c>
      <c r="F35" s="1465"/>
      <c r="G35" s="2029">
        <v>0.455403</v>
      </c>
      <c r="H35" s="1114">
        <v>0.24060000000000001</v>
      </c>
      <c r="I35" s="1465"/>
      <c r="J35" s="2029">
        <v>6.5269999999999998E-3</v>
      </c>
      <c r="K35" s="1114">
        <f>K65</f>
        <v>3.6499999999999998E-2</v>
      </c>
      <c r="L35" s="1465"/>
      <c r="M35" s="1485" t="s">
        <v>821</v>
      </c>
      <c r="N35" s="1482">
        <f t="shared" si="2"/>
        <v>1</v>
      </c>
      <c r="O35" s="1054">
        <f t="shared" si="0"/>
        <v>0.15939999999999999</v>
      </c>
      <c r="P35" s="1483"/>
    </row>
    <row r="36" spans="1:16" s="1452" customFormat="1" ht="15.75" customHeight="1">
      <c r="A36" s="1479">
        <f t="shared" si="3"/>
        <v>27</v>
      </c>
      <c r="B36" s="1484">
        <v>354</v>
      </c>
      <c r="C36" s="1486" t="s">
        <v>1269</v>
      </c>
      <c r="D36" s="2029">
        <v>0.53807000000000005</v>
      </c>
      <c r="E36" s="1114">
        <v>1.24E-2</v>
      </c>
      <c r="F36" s="1465"/>
      <c r="G36" s="2029">
        <v>0.455403</v>
      </c>
      <c r="H36" s="1114">
        <v>4.3E-3</v>
      </c>
      <c r="I36" s="1465"/>
      <c r="J36" s="2029">
        <v>6.5269999999999998E-3</v>
      </c>
      <c r="K36" s="1114">
        <v>2.75E-2</v>
      </c>
      <c r="L36" s="1465"/>
      <c r="M36" s="1485" t="s">
        <v>821</v>
      </c>
      <c r="N36" s="1482">
        <f t="shared" si="2"/>
        <v>1</v>
      </c>
      <c r="O36" s="1054">
        <f t="shared" si="0"/>
        <v>8.8000000000000005E-3</v>
      </c>
      <c r="P36" s="1483"/>
    </row>
    <row r="37" spans="1:16" s="1452" customFormat="1" ht="15.75" customHeight="1">
      <c r="A37" s="1479">
        <f t="shared" si="3"/>
        <v>28</v>
      </c>
      <c r="B37" s="1484">
        <v>355</v>
      </c>
      <c r="C37" s="1490" t="s">
        <v>1270</v>
      </c>
      <c r="D37" s="2029">
        <v>0.53807000000000005</v>
      </c>
      <c r="E37" s="1114">
        <v>2.7900000000000001E-2</v>
      </c>
      <c r="F37" s="1465"/>
      <c r="G37" s="2029">
        <v>0.455403</v>
      </c>
      <c r="H37" s="1114">
        <v>0.02</v>
      </c>
      <c r="I37" s="1465"/>
      <c r="J37" s="2029">
        <v>6.5269999999999998E-3</v>
      </c>
      <c r="K37" s="1114">
        <v>3.8899999999999997E-2</v>
      </c>
      <c r="L37" s="1465"/>
      <c r="M37" s="1485" t="s">
        <v>821</v>
      </c>
      <c r="N37" s="1482">
        <f t="shared" si="2"/>
        <v>1</v>
      </c>
      <c r="O37" s="1054">
        <f t="shared" si="0"/>
        <v>2.4400000000000002E-2</v>
      </c>
      <c r="P37" s="1483"/>
    </row>
    <row r="38" spans="1:16" s="1452" customFormat="1" ht="15.75" customHeight="1">
      <c r="A38" s="1479">
        <f t="shared" si="3"/>
        <v>29</v>
      </c>
      <c r="B38" s="1484">
        <v>355</v>
      </c>
      <c r="C38" s="1490" t="s">
        <v>147</v>
      </c>
      <c r="D38" s="2029">
        <v>1</v>
      </c>
      <c r="E38" s="1114">
        <v>2.7900000000000001E-2</v>
      </c>
      <c r="F38" s="1465"/>
      <c r="G38" s="2029">
        <v>0</v>
      </c>
      <c r="H38" s="1114">
        <v>0.02</v>
      </c>
      <c r="I38" s="1465"/>
      <c r="J38" s="2029">
        <v>0</v>
      </c>
      <c r="K38" s="1114">
        <v>3.8899999999999997E-2</v>
      </c>
      <c r="L38" s="1465"/>
      <c r="M38" s="1489" t="s">
        <v>856</v>
      </c>
      <c r="N38" s="1482">
        <f t="shared" si="2"/>
        <v>1</v>
      </c>
      <c r="O38" s="1054">
        <f t="shared" si="0"/>
        <v>2.7900000000000001E-2</v>
      </c>
      <c r="P38" s="1483"/>
    </row>
    <row r="39" spans="1:16" s="1452" customFormat="1" ht="15.75" customHeight="1">
      <c r="A39" s="1479">
        <f t="shared" si="3"/>
        <v>30</v>
      </c>
      <c r="B39" s="1484">
        <v>355</v>
      </c>
      <c r="C39" s="1490" t="s">
        <v>878</v>
      </c>
      <c r="D39" s="2029">
        <v>0</v>
      </c>
      <c r="E39" s="1114">
        <v>2.7900000000000001E-2</v>
      </c>
      <c r="F39" s="1465"/>
      <c r="G39" s="2029">
        <v>1</v>
      </c>
      <c r="H39" s="1114">
        <v>0.02</v>
      </c>
      <c r="I39" s="1465"/>
      <c r="J39" s="2029">
        <v>0</v>
      </c>
      <c r="K39" s="1114">
        <v>3.8899999999999997E-2</v>
      </c>
      <c r="L39" s="1465"/>
      <c r="M39" s="1488" t="s">
        <v>858</v>
      </c>
      <c r="N39" s="1482">
        <f t="shared" si="2"/>
        <v>1</v>
      </c>
      <c r="O39" s="1054">
        <f t="shared" si="0"/>
        <v>0.02</v>
      </c>
      <c r="P39" s="1483"/>
    </row>
    <row r="40" spans="1:16" s="1452" customFormat="1" ht="15.75" customHeight="1">
      <c r="A40" s="1479">
        <f t="shared" si="3"/>
        <v>31</v>
      </c>
      <c r="B40" s="1484">
        <v>355</v>
      </c>
      <c r="C40" s="1480" t="s">
        <v>879</v>
      </c>
      <c r="D40" s="2029">
        <v>0.53807000000000005</v>
      </c>
      <c r="E40" s="1114">
        <v>2.7900000000000001E-2</v>
      </c>
      <c r="F40" s="1465"/>
      <c r="G40" s="2029">
        <v>0.455403</v>
      </c>
      <c r="H40" s="1114">
        <v>0.02</v>
      </c>
      <c r="I40" s="1465"/>
      <c r="J40" s="2029">
        <v>6.5269999999999998E-3</v>
      </c>
      <c r="K40" s="1114">
        <v>3.8899999999999997E-2</v>
      </c>
      <c r="L40" s="1465"/>
      <c r="M40" s="1485" t="s">
        <v>821</v>
      </c>
      <c r="N40" s="1482">
        <f t="shared" si="2"/>
        <v>1</v>
      </c>
      <c r="O40" s="1054">
        <f t="shared" si="0"/>
        <v>2.4400000000000002E-2</v>
      </c>
      <c r="P40" s="1483"/>
    </row>
    <row r="41" spans="1:16" s="1452" customFormat="1" ht="15.75" customHeight="1">
      <c r="A41" s="1479">
        <f t="shared" si="3"/>
        <v>32</v>
      </c>
      <c r="B41" s="1484">
        <v>355</v>
      </c>
      <c r="C41" s="1480" t="s">
        <v>880</v>
      </c>
      <c r="D41" s="2029">
        <v>1</v>
      </c>
      <c r="E41" s="1114">
        <v>2.7900000000000001E-2</v>
      </c>
      <c r="F41" s="1465"/>
      <c r="G41" s="2029">
        <v>0</v>
      </c>
      <c r="H41" s="1114">
        <v>0</v>
      </c>
      <c r="I41" s="1465"/>
      <c r="J41" s="2029">
        <v>0</v>
      </c>
      <c r="K41" s="1114">
        <v>0</v>
      </c>
      <c r="L41" s="1465"/>
      <c r="M41" s="1489" t="s">
        <v>856</v>
      </c>
      <c r="N41" s="1482">
        <f t="shared" si="2"/>
        <v>1</v>
      </c>
      <c r="O41" s="1054">
        <f t="shared" si="0"/>
        <v>2.7900000000000001E-2</v>
      </c>
      <c r="P41" s="1483"/>
    </row>
    <row r="42" spans="1:16" s="1452" customFormat="1" ht="15.75" customHeight="1">
      <c r="A42" s="1479">
        <f t="shared" si="3"/>
        <v>33</v>
      </c>
      <c r="B42" s="1484">
        <v>356</v>
      </c>
      <c r="C42" s="1490" t="s">
        <v>1271</v>
      </c>
      <c r="D42" s="2029">
        <v>0.53807000000000005</v>
      </c>
      <c r="E42" s="1114">
        <v>2.1700000000000001E-2</v>
      </c>
      <c r="F42" s="1465"/>
      <c r="G42" s="2029">
        <v>0.455403</v>
      </c>
      <c r="H42" s="1114">
        <v>3.0000000000000001E-3</v>
      </c>
      <c r="I42" s="1465"/>
      <c r="J42" s="2029">
        <v>6.5269999999999998E-3</v>
      </c>
      <c r="K42" s="1114">
        <v>3.15E-2</v>
      </c>
      <c r="L42" s="1465"/>
      <c r="M42" s="1485" t="s">
        <v>821</v>
      </c>
      <c r="N42" s="1482">
        <f t="shared" si="2"/>
        <v>1</v>
      </c>
      <c r="O42" s="1054">
        <f t="shared" si="0"/>
        <v>1.32E-2</v>
      </c>
      <c r="P42" s="1483"/>
    </row>
    <row r="43" spans="1:16" s="1452" customFormat="1" ht="15.75" customHeight="1">
      <c r="A43" s="1479">
        <f t="shared" si="3"/>
        <v>34</v>
      </c>
      <c r="B43" s="1484">
        <v>356</v>
      </c>
      <c r="C43" s="1490" t="s">
        <v>881</v>
      </c>
      <c r="D43" s="2029">
        <v>1</v>
      </c>
      <c r="E43" s="1114">
        <v>2.1700000000000001E-2</v>
      </c>
      <c r="F43" s="1465"/>
      <c r="G43" s="2029">
        <v>0</v>
      </c>
      <c r="H43" s="1114">
        <v>3.0000000000000001E-3</v>
      </c>
      <c r="I43" s="1465"/>
      <c r="J43" s="2029">
        <v>0</v>
      </c>
      <c r="K43" s="1114">
        <v>3.15E-2</v>
      </c>
      <c r="L43" s="1465"/>
      <c r="M43" s="1489" t="s">
        <v>856</v>
      </c>
      <c r="N43" s="1482">
        <f t="shared" si="2"/>
        <v>1</v>
      </c>
      <c r="O43" s="1054">
        <f t="shared" si="0"/>
        <v>2.1700000000000001E-2</v>
      </c>
      <c r="P43" s="1483"/>
    </row>
    <row r="44" spans="1:16" s="1452" customFormat="1" ht="15.75" customHeight="1">
      <c r="A44" s="1479">
        <f t="shared" si="3"/>
        <v>35</v>
      </c>
      <c r="B44" s="1484">
        <v>356</v>
      </c>
      <c r="C44" s="1490" t="s">
        <v>882</v>
      </c>
      <c r="D44" s="2029">
        <v>0</v>
      </c>
      <c r="E44" s="1114">
        <v>2.1700000000000001E-2</v>
      </c>
      <c r="F44" s="1465"/>
      <c r="G44" s="2029">
        <v>1</v>
      </c>
      <c r="H44" s="1114">
        <v>3.0000000000000001E-3</v>
      </c>
      <c r="I44" s="1465"/>
      <c r="J44" s="2029">
        <v>0</v>
      </c>
      <c r="K44" s="1114">
        <v>3.15E-2</v>
      </c>
      <c r="L44" s="1465"/>
      <c r="M44" s="1488" t="s">
        <v>858</v>
      </c>
      <c r="N44" s="1482">
        <f t="shared" si="2"/>
        <v>1</v>
      </c>
      <c r="O44" s="1054">
        <f t="shared" si="0"/>
        <v>3.0000000000000001E-3</v>
      </c>
      <c r="P44" s="1483"/>
    </row>
    <row r="45" spans="1:16" s="1452" customFormat="1" ht="15.75" customHeight="1">
      <c r="A45" s="1479">
        <f t="shared" si="3"/>
        <v>36</v>
      </c>
      <c r="B45" s="1484">
        <v>356</v>
      </c>
      <c r="C45" s="1480" t="s">
        <v>883</v>
      </c>
      <c r="D45" s="2029">
        <v>0.53807000000000005</v>
      </c>
      <c r="E45" s="1114">
        <v>2.1700000000000001E-2</v>
      </c>
      <c r="F45" s="1465"/>
      <c r="G45" s="2029">
        <v>0.455403</v>
      </c>
      <c r="H45" s="1114">
        <v>3.0000000000000001E-3</v>
      </c>
      <c r="I45" s="1465"/>
      <c r="J45" s="2029">
        <v>6.5269999999999998E-3</v>
      </c>
      <c r="K45" s="1114">
        <v>3.15E-2</v>
      </c>
      <c r="L45" s="1465"/>
      <c r="M45" s="1485" t="s">
        <v>821</v>
      </c>
      <c r="N45" s="1482">
        <f t="shared" si="2"/>
        <v>1</v>
      </c>
      <c r="O45" s="1054">
        <f t="shared" si="0"/>
        <v>1.32E-2</v>
      </c>
      <c r="P45" s="1483"/>
    </row>
    <row r="46" spans="1:16" s="1452" customFormat="1" ht="15.75" customHeight="1">
      <c r="A46" s="1479">
        <f t="shared" si="3"/>
        <v>37</v>
      </c>
      <c r="B46" s="1484">
        <v>356</v>
      </c>
      <c r="C46" s="1480" t="s">
        <v>884</v>
      </c>
      <c r="D46" s="2029">
        <v>1</v>
      </c>
      <c r="E46" s="1114">
        <v>2.1700000000000001E-2</v>
      </c>
      <c r="F46" s="1465"/>
      <c r="G46" s="2029">
        <v>0</v>
      </c>
      <c r="H46" s="1114">
        <v>0</v>
      </c>
      <c r="I46" s="1465"/>
      <c r="J46" s="2029">
        <v>0</v>
      </c>
      <c r="K46" s="1114">
        <v>0</v>
      </c>
      <c r="L46" s="1465"/>
      <c r="M46" s="1489" t="s">
        <v>856</v>
      </c>
      <c r="N46" s="1482">
        <f t="shared" si="2"/>
        <v>1</v>
      </c>
      <c r="O46" s="1054">
        <f t="shared" si="0"/>
        <v>2.1700000000000001E-2</v>
      </c>
      <c r="P46" s="1483"/>
    </row>
    <row r="47" spans="1:16" s="1452" customFormat="1" ht="15.75" customHeight="1">
      <c r="A47" s="1479">
        <f t="shared" si="3"/>
        <v>38</v>
      </c>
      <c r="B47" s="1484">
        <v>357</v>
      </c>
      <c r="C47" s="1490" t="s">
        <v>1272</v>
      </c>
      <c r="D47" s="2029">
        <v>0.53807000000000005</v>
      </c>
      <c r="E47" s="1114">
        <v>1.4800000000000001E-2</v>
      </c>
      <c r="F47" s="1465"/>
      <c r="G47" s="2029">
        <v>0.455403</v>
      </c>
      <c r="H47" s="1114">
        <v>8.3999999999999995E-3</v>
      </c>
      <c r="I47" s="1465"/>
      <c r="J47" s="2029">
        <v>6.5269999999999998E-3</v>
      </c>
      <c r="K47" s="1114">
        <v>2.1000000000000001E-2</v>
      </c>
      <c r="L47" s="1465"/>
      <c r="M47" s="1485" t="s">
        <v>821</v>
      </c>
      <c r="N47" s="1482">
        <f t="shared" si="2"/>
        <v>1</v>
      </c>
      <c r="O47" s="1054">
        <f t="shared" si="0"/>
        <v>1.1900000000000001E-2</v>
      </c>
      <c r="P47" s="1483"/>
    </row>
    <row r="48" spans="1:16" s="1452" customFormat="1" ht="15.75" customHeight="1">
      <c r="A48" s="1479">
        <f t="shared" si="3"/>
        <v>39</v>
      </c>
      <c r="B48" s="1484">
        <v>358</v>
      </c>
      <c r="C48" s="1490" t="s">
        <v>1273</v>
      </c>
      <c r="D48" s="2029">
        <v>0.53807000000000005</v>
      </c>
      <c r="E48" s="1114">
        <v>1.46E-2</v>
      </c>
      <c r="F48" s="1465"/>
      <c r="G48" s="2029">
        <v>0.455403</v>
      </c>
      <c r="H48" s="1114">
        <v>0.02</v>
      </c>
      <c r="I48" s="1465"/>
      <c r="J48" s="2029">
        <v>6.5269999999999998E-3</v>
      </c>
      <c r="K48" s="1114">
        <v>1.7999999999999999E-2</v>
      </c>
      <c r="L48" s="1465"/>
      <c r="M48" s="1485" t="s">
        <v>821</v>
      </c>
      <c r="N48" s="1482">
        <f t="shared" si="2"/>
        <v>1</v>
      </c>
      <c r="O48" s="1054">
        <f t="shared" si="0"/>
        <v>1.7100000000000001E-2</v>
      </c>
      <c r="P48" s="1483"/>
    </row>
    <row r="49" spans="1:16" s="1452" customFormat="1" ht="15.75" customHeight="1">
      <c r="A49" s="1479">
        <f>A48+1</f>
        <v>40</v>
      </c>
      <c r="B49" s="1484">
        <v>389</v>
      </c>
      <c r="C49" s="1486" t="s">
        <v>1274</v>
      </c>
      <c r="D49" s="2029">
        <v>0.54237500000000005</v>
      </c>
      <c r="E49" s="1114">
        <v>0</v>
      </c>
      <c r="F49" s="1465"/>
      <c r="G49" s="2029">
        <v>0.45286100000000001</v>
      </c>
      <c r="H49" s="1114">
        <v>0</v>
      </c>
      <c r="I49" s="1465"/>
      <c r="J49" s="2029">
        <v>4.764E-3</v>
      </c>
      <c r="K49" s="1114">
        <v>0</v>
      </c>
      <c r="L49" s="1465"/>
      <c r="M49" s="1485" t="s">
        <v>800</v>
      </c>
      <c r="N49" s="1482">
        <f t="shared" si="2"/>
        <v>1</v>
      </c>
      <c r="O49" s="1054">
        <f t="shared" si="0"/>
        <v>0</v>
      </c>
      <c r="P49" s="1483"/>
    </row>
    <row r="50" spans="1:16" s="1452" customFormat="1" ht="15.75" customHeight="1">
      <c r="A50" s="1479">
        <f t="shared" ref="A50:A69" si="4">+A49+1</f>
        <v>41</v>
      </c>
      <c r="B50" s="1484">
        <v>390</v>
      </c>
      <c r="C50" s="1486" t="s">
        <v>1267</v>
      </c>
      <c r="D50" s="2029">
        <v>0.54237500000000005</v>
      </c>
      <c r="E50" s="1114">
        <v>2.5499999999999998E-2</v>
      </c>
      <c r="F50" s="1465"/>
      <c r="G50" s="2029">
        <v>0.45286100000000001</v>
      </c>
      <c r="H50" s="1114">
        <v>2.6700000000000002E-2</v>
      </c>
      <c r="I50" s="1465"/>
      <c r="J50" s="2029">
        <v>4.764E-3</v>
      </c>
      <c r="K50" s="1114">
        <v>1.9E-2</v>
      </c>
      <c r="L50" s="1465"/>
      <c r="M50" s="1485" t="s">
        <v>800</v>
      </c>
      <c r="N50" s="1482">
        <f t="shared" si="2"/>
        <v>1</v>
      </c>
      <c r="O50" s="1054">
        <f t="shared" si="0"/>
        <v>2.5999999999999999E-2</v>
      </c>
      <c r="P50" s="1483"/>
    </row>
    <row r="51" spans="1:16" s="1452" customFormat="1" ht="15.75" customHeight="1">
      <c r="A51" s="1479">
        <f t="shared" si="4"/>
        <v>42</v>
      </c>
      <c r="B51" s="1484">
        <v>390</v>
      </c>
      <c r="C51" s="1486" t="s">
        <v>885</v>
      </c>
      <c r="D51" s="2029">
        <v>0.54237500000000005</v>
      </c>
      <c r="E51" s="1114">
        <v>0</v>
      </c>
      <c r="F51" s="1465"/>
      <c r="G51" s="2029">
        <v>0.45286100000000001</v>
      </c>
      <c r="H51" s="1114">
        <v>0</v>
      </c>
      <c r="I51" s="1465"/>
      <c r="J51" s="2029">
        <v>4.764E-3</v>
      </c>
      <c r="K51" s="1114">
        <v>0</v>
      </c>
      <c r="L51" s="1465"/>
      <c r="M51" s="1485" t="s">
        <v>800</v>
      </c>
      <c r="N51" s="1482">
        <f t="shared" si="2"/>
        <v>1</v>
      </c>
      <c r="O51" s="1054">
        <f t="shared" si="0"/>
        <v>0</v>
      </c>
      <c r="P51" s="1483"/>
    </row>
    <row r="52" spans="1:16" s="1452" customFormat="1" ht="15.75" customHeight="1">
      <c r="A52" s="1479">
        <f t="shared" si="4"/>
        <v>43</v>
      </c>
      <c r="B52" s="2075" t="s">
        <v>1816</v>
      </c>
      <c r="C52" s="1486" t="s">
        <v>1275</v>
      </c>
      <c r="D52" s="2029">
        <v>0.54237500000000005</v>
      </c>
      <c r="E52" s="1114">
        <v>5.1299999999999998E-2</v>
      </c>
      <c r="F52" s="1465"/>
      <c r="G52" s="2029">
        <v>0.45286100000000001</v>
      </c>
      <c r="H52" s="1114">
        <v>4.5999999999999999E-2</v>
      </c>
      <c r="I52" s="1465"/>
      <c r="J52" s="2029">
        <v>4.764E-3</v>
      </c>
      <c r="K52" s="1114">
        <v>3.0700000000000002E-2</v>
      </c>
      <c r="L52" s="1465"/>
      <c r="M52" s="1485" t="s">
        <v>800</v>
      </c>
      <c r="N52" s="1482">
        <f t="shared" si="2"/>
        <v>1</v>
      </c>
      <c r="O52" s="1054">
        <f t="shared" si="0"/>
        <v>4.8800000000000003E-2</v>
      </c>
      <c r="P52" s="1483"/>
    </row>
    <row r="53" spans="1:16" s="1452" customFormat="1" ht="15.75" customHeight="1">
      <c r="A53" s="1479">
        <f t="shared" si="4"/>
        <v>44</v>
      </c>
      <c r="B53" s="2075" t="s">
        <v>1816</v>
      </c>
      <c r="C53" s="1486" t="s">
        <v>886</v>
      </c>
      <c r="D53" s="2029">
        <v>0.54237500000000005</v>
      </c>
      <c r="E53" s="1114">
        <v>5.1299999999999998E-2</v>
      </c>
      <c r="F53" s="1465"/>
      <c r="G53" s="2029">
        <v>0.45286100000000001</v>
      </c>
      <c r="H53" s="1114">
        <v>0.05</v>
      </c>
      <c r="I53" s="1465"/>
      <c r="J53" s="2029">
        <v>4.764E-3</v>
      </c>
      <c r="K53" s="1114">
        <v>3.0700000000000002E-2</v>
      </c>
      <c r="L53" s="1465"/>
      <c r="M53" s="1485" t="s">
        <v>800</v>
      </c>
      <c r="N53" s="1482">
        <f t="shared" si="2"/>
        <v>1</v>
      </c>
      <c r="O53" s="1054">
        <f t="shared" si="0"/>
        <v>5.0599999999999999E-2</v>
      </c>
      <c r="P53" s="1483"/>
    </row>
    <row r="54" spans="1:16" s="1452" customFormat="1" ht="15.75" customHeight="1">
      <c r="A54" s="1479">
        <f t="shared" si="4"/>
        <v>45</v>
      </c>
      <c r="B54" s="2075" t="s">
        <v>1816</v>
      </c>
      <c r="C54" s="1486" t="s">
        <v>887</v>
      </c>
      <c r="D54" s="2029">
        <v>0.54237500000000005</v>
      </c>
      <c r="E54" s="1114">
        <v>0.1017</v>
      </c>
      <c r="F54" s="1465"/>
      <c r="G54" s="2029">
        <v>0.45286100000000001</v>
      </c>
      <c r="H54" s="1114">
        <v>0.1203</v>
      </c>
      <c r="I54" s="1465"/>
      <c r="J54" s="2029">
        <v>4.764E-3</v>
      </c>
      <c r="K54" s="1114">
        <v>3.0700000000000002E-2</v>
      </c>
      <c r="L54" s="1465"/>
      <c r="M54" s="1485" t="s">
        <v>800</v>
      </c>
      <c r="N54" s="1482">
        <f t="shared" si="2"/>
        <v>1</v>
      </c>
      <c r="O54" s="1054">
        <f t="shared" si="0"/>
        <v>0.10979999999999999</v>
      </c>
      <c r="P54" s="1483"/>
    </row>
    <row r="55" spans="1:16" s="1452" customFormat="1" ht="15.75" customHeight="1">
      <c r="A55" s="1479">
        <f t="shared" si="4"/>
        <v>46</v>
      </c>
      <c r="B55" s="1484">
        <v>392</v>
      </c>
      <c r="C55" s="1486" t="s">
        <v>1313</v>
      </c>
      <c r="D55" s="2029">
        <v>0.53667299999999996</v>
      </c>
      <c r="E55" s="1114">
        <v>8.9700000000000002E-2</v>
      </c>
      <c r="F55" s="1465"/>
      <c r="G55" s="2029">
        <v>0.46227499999999999</v>
      </c>
      <c r="H55" s="1114">
        <v>5.4100000000000002E-2</v>
      </c>
      <c r="I55" s="1465"/>
      <c r="J55" s="2029">
        <v>1.052E-3</v>
      </c>
      <c r="K55" s="1114">
        <v>7.7299999999999994E-2</v>
      </c>
      <c r="L55" s="1465"/>
      <c r="M55" s="1485" t="s">
        <v>282</v>
      </c>
      <c r="N55" s="1482">
        <f t="shared" si="2"/>
        <v>1</v>
      </c>
      <c r="O55" s="1054">
        <f t="shared" si="0"/>
        <v>7.3200000000000001E-2</v>
      </c>
      <c r="P55" s="1483"/>
    </row>
    <row r="56" spans="1:16" s="1452" customFormat="1" ht="15.75" customHeight="1">
      <c r="A56" s="1954" t="s">
        <v>1314</v>
      </c>
      <c r="B56" s="1484">
        <v>392</v>
      </c>
      <c r="C56" s="1486" t="s">
        <v>1318</v>
      </c>
      <c r="D56" s="2029">
        <v>0.53667299999999996</v>
      </c>
      <c r="E56" s="1114">
        <v>8.0799999999999997E-2</v>
      </c>
      <c r="F56" s="1465"/>
      <c r="G56" s="2029">
        <v>0.46227499999999999</v>
      </c>
      <c r="H56" s="1114">
        <v>8.6400000000000005E-2</v>
      </c>
      <c r="I56" s="1465"/>
      <c r="J56" s="2029">
        <v>1.052E-3</v>
      </c>
      <c r="K56" s="1114">
        <v>7.7299999999999994E-2</v>
      </c>
      <c r="L56" s="1465"/>
      <c r="M56" s="1485" t="s">
        <v>282</v>
      </c>
      <c r="N56" s="1482">
        <f>SUM(D56,G56,J56)</f>
        <v>1</v>
      </c>
      <c r="O56" s="1054">
        <f>IF(($D56+$G56+$J56)&gt;0,ROUND((((+$D56*E56)+($G56*H56)+($J56*K56))/($D56+$G56+$J56)),4),0)</f>
        <v>8.3400000000000002E-2</v>
      </c>
      <c r="P56" s="1483"/>
    </row>
    <row r="57" spans="1:16" s="1452" customFormat="1" ht="15.75" customHeight="1">
      <c r="A57" s="1954" t="s">
        <v>1315</v>
      </c>
      <c r="B57" s="1484">
        <v>392</v>
      </c>
      <c r="C57" s="1486" t="s">
        <v>1319</v>
      </c>
      <c r="D57" s="2029">
        <v>0.53667299999999996</v>
      </c>
      <c r="E57" s="1114">
        <v>6.8199999999999997E-2</v>
      </c>
      <c r="F57" s="1465"/>
      <c r="G57" s="2029">
        <v>0.46227499999999999</v>
      </c>
      <c r="H57" s="1114">
        <v>7.0900000000000005E-2</v>
      </c>
      <c r="I57" s="1465"/>
      <c r="J57" s="2029">
        <v>1.052E-3</v>
      </c>
      <c r="K57" s="1114">
        <v>7.7299999999999994E-2</v>
      </c>
      <c r="L57" s="1465"/>
      <c r="M57" s="1485" t="s">
        <v>282</v>
      </c>
      <c r="N57" s="1482">
        <f>SUM(D57,G57,J57)</f>
        <v>1</v>
      </c>
      <c r="O57" s="1054">
        <f>IF(($D57+$G57+$J57)&gt;0,ROUND((((+$D57*E57)+($G57*H57)+($J57*K57))/($D57+$G57+$J57)),4),0)</f>
        <v>6.9500000000000006E-2</v>
      </c>
      <c r="P57" s="1483"/>
    </row>
    <row r="58" spans="1:16" s="1452" customFormat="1" ht="15.75" customHeight="1">
      <c r="A58" s="1954" t="s">
        <v>1316</v>
      </c>
      <c r="B58" s="1484">
        <v>392</v>
      </c>
      <c r="C58" s="1486" t="s">
        <v>1320</v>
      </c>
      <c r="D58" s="2029">
        <v>0.53667299999999996</v>
      </c>
      <c r="E58" s="1114">
        <v>5.9799999999999999E-2</v>
      </c>
      <c r="F58" s="1465"/>
      <c r="G58" s="2029">
        <v>0.46227499999999999</v>
      </c>
      <c r="H58" s="1114">
        <v>5.33E-2</v>
      </c>
      <c r="I58" s="1465"/>
      <c r="J58" s="2029">
        <v>1.052E-3</v>
      </c>
      <c r="K58" s="1114">
        <v>7.7299999999999994E-2</v>
      </c>
      <c r="L58" s="1465"/>
      <c r="M58" s="1485" t="s">
        <v>282</v>
      </c>
      <c r="N58" s="1482">
        <f>SUM(D58,G58,J58)</f>
        <v>1</v>
      </c>
      <c r="O58" s="1054">
        <f>IF(($D58+$G58+$J58)&gt;0,ROUND((((+$D58*E58)+($G58*H58)+($J58*K58))/($D58+$G58+$J58)),4),0)</f>
        <v>5.6800000000000003E-2</v>
      </c>
      <c r="P58" s="1483"/>
    </row>
    <row r="59" spans="1:16" s="1452" customFormat="1" ht="15.75" customHeight="1">
      <c r="A59" s="1954" t="s">
        <v>1317</v>
      </c>
      <c r="B59" s="1484">
        <v>392</v>
      </c>
      <c r="C59" s="1486" t="s">
        <v>1321</v>
      </c>
      <c r="D59" s="2029">
        <v>0.53667299999999996</v>
      </c>
      <c r="E59" s="1114">
        <v>4.2999999999999997E-2</v>
      </c>
      <c r="F59" s="1465"/>
      <c r="G59" s="2029">
        <v>0.46227499999999999</v>
      </c>
      <c r="H59" s="1114">
        <v>1.35E-2</v>
      </c>
      <c r="I59" s="1465"/>
      <c r="J59" s="2029">
        <v>1.052E-3</v>
      </c>
      <c r="K59" s="1114">
        <v>7.7299999999999994E-2</v>
      </c>
      <c r="L59" s="1465"/>
      <c r="M59" s="1485" t="s">
        <v>282</v>
      </c>
      <c r="N59" s="1482">
        <f>SUM(D59,G59,J59)</f>
        <v>1</v>
      </c>
      <c r="O59" s="1054">
        <f>IF(($D59+$G59+$J59)&gt;0,ROUND((((+$D59*E59)+($G59*H59)+($J59*K59))/($D59+$G59+$J59)),4),0)</f>
        <v>2.9399999999999999E-2</v>
      </c>
      <c r="P59" s="1483"/>
    </row>
    <row r="60" spans="1:16" s="1452" customFormat="1" ht="15.75" customHeight="1">
      <c r="A60" s="1479">
        <f>+A55+1</f>
        <v>47</v>
      </c>
      <c r="B60" s="2075" t="s">
        <v>1817</v>
      </c>
      <c r="C60" s="1490" t="s">
        <v>1277</v>
      </c>
      <c r="D60" s="2029">
        <v>0.54237500000000005</v>
      </c>
      <c r="E60" s="1114">
        <v>3.8600000000000002E-2</v>
      </c>
      <c r="F60" s="1465"/>
      <c r="G60" s="2029">
        <v>0.45286100000000001</v>
      </c>
      <c r="H60" s="1114">
        <v>2.9000000000000001E-2</v>
      </c>
      <c r="I60" s="1465"/>
      <c r="J60" s="2029">
        <v>4.764E-3</v>
      </c>
      <c r="K60" s="1114">
        <v>3.1699999999999999E-2</v>
      </c>
      <c r="L60" s="1465"/>
      <c r="M60" s="1485" t="s">
        <v>800</v>
      </c>
      <c r="N60" s="1482">
        <f t="shared" si="2"/>
        <v>1</v>
      </c>
      <c r="O60" s="1054">
        <f t="shared" si="0"/>
        <v>3.4200000000000001E-2</v>
      </c>
      <c r="P60" s="1483"/>
    </row>
    <row r="61" spans="1:16" s="1452" customFormat="1" ht="15.75" customHeight="1">
      <c r="A61" s="1479">
        <f t="shared" si="4"/>
        <v>48</v>
      </c>
      <c r="B61" s="2075" t="s">
        <v>1818</v>
      </c>
      <c r="C61" s="1490" t="s">
        <v>1278</v>
      </c>
      <c r="D61" s="2029">
        <v>0.54237500000000005</v>
      </c>
      <c r="E61" s="1114">
        <v>3.0700000000000002E-2</v>
      </c>
      <c r="F61" s="1465"/>
      <c r="G61" s="2029">
        <v>0.45286100000000001</v>
      </c>
      <c r="H61" s="1114">
        <v>3.3500000000000002E-2</v>
      </c>
      <c r="I61" s="1465"/>
      <c r="J61" s="2029">
        <v>4.764E-3</v>
      </c>
      <c r="K61" s="1114">
        <v>3.5200000000000002E-2</v>
      </c>
      <c r="L61" s="1465"/>
      <c r="M61" s="1485" t="s">
        <v>800</v>
      </c>
      <c r="N61" s="1482">
        <f t="shared" si="2"/>
        <v>1</v>
      </c>
      <c r="O61" s="1054">
        <f t="shared" si="0"/>
        <v>3.2000000000000001E-2</v>
      </c>
      <c r="P61" s="1483"/>
    </row>
    <row r="62" spans="1:16" s="1452" customFormat="1" ht="15.75" customHeight="1">
      <c r="A62" s="1479">
        <f t="shared" si="4"/>
        <v>49</v>
      </c>
      <c r="B62" s="2075" t="s">
        <v>1819</v>
      </c>
      <c r="C62" s="1490" t="s">
        <v>1279</v>
      </c>
      <c r="D62" s="2029">
        <v>0.54237500000000005</v>
      </c>
      <c r="E62" s="1114">
        <v>3.32E-2</v>
      </c>
      <c r="F62" s="1465"/>
      <c r="G62" s="2029">
        <v>0.45286100000000001</v>
      </c>
      <c r="H62" s="1114">
        <v>4.1700000000000001E-2</v>
      </c>
      <c r="I62" s="1465"/>
      <c r="J62" s="2029">
        <v>4.764E-3</v>
      </c>
      <c r="K62" s="1114">
        <v>2.8799999999999999E-2</v>
      </c>
      <c r="L62" s="1465"/>
      <c r="M62" s="1485" t="s">
        <v>800</v>
      </c>
      <c r="N62" s="1482">
        <f t="shared" si="2"/>
        <v>1</v>
      </c>
      <c r="O62" s="1054">
        <f t="shared" si="0"/>
        <v>3.6999999999999998E-2</v>
      </c>
      <c r="P62" s="1483"/>
    </row>
    <row r="63" spans="1:16" s="1452" customFormat="1" ht="15.75" customHeight="1">
      <c r="A63" s="1479">
        <f t="shared" si="4"/>
        <v>50</v>
      </c>
      <c r="B63" s="1484">
        <v>396</v>
      </c>
      <c r="C63" s="1490" t="s">
        <v>1280</v>
      </c>
      <c r="D63" s="2029">
        <v>0.53667299999999996</v>
      </c>
      <c r="E63" s="1114">
        <v>6.2100000000000002E-2</v>
      </c>
      <c r="F63" s="1465"/>
      <c r="G63" s="2029">
        <v>0.46227499999999999</v>
      </c>
      <c r="H63" s="1114">
        <v>7.1300000000000002E-2</v>
      </c>
      <c r="I63" s="1465"/>
      <c r="J63" s="2029">
        <v>1.052E-3</v>
      </c>
      <c r="K63" s="1114">
        <v>5.33E-2</v>
      </c>
      <c r="L63" s="1465"/>
      <c r="M63" s="1485" t="s">
        <v>282</v>
      </c>
      <c r="N63" s="1482">
        <f t="shared" si="2"/>
        <v>1</v>
      </c>
      <c r="O63" s="1054">
        <f t="shared" si="0"/>
        <v>6.6299999999999998E-2</v>
      </c>
      <c r="P63" s="1483"/>
    </row>
    <row r="64" spans="1:16" s="1452" customFormat="1" ht="15.75" customHeight="1">
      <c r="A64" s="1479">
        <f t="shared" si="4"/>
        <v>51</v>
      </c>
      <c r="B64" s="2075" t="s">
        <v>1820</v>
      </c>
      <c r="C64" s="1480" t="s">
        <v>1281</v>
      </c>
      <c r="D64" s="2029">
        <v>0.53667299999999996</v>
      </c>
      <c r="E64" s="1114">
        <v>2.7400000000000001E-2</v>
      </c>
      <c r="F64" s="1465"/>
      <c r="G64" s="2029">
        <v>0.46227499999999999</v>
      </c>
      <c r="H64" s="1114">
        <v>4.99E-2</v>
      </c>
      <c r="I64" s="1465"/>
      <c r="J64" s="2029">
        <v>1.052E-3</v>
      </c>
      <c r="K64" s="1114">
        <v>3.6499999999999998E-2</v>
      </c>
      <c r="L64" s="1465"/>
      <c r="M64" s="1485" t="s">
        <v>282</v>
      </c>
      <c r="N64" s="1482">
        <f t="shared" si="2"/>
        <v>1</v>
      </c>
      <c r="O64" s="1054">
        <f t="shared" si="0"/>
        <v>3.78E-2</v>
      </c>
      <c r="P64" s="1483"/>
    </row>
    <row r="65" spans="1:16" s="1452" customFormat="1" ht="15.75" customHeight="1">
      <c r="A65" s="1479">
        <f t="shared" si="4"/>
        <v>52</v>
      </c>
      <c r="B65" s="2075" t="s">
        <v>1820</v>
      </c>
      <c r="C65" s="1480" t="s">
        <v>888</v>
      </c>
      <c r="D65" s="2029">
        <v>0.53667299999999996</v>
      </c>
      <c r="E65" s="1114">
        <v>2.7400000000000001E-2</v>
      </c>
      <c r="F65" s="1465"/>
      <c r="G65" s="2029">
        <v>0.46227499999999999</v>
      </c>
      <c r="H65" s="1114">
        <v>4.99E-2</v>
      </c>
      <c r="I65" s="1465"/>
      <c r="J65" s="2029">
        <v>1.052E-3</v>
      </c>
      <c r="K65" s="1114">
        <v>3.6499999999999998E-2</v>
      </c>
      <c r="L65" s="1465"/>
      <c r="M65" s="1485" t="s">
        <v>282</v>
      </c>
      <c r="N65" s="1482">
        <f t="shared" si="2"/>
        <v>1</v>
      </c>
      <c r="O65" s="1054">
        <f t="shared" si="0"/>
        <v>3.78E-2</v>
      </c>
      <c r="P65" s="1483"/>
    </row>
    <row r="66" spans="1:16" s="1452" customFormat="1" ht="15.75" customHeight="1">
      <c r="A66" s="1479">
        <f t="shared" si="4"/>
        <v>53</v>
      </c>
      <c r="B66" s="2075" t="s">
        <v>1820</v>
      </c>
      <c r="C66" s="1480" t="s">
        <v>889</v>
      </c>
      <c r="D66" s="2029">
        <v>1</v>
      </c>
      <c r="E66" s="1114">
        <v>2.7400000000000001E-2</v>
      </c>
      <c r="F66" s="1465"/>
      <c r="G66" s="2029">
        <v>0</v>
      </c>
      <c r="H66" s="1114">
        <v>0</v>
      </c>
      <c r="I66" s="1465"/>
      <c r="J66" s="2029">
        <v>0</v>
      </c>
      <c r="K66" s="1114">
        <v>0</v>
      </c>
      <c r="L66" s="1465"/>
      <c r="M66" s="1489" t="s">
        <v>856</v>
      </c>
      <c r="N66" s="1482">
        <f t="shared" si="2"/>
        <v>1</v>
      </c>
      <c r="O66" s="1054">
        <f t="shared" si="0"/>
        <v>2.7400000000000001E-2</v>
      </c>
      <c r="P66" s="1483"/>
    </row>
    <row r="67" spans="1:16" ht="15.75" customHeight="1">
      <c r="A67" s="1479">
        <f t="shared" si="4"/>
        <v>54</v>
      </c>
      <c r="B67" s="2075" t="s">
        <v>1821</v>
      </c>
      <c r="C67" s="1486" t="s">
        <v>1282</v>
      </c>
      <c r="D67" s="2029">
        <v>0.54237500000000005</v>
      </c>
      <c r="E67" s="1114">
        <v>3.27E-2</v>
      </c>
      <c r="F67" s="1465"/>
      <c r="G67" s="2029">
        <v>0.45286100000000001</v>
      </c>
      <c r="H67" s="1114">
        <v>4.2900000000000001E-2</v>
      </c>
      <c r="I67" s="1465"/>
      <c r="J67" s="2029">
        <v>4.764E-3</v>
      </c>
      <c r="K67" s="1114">
        <v>5.5899999999999998E-2</v>
      </c>
      <c r="L67" s="1465"/>
      <c r="M67" s="1485" t="s">
        <v>800</v>
      </c>
      <c r="N67" s="1482">
        <f t="shared" si="2"/>
        <v>1</v>
      </c>
      <c r="O67" s="1054">
        <f t="shared" si="0"/>
        <v>3.7400000000000003E-2</v>
      </c>
      <c r="P67" s="1491"/>
    </row>
    <row r="68" spans="1:16" ht="15.75" customHeight="1">
      <c r="A68" s="1479">
        <f t="shared" si="4"/>
        <v>55</v>
      </c>
      <c r="B68" s="1484">
        <v>399</v>
      </c>
      <c r="C68" s="1492" t="s">
        <v>1561</v>
      </c>
      <c r="D68" s="2029">
        <v>1</v>
      </c>
      <c r="E68" s="1114">
        <v>0</v>
      </c>
      <c r="F68" s="1465"/>
      <c r="G68" s="2029">
        <v>0</v>
      </c>
      <c r="H68" s="1114">
        <v>0</v>
      </c>
      <c r="I68" s="1465"/>
      <c r="J68" s="2029">
        <v>0</v>
      </c>
      <c r="K68" s="1114">
        <v>0</v>
      </c>
      <c r="L68" s="1465"/>
      <c r="M68" s="1489" t="s">
        <v>856</v>
      </c>
      <c r="N68" s="1482">
        <f t="shared" si="2"/>
        <v>1</v>
      </c>
      <c r="O68" s="1054">
        <f t="shared" si="0"/>
        <v>0</v>
      </c>
      <c r="P68" s="1491"/>
    </row>
    <row r="69" spans="1:16" ht="16.5" thickBot="1">
      <c r="A69" s="1479">
        <f t="shared" si="4"/>
        <v>56</v>
      </c>
      <c r="B69" s="1484">
        <v>399</v>
      </c>
      <c r="C69" s="1492" t="s">
        <v>1561</v>
      </c>
      <c r="D69" s="2032">
        <v>0</v>
      </c>
      <c r="E69" s="1493">
        <v>0</v>
      </c>
      <c r="F69" s="1465"/>
      <c r="G69" s="2032">
        <v>1</v>
      </c>
      <c r="H69" s="1493">
        <v>0</v>
      </c>
      <c r="I69" s="1465"/>
      <c r="J69" s="2032">
        <v>0</v>
      </c>
      <c r="K69" s="1493">
        <v>0</v>
      </c>
      <c r="L69" s="1494"/>
      <c r="M69" s="1495" t="s">
        <v>858</v>
      </c>
      <c r="N69" s="1496">
        <f t="shared" si="2"/>
        <v>1</v>
      </c>
      <c r="O69" s="1497">
        <f t="shared" si="0"/>
        <v>0</v>
      </c>
    </row>
    <row r="70" spans="1:16" ht="7.5" customHeight="1">
      <c r="A70" s="1479"/>
      <c r="B70" s="1484"/>
      <c r="C70" s="1492"/>
      <c r="D70" s="1498"/>
      <c r="E70" s="1499"/>
      <c r="F70" s="1499"/>
      <c r="G70" s="1498"/>
      <c r="H70" s="1499"/>
      <c r="I70" s="1499"/>
      <c r="J70" s="1498"/>
      <c r="K70" s="1499"/>
      <c r="L70" s="1499"/>
      <c r="M70" s="1499"/>
      <c r="N70" s="1500"/>
      <c r="O70" s="1500"/>
    </row>
    <row r="71" spans="1:16" ht="15.75">
      <c r="A71" s="1501" t="s">
        <v>1547</v>
      </c>
      <c r="C71" s="1502"/>
      <c r="D71" s="1503"/>
      <c r="E71" s="1504"/>
      <c r="F71" s="1504"/>
      <c r="G71" s="1505"/>
      <c r="H71" s="1506"/>
      <c r="I71" s="1506"/>
      <c r="J71" s="1505"/>
      <c r="K71" s="1506"/>
      <c r="L71" s="1506"/>
      <c r="M71" s="1506"/>
      <c r="N71" s="1507"/>
      <c r="O71" s="1507"/>
    </row>
    <row r="72" spans="1:16" ht="81" customHeight="1">
      <c r="A72" s="1509">
        <v>1</v>
      </c>
      <c r="B72" s="2199" t="s">
        <v>890</v>
      </c>
      <c r="C72" s="2201"/>
      <c r="D72" s="2201"/>
      <c r="E72" s="2201"/>
      <c r="F72" s="2201"/>
      <c r="G72" s="2201"/>
      <c r="H72" s="2201"/>
      <c r="I72" s="2201"/>
      <c r="J72" s="2201"/>
      <c r="K72" s="2201"/>
      <c r="L72" s="2201"/>
      <c r="M72" s="2201"/>
      <c r="N72" s="2201"/>
      <c r="O72" s="2201"/>
    </row>
    <row r="73" spans="1:16" ht="5.25" customHeight="1">
      <c r="A73" s="1511"/>
      <c r="B73" s="1510"/>
      <c r="C73" s="1512"/>
      <c r="D73" s="1512"/>
      <c r="E73" s="1512"/>
      <c r="F73" s="1512"/>
      <c r="G73" s="1512"/>
      <c r="H73" s="1512"/>
      <c r="I73" s="1512"/>
      <c r="J73" s="1512"/>
      <c r="K73" s="1512"/>
      <c r="L73" s="1512"/>
      <c r="M73" s="1512"/>
      <c r="N73" s="1512"/>
      <c r="O73" s="1512"/>
    </row>
    <row r="74" spans="1:16" ht="34.5" customHeight="1">
      <c r="A74" s="1509">
        <v>2</v>
      </c>
      <c r="B74" s="2199" t="s">
        <v>595</v>
      </c>
      <c r="C74" s="2201"/>
      <c r="D74" s="2201"/>
      <c r="E74" s="2201"/>
      <c r="F74" s="2201"/>
      <c r="G74" s="2201"/>
      <c r="H74" s="2201"/>
      <c r="I74" s="2201"/>
      <c r="J74" s="2201"/>
      <c r="K74" s="2201"/>
      <c r="L74" s="2201"/>
      <c r="M74" s="2201"/>
      <c r="N74" s="2201"/>
      <c r="O74" s="2201"/>
      <c r="P74" s="1455"/>
    </row>
    <row r="75" spans="1:16" ht="15.75">
      <c r="A75" s="1508"/>
      <c r="B75" s="1448" t="s">
        <v>804</v>
      </c>
      <c r="C75" s="1508" t="s">
        <v>596</v>
      </c>
      <c r="D75" s="1513"/>
      <c r="E75" s="1514"/>
      <c r="F75" s="1514"/>
      <c r="G75" s="1513"/>
      <c r="H75" s="1514"/>
      <c r="I75" s="1514"/>
      <c r="J75" s="1513"/>
      <c r="K75" s="1514"/>
      <c r="L75" s="1514"/>
      <c r="M75" s="1514"/>
      <c r="N75" s="1507"/>
      <c r="O75" s="1507"/>
      <c r="P75" s="1455"/>
    </row>
    <row r="76" spans="1:16" ht="15.75">
      <c r="A76" s="1508"/>
      <c r="B76" s="1515" t="s">
        <v>1771</v>
      </c>
      <c r="C76" s="2199" t="s">
        <v>597</v>
      </c>
      <c r="D76" s="2200"/>
      <c r="E76" s="2200"/>
      <c r="F76" s="2200"/>
      <c r="G76" s="2200"/>
      <c r="H76" s="2200"/>
      <c r="I76" s="2200"/>
      <c r="J76" s="2200"/>
      <c r="K76" s="2200"/>
      <c r="L76" s="2200"/>
      <c r="M76" s="2200"/>
      <c r="N76" s="2200"/>
      <c r="O76" s="2200"/>
      <c r="P76" s="1455"/>
    </row>
    <row r="77" spans="1:16" ht="15.75">
      <c r="A77" s="1508"/>
      <c r="B77" s="1511" t="s">
        <v>806</v>
      </c>
      <c r="C77" s="1508" t="s">
        <v>598</v>
      </c>
    </row>
    <row r="78" spans="1:16" ht="28.5" customHeight="1">
      <c r="A78" s="1508"/>
      <c r="B78" s="1747" t="s">
        <v>821</v>
      </c>
      <c r="C78" s="2182" t="s">
        <v>599</v>
      </c>
      <c r="D78" s="2167"/>
      <c r="E78" s="2167"/>
      <c r="F78" s="2167"/>
      <c r="G78" s="2167"/>
      <c r="H78" s="2167"/>
      <c r="I78" s="2167"/>
      <c r="J78" s="2167"/>
      <c r="K78" s="2167"/>
      <c r="L78" s="2167"/>
      <c r="M78" s="2167"/>
      <c r="N78" s="2167"/>
      <c r="O78" s="2167"/>
    </row>
    <row r="79" spans="1:16" ht="32.25" customHeight="1">
      <c r="A79" s="1508"/>
      <c r="B79" s="1747" t="s">
        <v>800</v>
      </c>
      <c r="C79" s="2182" t="s">
        <v>39</v>
      </c>
      <c r="D79" s="2167"/>
      <c r="E79" s="2167"/>
      <c r="F79" s="2167"/>
      <c r="G79" s="2167"/>
      <c r="H79" s="2167"/>
      <c r="I79" s="2167"/>
      <c r="J79" s="2167"/>
      <c r="K79" s="2167"/>
      <c r="L79" s="2167"/>
      <c r="M79" s="2167"/>
      <c r="N79" s="2167"/>
      <c r="O79" s="2167"/>
    </row>
    <row r="80" spans="1:16" ht="29.25" customHeight="1">
      <c r="A80" s="1508"/>
      <c r="B80" s="1747" t="s">
        <v>282</v>
      </c>
      <c r="C80" s="2182" t="s">
        <v>40</v>
      </c>
      <c r="D80" s="2167"/>
      <c r="E80" s="2167"/>
      <c r="F80" s="2167"/>
      <c r="G80" s="2167"/>
      <c r="H80" s="2167"/>
      <c r="I80" s="2167"/>
      <c r="J80" s="2167"/>
      <c r="K80" s="2167"/>
      <c r="L80" s="2167"/>
      <c r="M80" s="2167"/>
      <c r="N80" s="2167"/>
      <c r="O80" s="2167"/>
    </row>
    <row r="81" spans="1:47" ht="29.25" customHeight="1">
      <c r="A81" s="1508"/>
      <c r="B81" s="1748" t="s">
        <v>1642</v>
      </c>
      <c r="C81" s="2182" t="s">
        <v>600</v>
      </c>
      <c r="D81" s="2167"/>
      <c r="E81" s="2167"/>
      <c r="F81" s="2167"/>
      <c r="G81" s="2167"/>
      <c r="H81" s="2167"/>
      <c r="I81" s="2167"/>
      <c r="J81" s="2167"/>
      <c r="K81" s="2167"/>
      <c r="L81" s="2167"/>
      <c r="M81" s="2167"/>
      <c r="N81" s="2167"/>
      <c r="O81" s="2167"/>
    </row>
    <row r="82" spans="1:47" ht="29.25" customHeight="1">
      <c r="A82" s="1508"/>
      <c r="B82" s="1515" t="s">
        <v>277</v>
      </c>
      <c r="C82" s="2199" t="s">
        <v>601</v>
      </c>
      <c r="D82" s="2200"/>
      <c r="E82" s="2200"/>
      <c r="F82" s="2200"/>
      <c r="G82" s="2200"/>
      <c r="H82" s="2200"/>
      <c r="I82" s="2200"/>
      <c r="J82" s="2200"/>
      <c r="K82" s="2200"/>
      <c r="L82" s="2200"/>
      <c r="M82" s="2200"/>
      <c r="N82" s="2200"/>
      <c r="O82" s="2200"/>
    </row>
    <row r="83" spans="1:47" ht="12" customHeight="1">
      <c r="A83" s="1508" t="s">
        <v>1822</v>
      </c>
      <c r="B83" s="1515"/>
      <c r="C83" s="2049"/>
      <c r="D83" s="2050"/>
      <c r="E83" s="2050"/>
      <c r="F83" s="2050"/>
      <c r="G83" s="2050"/>
      <c r="H83" s="2050"/>
      <c r="I83" s="2050"/>
      <c r="J83" s="2050"/>
      <c r="K83" s="2050"/>
      <c r="L83" s="2050"/>
      <c r="M83" s="2050"/>
      <c r="N83" s="2050"/>
      <c r="O83" s="2050"/>
    </row>
    <row r="84" spans="1:47" ht="18">
      <c r="D84" s="1453"/>
      <c r="E84" s="1453"/>
      <c r="F84" s="1453"/>
      <c r="G84" s="1453"/>
      <c r="H84" s="1453"/>
      <c r="I84" s="1453"/>
      <c r="J84" s="1453"/>
      <c r="K84" s="1453"/>
      <c r="L84" s="1453"/>
      <c r="M84" s="1453"/>
      <c r="N84" s="1453"/>
      <c r="P84" s="2193" t="s">
        <v>166</v>
      </c>
      <c r="Q84" s="2193"/>
    </row>
    <row r="85" spans="1:47" ht="18.75" thickBot="1">
      <c r="A85" s="1454" t="s">
        <v>602</v>
      </c>
      <c r="D85" s="2204" t="s">
        <v>603</v>
      </c>
      <c r="E85" s="2204"/>
      <c r="F85" s="2204"/>
      <c r="G85" s="2204"/>
      <c r="H85" s="2204"/>
      <c r="I85" s="2204"/>
      <c r="J85" s="2204"/>
      <c r="K85" s="2204"/>
      <c r="L85" s="2204"/>
      <c r="M85" s="2204"/>
      <c r="N85" s="2204"/>
      <c r="O85" s="2204"/>
      <c r="P85" s="1749" t="s">
        <v>1738</v>
      </c>
    </row>
    <row r="86" spans="1:47" ht="16.5" thickBot="1">
      <c r="C86" s="1455"/>
      <c r="D86" s="2202" t="s">
        <v>709</v>
      </c>
      <c r="E86" s="2205"/>
      <c r="F86" s="2205"/>
      <c r="G86" s="2203"/>
      <c r="H86" s="1516"/>
      <c r="I86" s="1456" t="s">
        <v>710</v>
      </c>
      <c r="J86" s="1460"/>
      <c r="K86" s="1457"/>
      <c r="M86" s="2202" t="s">
        <v>1262</v>
      </c>
      <c r="N86" s="2205"/>
      <c r="O86" s="2203"/>
      <c r="P86" s="2202" t="s">
        <v>793</v>
      </c>
      <c r="Q86" s="2203"/>
    </row>
    <row r="87" spans="1:47" ht="45.75" thickBot="1">
      <c r="A87" s="1461" t="s">
        <v>1263</v>
      </c>
      <c r="B87" s="1461" t="s">
        <v>1264</v>
      </c>
      <c r="C87" s="1462" t="s">
        <v>1633</v>
      </c>
      <c r="D87" s="1517" t="s">
        <v>604</v>
      </c>
      <c r="E87" s="1517" t="s">
        <v>796</v>
      </c>
      <c r="G87" s="1518" t="s">
        <v>1181</v>
      </c>
      <c r="H87" s="1517" t="s">
        <v>604</v>
      </c>
      <c r="I87" s="1519"/>
      <c r="J87" s="1517" t="s">
        <v>796</v>
      </c>
      <c r="K87" s="1518" t="s">
        <v>1181</v>
      </c>
      <c r="M87" s="1469" t="s">
        <v>604</v>
      </c>
      <c r="N87" s="1469" t="s">
        <v>796</v>
      </c>
      <c r="O87" s="1520" t="s">
        <v>1181</v>
      </c>
      <c r="P87" s="1469" t="s">
        <v>605</v>
      </c>
      <c r="Q87" s="1471" t="s">
        <v>606</v>
      </c>
    </row>
    <row r="88" spans="1:47" ht="15">
      <c r="A88" s="1461"/>
      <c r="B88" s="1461"/>
      <c r="C88" s="1462"/>
      <c r="D88" s="1521"/>
      <c r="E88" s="1477"/>
      <c r="F88" s="1522"/>
      <c r="G88" s="1476"/>
      <c r="H88" s="1475"/>
      <c r="I88" s="1522"/>
      <c r="J88" s="1523"/>
      <c r="K88" s="1476"/>
      <c r="M88" s="1475"/>
      <c r="N88" s="1477"/>
      <c r="O88" s="1476"/>
      <c r="P88" s="1475"/>
      <c r="Q88" s="1476"/>
    </row>
    <row r="89" spans="1:47" ht="16.5" customHeight="1">
      <c r="A89" s="1479">
        <v>1</v>
      </c>
      <c r="B89" s="1479">
        <v>301</v>
      </c>
      <c r="C89" s="1524" t="s">
        <v>1265</v>
      </c>
      <c r="D89" s="1525">
        <v>0.54269299999999998</v>
      </c>
      <c r="E89" s="1526" t="s">
        <v>607</v>
      </c>
      <c r="F89" s="1527"/>
      <c r="G89" s="1528">
        <v>0</v>
      </c>
      <c r="H89" s="1525">
        <v>0.45346900000000001</v>
      </c>
      <c r="I89" s="1527"/>
      <c r="J89" s="1526" t="s">
        <v>800</v>
      </c>
      <c r="K89" s="1528">
        <v>0</v>
      </c>
      <c r="L89" s="1519"/>
      <c r="M89" s="1525">
        <v>2.954E-3</v>
      </c>
      <c r="N89" s="1526" t="s">
        <v>800</v>
      </c>
      <c r="O89" s="1528">
        <v>0</v>
      </c>
      <c r="P89" s="1529">
        <f>SUM(D89,H89,M89)</f>
        <v>0.999116</v>
      </c>
      <c r="Q89" s="1530">
        <f t="shared" ref="Q89:Q99" si="5">IF(($D89+$H89+$M89)&gt;0,ROUND((((+$D89*G89)+($H89*K89)+($M89*O89))/($D89+$H89+$M89)),4),0)</f>
        <v>0</v>
      </c>
    </row>
    <row r="90" spans="1:47" ht="16.5" customHeight="1">
      <c r="A90" s="1479">
        <f t="shared" ref="A90:A101" si="6">+A89+1</f>
        <v>2</v>
      </c>
      <c r="B90" s="1484">
        <v>302</v>
      </c>
      <c r="C90" s="1524" t="s">
        <v>1266</v>
      </c>
      <c r="D90" s="1525">
        <v>1</v>
      </c>
      <c r="E90" s="1526" t="s">
        <v>607</v>
      </c>
      <c r="F90" s="1527"/>
      <c r="G90" s="1528">
        <v>0</v>
      </c>
      <c r="H90" s="1525">
        <v>0</v>
      </c>
      <c r="I90" s="1527"/>
      <c r="J90" s="1531"/>
      <c r="K90" s="1528">
        <v>0</v>
      </c>
      <c r="L90" s="1519"/>
      <c r="M90" s="1525">
        <v>0</v>
      </c>
      <c r="N90" s="1531"/>
      <c r="O90" s="1528">
        <v>0</v>
      </c>
      <c r="P90" s="1529">
        <f t="shared" ref="P90:P144" si="7">SUM(D90,H90,M90)</f>
        <v>1</v>
      </c>
      <c r="Q90" s="1530">
        <f t="shared" si="5"/>
        <v>0</v>
      </c>
    </row>
    <row r="91" spans="1:47" ht="16.5" customHeight="1">
      <c r="A91" s="1479">
        <f t="shared" si="6"/>
        <v>3</v>
      </c>
      <c r="B91" s="1484">
        <v>303</v>
      </c>
      <c r="C91" s="1524" t="s">
        <v>802</v>
      </c>
      <c r="D91" s="1525">
        <v>0.54269299999999998</v>
      </c>
      <c r="E91" s="1526" t="s">
        <v>607</v>
      </c>
      <c r="F91" s="1527"/>
      <c r="G91" s="1528">
        <f>+G111</f>
        <v>2.24E-2</v>
      </c>
      <c r="H91" s="1525">
        <f>+H111</f>
        <v>0.45030500000000001</v>
      </c>
      <c r="I91" s="1527"/>
      <c r="J91" s="1531" t="s">
        <v>1771</v>
      </c>
      <c r="K91" s="1528">
        <f>+K111</f>
        <v>3.2399999999999998E-2</v>
      </c>
      <c r="L91" s="1519"/>
      <c r="M91" s="1525">
        <f>+M111</f>
        <v>6.5560000000000002E-3</v>
      </c>
      <c r="N91" s="1531" t="s">
        <v>1771</v>
      </c>
      <c r="O91" s="1528">
        <f>+O111</f>
        <v>3.2399999999999998E-2</v>
      </c>
      <c r="P91" s="1529">
        <f t="shared" si="7"/>
        <v>0.99955400000000005</v>
      </c>
      <c r="Q91" s="1530">
        <f t="shared" si="5"/>
        <v>2.7E-2</v>
      </c>
    </row>
    <row r="92" spans="1:47" ht="16.5" customHeight="1">
      <c r="A92" s="1479">
        <f t="shared" si="6"/>
        <v>4</v>
      </c>
      <c r="B92" s="1484">
        <v>303</v>
      </c>
      <c r="C92" s="1524" t="s">
        <v>803</v>
      </c>
      <c r="D92" s="1525">
        <v>0.54269299999999998</v>
      </c>
      <c r="E92" s="1526" t="s">
        <v>607</v>
      </c>
      <c r="F92" s="1527"/>
      <c r="G92" s="1528">
        <v>0.2</v>
      </c>
      <c r="H92" s="1525">
        <v>0.46327000000000002</v>
      </c>
      <c r="I92" s="1527"/>
      <c r="J92" s="1526" t="s">
        <v>804</v>
      </c>
      <c r="K92" s="1528">
        <v>0.2</v>
      </c>
      <c r="L92" s="1519"/>
      <c r="M92" s="1525">
        <v>0</v>
      </c>
      <c r="N92" s="1526" t="s">
        <v>804</v>
      </c>
      <c r="O92" s="1528">
        <v>0.2</v>
      </c>
      <c r="P92" s="1529">
        <f t="shared" si="7"/>
        <v>1.0059629999999999</v>
      </c>
      <c r="Q92" s="1530">
        <f t="shared" si="5"/>
        <v>0.2</v>
      </c>
      <c r="AT92" s="1452"/>
      <c r="AU92" s="1483">
        <f t="shared" ref="AU92:AU102" si="8">D89+H89+M89</f>
        <v>0.999116</v>
      </c>
    </row>
    <row r="93" spans="1:47" ht="20.25" customHeight="1">
      <c r="A93" s="1479">
        <f t="shared" si="6"/>
        <v>5</v>
      </c>
      <c r="B93" s="1484">
        <v>303</v>
      </c>
      <c r="C93" s="1524" t="s">
        <v>805</v>
      </c>
      <c r="D93" s="1525">
        <v>0.54269299999999998</v>
      </c>
      <c r="E93" s="1526" t="s">
        <v>607</v>
      </c>
      <c r="F93" s="1527"/>
      <c r="G93" s="1528">
        <v>0.2</v>
      </c>
      <c r="H93" s="1525">
        <v>0.424456</v>
      </c>
      <c r="I93" s="1527"/>
      <c r="J93" s="1531" t="s">
        <v>806</v>
      </c>
      <c r="K93" s="1528">
        <v>0.2</v>
      </c>
      <c r="L93" s="1519"/>
      <c r="M93" s="1525">
        <v>7.6379999999999998E-3</v>
      </c>
      <c r="N93" s="1531" t="s">
        <v>806</v>
      </c>
      <c r="O93" s="1528">
        <v>0.2</v>
      </c>
      <c r="P93" s="1529">
        <f t="shared" si="7"/>
        <v>0.97478700000000007</v>
      </c>
      <c r="Q93" s="1530">
        <f t="shared" si="5"/>
        <v>0.2</v>
      </c>
      <c r="AT93" s="1452"/>
      <c r="AU93" s="1483">
        <f t="shared" si="8"/>
        <v>1</v>
      </c>
    </row>
    <row r="94" spans="1:47" ht="17.25" customHeight="1">
      <c r="A94" s="1479">
        <f t="shared" si="6"/>
        <v>6</v>
      </c>
      <c r="B94" s="1484">
        <v>303</v>
      </c>
      <c r="C94" s="1524" t="s">
        <v>275</v>
      </c>
      <c r="D94" s="1525">
        <v>0.54269299999999998</v>
      </c>
      <c r="E94" s="1526" t="s">
        <v>607</v>
      </c>
      <c r="F94" s="1527"/>
      <c r="G94" s="1528">
        <v>0.2</v>
      </c>
      <c r="H94" s="1525">
        <v>0.45030500000000001</v>
      </c>
      <c r="I94" s="1527"/>
      <c r="J94" s="1531" t="s">
        <v>1771</v>
      </c>
      <c r="K94" s="1528">
        <v>0.2</v>
      </c>
      <c r="L94" s="1519"/>
      <c r="M94" s="1525">
        <v>6.5560000000000002E-3</v>
      </c>
      <c r="N94" s="1531" t="s">
        <v>1771</v>
      </c>
      <c r="O94" s="1528">
        <v>0.2</v>
      </c>
      <c r="P94" s="1529">
        <f t="shared" si="7"/>
        <v>0.99955400000000005</v>
      </c>
      <c r="Q94" s="1530">
        <f t="shared" si="5"/>
        <v>0.2</v>
      </c>
      <c r="AT94" s="1452"/>
      <c r="AU94" s="1483">
        <f t="shared" si="8"/>
        <v>0.99955400000000005</v>
      </c>
    </row>
    <row r="95" spans="1:47" ht="16.5" customHeight="1">
      <c r="A95" s="1479">
        <f t="shared" si="6"/>
        <v>7</v>
      </c>
      <c r="B95" s="1484">
        <v>303</v>
      </c>
      <c r="C95" s="1524" t="s">
        <v>276</v>
      </c>
      <c r="D95" s="1525">
        <v>0.54269299999999998</v>
      </c>
      <c r="E95" s="1526" t="s">
        <v>607</v>
      </c>
      <c r="F95" s="1527"/>
      <c r="G95" s="1528">
        <v>0.2</v>
      </c>
      <c r="H95" s="1525">
        <v>0.44930700000000001</v>
      </c>
      <c r="I95" s="1527"/>
      <c r="J95" s="1531" t="s">
        <v>277</v>
      </c>
      <c r="K95" s="1528">
        <v>0.2</v>
      </c>
      <c r="L95" s="1519"/>
      <c r="M95" s="1525">
        <v>5.1739999999999998E-3</v>
      </c>
      <c r="N95" s="1531" t="s">
        <v>277</v>
      </c>
      <c r="O95" s="1528">
        <v>0.2</v>
      </c>
      <c r="P95" s="1529">
        <f t="shared" si="7"/>
        <v>0.997174</v>
      </c>
      <c r="Q95" s="1530">
        <f t="shared" si="5"/>
        <v>0.2</v>
      </c>
      <c r="AT95" s="1452"/>
      <c r="AU95" s="1483">
        <f t="shared" si="8"/>
        <v>1.0059629999999999</v>
      </c>
    </row>
    <row r="96" spans="1:47" ht="16.5" customHeight="1">
      <c r="A96" s="1479">
        <f t="shared" si="6"/>
        <v>8</v>
      </c>
      <c r="B96" s="1484">
        <v>303</v>
      </c>
      <c r="C96" s="1524" t="s">
        <v>278</v>
      </c>
      <c r="D96" s="1525">
        <v>0.54269299999999998</v>
      </c>
      <c r="E96" s="1526" t="s">
        <v>607</v>
      </c>
      <c r="F96" s="1527"/>
      <c r="G96" s="1528">
        <v>0.2</v>
      </c>
      <c r="H96" s="1525">
        <v>0.45030500000000001</v>
      </c>
      <c r="I96" s="1527"/>
      <c r="J96" s="1531" t="s">
        <v>1771</v>
      </c>
      <c r="K96" s="1528">
        <v>0.2</v>
      </c>
      <c r="L96" s="1519"/>
      <c r="M96" s="1525">
        <v>6.5560000000000002E-3</v>
      </c>
      <c r="N96" s="1531" t="s">
        <v>1771</v>
      </c>
      <c r="O96" s="1528">
        <v>0.2</v>
      </c>
      <c r="P96" s="1529">
        <f t="shared" si="7"/>
        <v>0.99955400000000005</v>
      </c>
      <c r="Q96" s="1530">
        <f t="shared" si="5"/>
        <v>0.2</v>
      </c>
      <c r="AT96" s="1452"/>
      <c r="AU96" s="1483">
        <f t="shared" si="8"/>
        <v>0.97478700000000007</v>
      </c>
    </row>
    <row r="97" spans="1:47" ht="16.5" customHeight="1">
      <c r="A97" s="1479">
        <f t="shared" si="6"/>
        <v>9</v>
      </c>
      <c r="B97" s="1484">
        <v>303</v>
      </c>
      <c r="C97" s="1524" t="s">
        <v>279</v>
      </c>
      <c r="D97" s="1525">
        <v>0.54269299999999998</v>
      </c>
      <c r="E97" s="1526" t="s">
        <v>607</v>
      </c>
      <c r="F97" s="1527"/>
      <c r="G97" s="1528">
        <v>0.1</v>
      </c>
      <c r="H97" s="1525">
        <v>0.46327000000000002</v>
      </c>
      <c r="I97" s="1527"/>
      <c r="J97" s="1531" t="s">
        <v>804</v>
      </c>
      <c r="K97" s="1528">
        <v>0.1</v>
      </c>
      <c r="L97" s="1519"/>
      <c r="M97" s="1525">
        <v>0</v>
      </c>
      <c r="N97" s="1531" t="s">
        <v>804</v>
      </c>
      <c r="O97" s="1528">
        <v>0.1</v>
      </c>
      <c r="P97" s="1529">
        <f t="shared" si="7"/>
        <v>1.0059629999999999</v>
      </c>
      <c r="Q97" s="1530">
        <f t="shared" si="5"/>
        <v>0.1</v>
      </c>
      <c r="AT97" s="1452"/>
      <c r="AU97" s="1483">
        <f t="shared" si="8"/>
        <v>0.99955400000000005</v>
      </c>
    </row>
    <row r="98" spans="1:47" ht="16.5" customHeight="1">
      <c r="A98" s="1479">
        <f t="shared" si="6"/>
        <v>10</v>
      </c>
      <c r="B98" s="1484">
        <v>303</v>
      </c>
      <c r="C98" s="1524" t="s">
        <v>280</v>
      </c>
      <c r="D98" s="1525">
        <v>0.54269299999999998</v>
      </c>
      <c r="E98" s="1526" t="s">
        <v>607</v>
      </c>
      <c r="F98" s="1527"/>
      <c r="G98" s="1528">
        <v>0.1</v>
      </c>
      <c r="H98" s="1525">
        <v>0.424456</v>
      </c>
      <c r="I98" s="1527"/>
      <c r="J98" s="1531" t="s">
        <v>806</v>
      </c>
      <c r="K98" s="1528">
        <v>0.1</v>
      </c>
      <c r="L98" s="1519"/>
      <c r="M98" s="1525">
        <v>7.6379999999999998E-3</v>
      </c>
      <c r="N98" s="1531" t="s">
        <v>806</v>
      </c>
      <c r="O98" s="1528">
        <v>0.1</v>
      </c>
      <c r="P98" s="1529">
        <f t="shared" si="7"/>
        <v>0.97478700000000007</v>
      </c>
      <c r="Q98" s="1530">
        <f t="shared" si="5"/>
        <v>0.1</v>
      </c>
      <c r="AT98" s="1452"/>
      <c r="AU98" s="1483">
        <f t="shared" si="8"/>
        <v>0.997174</v>
      </c>
    </row>
    <row r="99" spans="1:47" ht="16.5" customHeight="1">
      <c r="A99" s="1479">
        <f t="shared" si="6"/>
        <v>11</v>
      </c>
      <c r="B99" s="1484">
        <v>303</v>
      </c>
      <c r="C99" s="1524" t="s">
        <v>281</v>
      </c>
      <c r="D99" s="1525">
        <v>0.54269299999999998</v>
      </c>
      <c r="E99" s="1526" t="s">
        <v>607</v>
      </c>
      <c r="F99" s="1527"/>
      <c r="G99" s="1528">
        <f>G139</f>
        <v>2.5000000000000001E-2</v>
      </c>
      <c r="H99" s="1525">
        <f>H139</f>
        <v>0.465061</v>
      </c>
      <c r="I99" s="1527"/>
      <c r="J99" s="1531" t="s">
        <v>282</v>
      </c>
      <c r="K99" s="1528">
        <f>K139</f>
        <v>3.6499999999999998E-2</v>
      </c>
      <c r="L99" s="1519"/>
      <c r="M99" s="1525">
        <f>M139</f>
        <v>1.2080000000000001E-3</v>
      </c>
      <c r="N99" s="1531" t="s">
        <v>282</v>
      </c>
      <c r="O99" s="1528">
        <f>O139</f>
        <v>3.6499999999999998E-2</v>
      </c>
      <c r="P99" s="1529">
        <f t="shared" si="7"/>
        <v>1.0089620000000001</v>
      </c>
      <c r="Q99" s="1530">
        <f t="shared" si="5"/>
        <v>3.0300000000000001E-2</v>
      </c>
      <c r="AT99" s="1452"/>
      <c r="AU99" s="1483">
        <f t="shared" si="8"/>
        <v>0.99955400000000005</v>
      </c>
    </row>
    <row r="100" spans="1:47" ht="16.5" customHeight="1">
      <c r="A100" s="1479">
        <f t="shared" si="6"/>
        <v>12</v>
      </c>
      <c r="B100" s="1484">
        <v>303</v>
      </c>
      <c r="C100" s="1524" t="s">
        <v>818</v>
      </c>
      <c r="D100" s="1525">
        <v>0.54269299999999998</v>
      </c>
      <c r="E100" s="1526" t="s">
        <v>607</v>
      </c>
      <c r="F100" s="1527"/>
      <c r="G100" s="1528">
        <v>4.1200000000000001E-2</v>
      </c>
      <c r="H100" s="1525">
        <v>0.45030500000000001</v>
      </c>
      <c r="I100" s="1527"/>
      <c r="J100" s="1531" t="s">
        <v>1771</v>
      </c>
      <c r="K100" s="1528">
        <v>0.04</v>
      </c>
      <c r="L100" s="1519"/>
      <c r="M100" s="1525">
        <v>6.5560000000000002E-3</v>
      </c>
      <c r="N100" s="1531" t="s">
        <v>1771</v>
      </c>
      <c r="O100" s="1528">
        <v>0.04</v>
      </c>
      <c r="P100" s="1529">
        <f t="shared" si="7"/>
        <v>0.99955400000000005</v>
      </c>
      <c r="Q100" s="1530">
        <v>4.07E-2</v>
      </c>
      <c r="AT100" s="1452"/>
      <c r="AU100" s="1483">
        <f t="shared" si="8"/>
        <v>1.0059629999999999</v>
      </c>
    </row>
    <row r="101" spans="1:47" ht="16.5" customHeight="1">
      <c r="A101" s="1479">
        <f t="shared" si="6"/>
        <v>13</v>
      </c>
      <c r="B101" s="1484">
        <v>303</v>
      </c>
      <c r="C101" s="1524" t="s">
        <v>819</v>
      </c>
      <c r="D101" s="1525">
        <v>0.54269299999999998</v>
      </c>
      <c r="E101" s="1526" t="s">
        <v>607</v>
      </c>
      <c r="F101" s="1527"/>
      <c r="G101" s="1528">
        <v>3.6299999999999999E-2</v>
      </c>
      <c r="H101" s="1525">
        <v>0.45030500000000001</v>
      </c>
      <c r="I101" s="1527"/>
      <c r="J101" s="1531" t="s">
        <v>1771</v>
      </c>
      <c r="K101" s="1528">
        <v>4.1200000000000001E-2</v>
      </c>
      <c r="L101" s="1519"/>
      <c r="M101" s="1525">
        <v>6.5560000000000002E-3</v>
      </c>
      <c r="N101" s="1531" t="s">
        <v>1642</v>
      </c>
      <c r="O101" s="1528">
        <v>4.1200000000000001E-2</v>
      </c>
      <c r="P101" s="1529">
        <f t="shared" si="7"/>
        <v>0.99955400000000005</v>
      </c>
      <c r="Q101" s="1530">
        <v>3.85E-2</v>
      </c>
      <c r="AT101" s="1452"/>
      <c r="AU101" s="1483">
        <f t="shared" si="8"/>
        <v>0.97478700000000007</v>
      </c>
    </row>
    <row r="102" spans="1:47" ht="16.5" customHeight="1">
      <c r="A102" s="1479">
        <f>A101+1</f>
        <v>14</v>
      </c>
      <c r="B102" s="1484">
        <v>350</v>
      </c>
      <c r="C102" s="1524" t="s">
        <v>820</v>
      </c>
      <c r="D102" s="1525">
        <v>0.53610899999999995</v>
      </c>
      <c r="E102" s="1526" t="s">
        <v>607</v>
      </c>
      <c r="F102" s="1527"/>
      <c r="G102" s="1528">
        <v>0</v>
      </c>
      <c r="H102" s="1525">
        <v>0.45030500000000001</v>
      </c>
      <c r="I102" s="1527"/>
      <c r="J102" s="1531"/>
      <c r="K102" s="1528">
        <v>0</v>
      </c>
      <c r="L102" s="1519"/>
      <c r="M102" s="1525">
        <v>6.5560000000000002E-3</v>
      </c>
      <c r="N102" s="1531"/>
      <c r="O102" s="1528">
        <v>0</v>
      </c>
      <c r="P102" s="1529">
        <f t="shared" si="7"/>
        <v>0.99296999999999991</v>
      </c>
      <c r="Q102" s="1530">
        <f t="shared" ref="Q102:Q144" si="9">IF(($D102+$H102+$M102)&gt;0,ROUND((((+$D102*G102)+($H102*K102)+($M102*O102))/($D102+$H102+$M102)),4),0)</f>
        <v>0</v>
      </c>
      <c r="AT102" s="1452"/>
      <c r="AU102" s="1483">
        <f t="shared" si="8"/>
        <v>1.0089620000000001</v>
      </c>
    </row>
    <row r="103" spans="1:47" ht="16.5" customHeight="1">
      <c r="A103" s="1479">
        <f t="shared" ref="A103:A127" si="10">+A102+1</f>
        <v>15</v>
      </c>
      <c r="B103" s="1484">
        <v>350</v>
      </c>
      <c r="C103" s="1532" t="s">
        <v>1443</v>
      </c>
      <c r="D103" s="1525">
        <v>0.53610899999999995</v>
      </c>
      <c r="E103" s="1526" t="s">
        <v>607</v>
      </c>
      <c r="F103" s="1527"/>
      <c r="G103" s="1528">
        <v>1.1900000000000001E-2</v>
      </c>
      <c r="H103" s="1525">
        <v>0.45030500000000001</v>
      </c>
      <c r="I103" s="1527"/>
      <c r="J103" s="1531" t="s">
        <v>1771</v>
      </c>
      <c r="K103" s="1528">
        <v>0</v>
      </c>
      <c r="L103" s="1519"/>
      <c r="M103" s="1525">
        <v>6.5560000000000002E-3</v>
      </c>
      <c r="N103" s="1531" t="s">
        <v>821</v>
      </c>
      <c r="O103" s="1528">
        <v>1.1900000000000001E-2</v>
      </c>
      <c r="P103" s="1529">
        <f t="shared" si="7"/>
        <v>0.99296999999999991</v>
      </c>
      <c r="Q103" s="1530">
        <f t="shared" si="9"/>
        <v>6.4999999999999997E-3</v>
      </c>
      <c r="AT103" s="1452"/>
      <c r="AU103" s="1483">
        <v>0.99955400000000005</v>
      </c>
    </row>
    <row r="104" spans="1:47" ht="16.5" customHeight="1">
      <c r="A104" s="1479">
        <f t="shared" si="10"/>
        <v>16</v>
      </c>
      <c r="B104" s="1484">
        <v>350</v>
      </c>
      <c r="C104" s="1532" t="s">
        <v>855</v>
      </c>
      <c r="D104" s="1525">
        <v>1</v>
      </c>
      <c r="E104" s="1526" t="s">
        <v>607</v>
      </c>
      <c r="F104" s="1527"/>
      <c r="G104" s="1528">
        <v>1.1900000000000001E-2</v>
      </c>
      <c r="H104" s="1525">
        <v>0</v>
      </c>
      <c r="I104" s="1527"/>
      <c r="J104" s="1531"/>
      <c r="K104" s="1528">
        <v>0</v>
      </c>
      <c r="L104" s="1519"/>
      <c r="M104" s="1525">
        <v>0</v>
      </c>
      <c r="N104" s="1531"/>
      <c r="O104" s="1528">
        <v>1.1900000000000001E-2</v>
      </c>
      <c r="P104" s="1529">
        <f t="shared" si="7"/>
        <v>1</v>
      </c>
      <c r="Q104" s="1530">
        <f t="shared" si="9"/>
        <v>1.1900000000000001E-2</v>
      </c>
      <c r="AT104" s="1452"/>
      <c r="AU104" s="1483">
        <v>0.99955400000000005</v>
      </c>
    </row>
    <row r="105" spans="1:47" ht="16.5" customHeight="1">
      <c r="A105" s="1479">
        <f t="shared" si="10"/>
        <v>17</v>
      </c>
      <c r="B105" s="1484">
        <v>350</v>
      </c>
      <c r="C105" s="1532" t="s">
        <v>857</v>
      </c>
      <c r="D105" s="1525">
        <v>0</v>
      </c>
      <c r="E105" s="1526" t="s">
        <v>607</v>
      </c>
      <c r="F105" s="1527"/>
      <c r="G105" s="1528">
        <v>1.1900000000000001E-2</v>
      </c>
      <c r="H105" s="1525">
        <v>1</v>
      </c>
      <c r="I105" s="1527"/>
      <c r="J105" s="1533" t="s">
        <v>858</v>
      </c>
      <c r="K105" s="1528">
        <v>0</v>
      </c>
      <c r="L105" s="1519"/>
      <c r="M105" s="1525">
        <v>0</v>
      </c>
      <c r="N105" s="1531"/>
      <c r="O105" s="1528">
        <v>1.1900000000000001E-2</v>
      </c>
      <c r="P105" s="1529">
        <f t="shared" si="7"/>
        <v>1</v>
      </c>
      <c r="Q105" s="1530">
        <f t="shared" si="9"/>
        <v>0</v>
      </c>
      <c r="AT105" s="1452"/>
      <c r="AU105" s="1483">
        <f t="shared" ref="AU105:AU145" si="11">D102+H102+M102</f>
        <v>0.99296999999999991</v>
      </c>
    </row>
    <row r="106" spans="1:47" ht="16.5" customHeight="1">
      <c r="A106" s="1479">
        <f t="shared" si="10"/>
        <v>18</v>
      </c>
      <c r="B106" s="1484">
        <v>350</v>
      </c>
      <c r="C106" s="1524" t="s">
        <v>859</v>
      </c>
      <c r="D106" s="1525">
        <v>0.53610899999999995</v>
      </c>
      <c r="E106" s="1526" t="s">
        <v>607</v>
      </c>
      <c r="F106" s="1527"/>
      <c r="G106" s="1528">
        <v>1.1900000000000001E-2</v>
      </c>
      <c r="H106" s="1525">
        <v>0.45030500000000001</v>
      </c>
      <c r="I106" s="1527"/>
      <c r="J106" s="1531" t="s">
        <v>1771</v>
      </c>
      <c r="K106" s="1528">
        <v>0</v>
      </c>
      <c r="L106" s="1519"/>
      <c r="M106" s="1525">
        <v>6.5560000000000002E-3</v>
      </c>
      <c r="N106" s="1531" t="s">
        <v>821</v>
      </c>
      <c r="O106" s="1528">
        <v>1.1900000000000001E-2</v>
      </c>
      <c r="P106" s="1529">
        <f t="shared" si="7"/>
        <v>0.99296999999999991</v>
      </c>
      <c r="Q106" s="1530">
        <f t="shared" si="9"/>
        <v>6.4999999999999997E-3</v>
      </c>
      <c r="AT106" s="1452"/>
      <c r="AU106" s="1483">
        <f t="shared" si="11"/>
        <v>0.99296999999999991</v>
      </c>
    </row>
    <row r="107" spans="1:47" ht="16.5" customHeight="1">
      <c r="A107" s="1479">
        <f t="shared" si="10"/>
        <v>19</v>
      </c>
      <c r="B107" s="1484">
        <v>350</v>
      </c>
      <c r="C107" s="1524" t="s">
        <v>860</v>
      </c>
      <c r="D107" s="1525">
        <v>1</v>
      </c>
      <c r="E107" s="1526" t="s">
        <v>607</v>
      </c>
      <c r="F107" s="1527"/>
      <c r="G107" s="1528">
        <v>1.1900000000000001E-2</v>
      </c>
      <c r="H107" s="1525">
        <v>0</v>
      </c>
      <c r="I107" s="1527"/>
      <c r="J107" s="1531"/>
      <c r="K107" s="1528">
        <v>0</v>
      </c>
      <c r="L107" s="1519"/>
      <c r="M107" s="1525">
        <v>0</v>
      </c>
      <c r="N107" s="1531"/>
      <c r="O107" s="1528">
        <v>0</v>
      </c>
      <c r="P107" s="1529">
        <f t="shared" si="7"/>
        <v>1</v>
      </c>
      <c r="Q107" s="1530">
        <f t="shared" si="9"/>
        <v>1.1900000000000001E-2</v>
      </c>
      <c r="AT107" s="1452"/>
      <c r="AU107" s="1483">
        <f t="shared" si="11"/>
        <v>1</v>
      </c>
    </row>
    <row r="108" spans="1:47" ht="16.5" customHeight="1">
      <c r="A108" s="1479">
        <f t="shared" si="10"/>
        <v>20</v>
      </c>
      <c r="B108" s="1484">
        <v>352</v>
      </c>
      <c r="C108" s="1532" t="s">
        <v>1267</v>
      </c>
      <c r="D108" s="1525">
        <v>0.53610899999999995</v>
      </c>
      <c r="E108" s="1526" t="s">
        <v>607</v>
      </c>
      <c r="F108" s="1527"/>
      <c r="G108" s="1528">
        <v>1.3599999999999999E-2</v>
      </c>
      <c r="H108" s="1525">
        <v>0.45030500000000001</v>
      </c>
      <c r="I108" s="1527"/>
      <c r="J108" s="1531" t="s">
        <v>1771</v>
      </c>
      <c r="K108" s="1528">
        <v>2.3300000000000001E-2</v>
      </c>
      <c r="L108" s="1519"/>
      <c r="M108" s="1525">
        <v>6.5560000000000002E-3</v>
      </c>
      <c r="N108" s="1531" t="s">
        <v>821</v>
      </c>
      <c r="O108" s="1528">
        <v>2.3300000000000001E-2</v>
      </c>
      <c r="P108" s="1529">
        <f t="shared" si="7"/>
        <v>0.99296999999999991</v>
      </c>
      <c r="Q108" s="1530">
        <f t="shared" si="9"/>
        <v>1.8100000000000002E-2</v>
      </c>
      <c r="AT108" s="1452"/>
      <c r="AU108" s="1483">
        <f t="shared" si="11"/>
        <v>1</v>
      </c>
    </row>
    <row r="109" spans="1:47" ht="16.5" customHeight="1">
      <c r="A109" s="1479">
        <f t="shared" si="10"/>
        <v>21</v>
      </c>
      <c r="B109" s="1484">
        <v>352</v>
      </c>
      <c r="C109" s="1524" t="s">
        <v>861</v>
      </c>
      <c r="D109" s="1525">
        <v>0.53610899999999995</v>
      </c>
      <c r="E109" s="1526" t="s">
        <v>607</v>
      </c>
      <c r="F109" s="1527"/>
      <c r="G109" s="1528">
        <v>1.3599999999999999E-2</v>
      </c>
      <c r="H109" s="1525">
        <v>0.45030500000000001</v>
      </c>
      <c r="I109" s="1527"/>
      <c r="J109" s="1531" t="s">
        <v>1771</v>
      </c>
      <c r="K109" s="1528">
        <v>2.3300000000000001E-2</v>
      </c>
      <c r="L109" s="1519"/>
      <c r="M109" s="1525">
        <v>6.5560000000000002E-3</v>
      </c>
      <c r="N109" s="1531" t="s">
        <v>821</v>
      </c>
      <c r="O109" s="1528">
        <v>2.3300000000000001E-2</v>
      </c>
      <c r="P109" s="1529">
        <f t="shared" si="7"/>
        <v>0.99296999999999991</v>
      </c>
      <c r="Q109" s="1530">
        <f t="shared" si="9"/>
        <v>1.8100000000000002E-2</v>
      </c>
      <c r="AT109" s="1452"/>
      <c r="AU109" s="1483">
        <f t="shared" si="11"/>
        <v>0.99296999999999991</v>
      </c>
    </row>
    <row r="110" spans="1:47" ht="16.5" customHeight="1">
      <c r="A110" s="1479">
        <f t="shared" si="10"/>
        <v>22</v>
      </c>
      <c r="B110" s="1484">
        <v>352</v>
      </c>
      <c r="C110" s="1524" t="s">
        <v>608</v>
      </c>
      <c r="D110" s="1525">
        <v>1</v>
      </c>
      <c r="E110" s="1526" t="s">
        <v>607</v>
      </c>
      <c r="F110" s="1527"/>
      <c r="G110" s="1528">
        <v>1.3599999999999999E-2</v>
      </c>
      <c r="H110" s="1525">
        <v>0</v>
      </c>
      <c r="I110" s="1527"/>
      <c r="J110" s="1531"/>
      <c r="K110" s="1528">
        <v>0</v>
      </c>
      <c r="L110" s="1519"/>
      <c r="M110" s="1525">
        <v>0</v>
      </c>
      <c r="N110" s="1531"/>
      <c r="O110" s="1528">
        <v>0</v>
      </c>
      <c r="P110" s="1529">
        <f t="shared" si="7"/>
        <v>1</v>
      </c>
      <c r="Q110" s="1530">
        <f t="shared" si="9"/>
        <v>1.3599999999999999E-2</v>
      </c>
      <c r="AT110" s="1452"/>
      <c r="AU110" s="1483">
        <f t="shared" si="11"/>
        <v>1</v>
      </c>
    </row>
    <row r="111" spans="1:47" ht="16.5" customHeight="1">
      <c r="A111" s="1479">
        <f t="shared" si="10"/>
        <v>23</v>
      </c>
      <c r="B111" s="1484">
        <v>353</v>
      </c>
      <c r="C111" s="1532" t="s">
        <v>1268</v>
      </c>
      <c r="D111" s="1525">
        <v>0.53610899999999995</v>
      </c>
      <c r="E111" s="1526" t="s">
        <v>607</v>
      </c>
      <c r="F111" s="1527"/>
      <c r="G111" s="1528">
        <v>2.24E-2</v>
      </c>
      <c r="H111" s="1525">
        <v>0.45030500000000001</v>
      </c>
      <c r="I111" s="1527"/>
      <c r="J111" s="1531" t="s">
        <v>1771</v>
      </c>
      <c r="K111" s="1528">
        <v>3.2399999999999998E-2</v>
      </c>
      <c r="L111" s="1519"/>
      <c r="M111" s="1525">
        <v>6.5560000000000002E-3</v>
      </c>
      <c r="N111" s="1531" t="s">
        <v>821</v>
      </c>
      <c r="O111" s="1528">
        <v>3.2399999999999998E-2</v>
      </c>
      <c r="P111" s="1529">
        <f t="shared" si="7"/>
        <v>0.99296999999999991</v>
      </c>
      <c r="Q111" s="1530">
        <f t="shared" si="9"/>
        <v>2.7E-2</v>
      </c>
      <c r="AT111" s="1452"/>
      <c r="AU111" s="1483">
        <f t="shared" si="11"/>
        <v>0.99296999999999991</v>
      </c>
    </row>
    <row r="112" spans="1:47" ht="16.5" customHeight="1">
      <c r="A112" s="1479">
        <f t="shared" si="10"/>
        <v>24</v>
      </c>
      <c r="B112" s="1484">
        <v>353</v>
      </c>
      <c r="C112" s="1524" t="s">
        <v>876</v>
      </c>
      <c r="D112" s="1525">
        <v>0.53610899999999995</v>
      </c>
      <c r="E112" s="1526" t="s">
        <v>607</v>
      </c>
      <c r="F112" s="1527"/>
      <c r="G112" s="1528">
        <v>2.24E-2</v>
      </c>
      <c r="H112" s="1525">
        <v>0.45030500000000001</v>
      </c>
      <c r="I112" s="1527"/>
      <c r="J112" s="1531" t="s">
        <v>1771</v>
      </c>
      <c r="K112" s="1528">
        <v>3.2399999999999998E-2</v>
      </c>
      <c r="L112" s="1519"/>
      <c r="M112" s="1525">
        <v>6.5560000000000002E-3</v>
      </c>
      <c r="N112" s="1531" t="s">
        <v>821</v>
      </c>
      <c r="O112" s="1528">
        <v>3.2399999999999998E-2</v>
      </c>
      <c r="P112" s="1529">
        <f t="shared" si="7"/>
        <v>0.99296999999999991</v>
      </c>
      <c r="Q112" s="1530">
        <f t="shared" si="9"/>
        <v>2.7E-2</v>
      </c>
      <c r="AT112" s="1452"/>
      <c r="AU112" s="1483">
        <f t="shared" si="11"/>
        <v>0.99296999999999991</v>
      </c>
    </row>
    <row r="113" spans="1:47" ht="16.5" customHeight="1">
      <c r="A113" s="1479">
        <f t="shared" si="10"/>
        <v>25</v>
      </c>
      <c r="B113" s="1484">
        <v>353</v>
      </c>
      <c r="C113" s="1524" t="s">
        <v>877</v>
      </c>
      <c r="D113" s="1525">
        <v>1</v>
      </c>
      <c r="E113" s="1526" t="s">
        <v>607</v>
      </c>
      <c r="F113" s="1527"/>
      <c r="G113" s="1528">
        <v>2.24E-2</v>
      </c>
      <c r="H113" s="1525">
        <v>0</v>
      </c>
      <c r="I113" s="1527"/>
      <c r="J113" s="1531"/>
      <c r="K113" s="1528">
        <v>0</v>
      </c>
      <c r="L113" s="1519"/>
      <c r="M113" s="1525">
        <v>0</v>
      </c>
      <c r="N113" s="1531"/>
      <c r="O113" s="1528">
        <v>0</v>
      </c>
      <c r="P113" s="1529">
        <f t="shared" si="7"/>
        <v>1</v>
      </c>
      <c r="Q113" s="1530">
        <f t="shared" si="9"/>
        <v>2.24E-2</v>
      </c>
      <c r="AT113" s="1452"/>
      <c r="AU113" s="1483">
        <f t="shared" si="11"/>
        <v>1</v>
      </c>
    </row>
    <row r="114" spans="1:47" ht="16.5" customHeight="1">
      <c r="A114" s="1479">
        <f t="shared" si="10"/>
        <v>26</v>
      </c>
      <c r="B114" s="1484">
        <v>353</v>
      </c>
      <c r="C114" s="1532" t="s">
        <v>146</v>
      </c>
      <c r="D114" s="1525">
        <v>0.53610899999999995</v>
      </c>
      <c r="E114" s="1526" t="s">
        <v>607</v>
      </c>
      <c r="F114" s="1527"/>
      <c r="G114" s="1528">
        <f>G139</f>
        <v>2.5000000000000001E-2</v>
      </c>
      <c r="H114" s="1525">
        <v>0.45030500000000001</v>
      </c>
      <c r="I114" s="1527"/>
      <c r="J114" s="1531" t="s">
        <v>1771</v>
      </c>
      <c r="K114" s="1528">
        <f>K140</f>
        <v>3.6499999999999998E-2</v>
      </c>
      <c r="L114" s="1519"/>
      <c r="M114" s="1525">
        <v>6.5560000000000002E-3</v>
      </c>
      <c r="N114" s="1531" t="s">
        <v>821</v>
      </c>
      <c r="O114" s="1528">
        <f>O140</f>
        <v>3.6499999999999998E-2</v>
      </c>
      <c r="P114" s="1529">
        <f t="shared" si="7"/>
        <v>0.99296999999999991</v>
      </c>
      <c r="Q114" s="1530">
        <f t="shared" si="9"/>
        <v>3.0300000000000001E-2</v>
      </c>
      <c r="AT114" s="1452"/>
      <c r="AU114" s="1483">
        <f t="shared" si="11"/>
        <v>0.99296999999999991</v>
      </c>
    </row>
    <row r="115" spans="1:47" ht="16.5" customHeight="1">
      <c r="A115" s="1479">
        <f t="shared" si="10"/>
        <v>27</v>
      </c>
      <c r="B115" s="1484">
        <v>354</v>
      </c>
      <c r="C115" s="1532" t="s">
        <v>1269</v>
      </c>
      <c r="D115" s="1525">
        <v>0.53610899999999995</v>
      </c>
      <c r="E115" s="1526" t="s">
        <v>607</v>
      </c>
      <c r="F115" s="1527"/>
      <c r="G115" s="1528">
        <v>0.02</v>
      </c>
      <c r="H115" s="1525">
        <v>0.45030500000000001</v>
      </c>
      <c r="I115" s="1527"/>
      <c r="J115" s="1531" t="s">
        <v>1771</v>
      </c>
      <c r="K115" s="1528">
        <v>2.75E-2</v>
      </c>
      <c r="L115" s="1519"/>
      <c r="M115" s="1525">
        <v>6.5560000000000002E-3</v>
      </c>
      <c r="N115" s="1531" t="s">
        <v>821</v>
      </c>
      <c r="O115" s="1528">
        <v>2.75E-2</v>
      </c>
      <c r="P115" s="1529">
        <f t="shared" si="7"/>
        <v>0.99296999999999991</v>
      </c>
      <c r="Q115" s="1530">
        <f t="shared" si="9"/>
        <v>2.35E-2</v>
      </c>
      <c r="AT115" s="1452"/>
      <c r="AU115" s="1483">
        <f t="shared" si="11"/>
        <v>0.99296999999999991</v>
      </c>
    </row>
    <row r="116" spans="1:47" ht="16.5" customHeight="1">
      <c r="A116" s="1479">
        <f t="shared" si="10"/>
        <v>28</v>
      </c>
      <c r="B116" s="1484">
        <v>355</v>
      </c>
      <c r="C116" s="1534" t="s">
        <v>1270</v>
      </c>
      <c r="D116" s="1525">
        <v>0.53610899999999995</v>
      </c>
      <c r="E116" s="1526" t="s">
        <v>607</v>
      </c>
      <c r="F116" s="1527"/>
      <c r="G116" s="1528">
        <v>3.5900000000000001E-2</v>
      </c>
      <c r="H116" s="1525">
        <v>0.45030500000000001</v>
      </c>
      <c r="I116" s="1527"/>
      <c r="J116" s="1531" t="s">
        <v>1771</v>
      </c>
      <c r="K116" s="1528">
        <v>3.8899999999999997E-2</v>
      </c>
      <c r="L116" s="1519"/>
      <c r="M116" s="1525">
        <v>6.5560000000000002E-3</v>
      </c>
      <c r="N116" s="1531" t="s">
        <v>821</v>
      </c>
      <c r="O116" s="1528">
        <v>3.8899999999999997E-2</v>
      </c>
      <c r="P116" s="1529">
        <f t="shared" si="7"/>
        <v>0.99296999999999991</v>
      </c>
      <c r="Q116" s="1530">
        <f t="shared" si="9"/>
        <v>3.73E-2</v>
      </c>
      <c r="AT116" s="1452"/>
      <c r="AU116" s="1483">
        <f t="shared" si="11"/>
        <v>1</v>
      </c>
    </row>
    <row r="117" spans="1:47" ht="16.5" customHeight="1">
      <c r="A117" s="1479">
        <f t="shared" si="10"/>
        <v>29</v>
      </c>
      <c r="B117" s="1484">
        <v>355</v>
      </c>
      <c r="C117" s="1534" t="s">
        <v>147</v>
      </c>
      <c r="D117" s="1525">
        <v>1</v>
      </c>
      <c r="E117" s="1526" t="s">
        <v>607</v>
      </c>
      <c r="F117" s="1527"/>
      <c r="G117" s="1528">
        <v>3.5900000000000001E-2</v>
      </c>
      <c r="H117" s="1525">
        <v>0</v>
      </c>
      <c r="I117" s="1527"/>
      <c r="J117" s="1531"/>
      <c r="K117" s="1528">
        <v>3.8899999999999997E-2</v>
      </c>
      <c r="L117" s="1519"/>
      <c r="M117" s="1525">
        <v>0</v>
      </c>
      <c r="N117" s="1531"/>
      <c r="O117" s="1528">
        <v>3.8899999999999997E-2</v>
      </c>
      <c r="P117" s="1529">
        <f t="shared" si="7"/>
        <v>1</v>
      </c>
      <c r="Q117" s="1530">
        <f t="shared" si="9"/>
        <v>3.5900000000000001E-2</v>
      </c>
      <c r="AT117" s="1452"/>
      <c r="AU117" s="1483">
        <f t="shared" si="11"/>
        <v>0.99296999999999991</v>
      </c>
    </row>
    <row r="118" spans="1:47" ht="16.5" customHeight="1">
      <c r="A118" s="1479">
        <f t="shared" si="10"/>
        <v>30</v>
      </c>
      <c r="B118" s="1484">
        <v>355</v>
      </c>
      <c r="C118" s="1534" t="s">
        <v>878</v>
      </c>
      <c r="D118" s="1525">
        <v>0</v>
      </c>
      <c r="E118" s="1526" t="s">
        <v>607</v>
      </c>
      <c r="F118" s="1527"/>
      <c r="G118" s="1528">
        <v>3.5900000000000001E-2</v>
      </c>
      <c r="H118" s="1525">
        <v>1</v>
      </c>
      <c r="I118" s="1527"/>
      <c r="J118" s="1533" t="s">
        <v>858</v>
      </c>
      <c r="K118" s="1528">
        <v>3.8899999999999997E-2</v>
      </c>
      <c r="L118" s="1519"/>
      <c r="M118" s="1525">
        <v>0</v>
      </c>
      <c r="N118" s="1531"/>
      <c r="O118" s="1528">
        <v>3.8899999999999997E-2</v>
      </c>
      <c r="P118" s="1529">
        <f t="shared" si="7"/>
        <v>1</v>
      </c>
      <c r="Q118" s="1530">
        <f t="shared" si="9"/>
        <v>3.8899999999999997E-2</v>
      </c>
      <c r="AT118" s="1452"/>
      <c r="AU118" s="1483">
        <f t="shared" si="11"/>
        <v>0.99296999999999991</v>
      </c>
    </row>
    <row r="119" spans="1:47" ht="16.5" customHeight="1">
      <c r="A119" s="1479">
        <f t="shared" si="10"/>
        <v>31</v>
      </c>
      <c r="B119" s="1484">
        <v>355</v>
      </c>
      <c r="C119" s="1524" t="s">
        <v>879</v>
      </c>
      <c r="D119" s="1525">
        <v>0.53610899999999995</v>
      </c>
      <c r="E119" s="1526" t="s">
        <v>607</v>
      </c>
      <c r="F119" s="1527"/>
      <c r="G119" s="1528">
        <v>3.5900000000000001E-2</v>
      </c>
      <c r="H119" s="1525">
        <v>0.45030500000000001</v>
      </c>
      <c r="I119" s="1527"/>
      <c r="J119" s="1531" t="s">
        <v>1771</v>
      </c>
      <c r="K119" s="1528">
        <v>3.8899999999999997E-2</v>
      </c>
      <c r="L119" s="1519"/>
      <c r="M119" s="1525">
        <v>6.5560000000000002E-3</v>
      </c>
      <c r="N119" s="1531" t="s">
        <v>821</v>
      </c>
      <c r="O119" s="1528">
        <v>3.8899999999999997E-2</v>
      </c>
      <c r="P119" s="1529">
        <f t="shared" si="7"/>
        <v>0.99296999999999991</v>
      </c>
      <c r="Q119" s="1530">
        <f t="shared" si="9"/>
        <v>3.73E-2</v>
      </c>
      <c r="AT119" s="1452"/>
      <c r="AU119" s="1483">
        <f t="shared" si="11"/>
        <v>0.99296999999999991</v>
      </c>
    </row>
    <row r="120" spans="1:47" ht="16.5" customHeight="1">
      <c r="A120" s="1479">
        <f t="shared" si="10"/>
        <v>32</v>
      </c>
      <c r="B120" s="1484">
        <v>355</v>
      </c>
      <c r="C120" s="1524" t="s">
        <v>880</v>
      </c>
      <c r="D120" s="1525">
        <v>1</v>
      </c>
      <c r="E120" s="1526" t="s">
        <v>607</v>
      </c>
      <c r="F120" s="1527"/>
      <c r="G120" s="1528">
        <v>3.5900000000000001E-2</v>
      </c>
      <c r="H120" s="1525">
        <v>0</v>
      </c>
      <c r="I120" s="1527"/>
      <c r="J120" s="1531"/>
      <c r="K120" s="1528">
        <v>0</v>
      </c>
      <c r="L120" s="1519"/>
      <c r="M120" s="1525">
        <v>0</v>
      </c>
      <c r="N120" s="1531"/>
      <c r="O120" s="1528">
        <v>0</v>
      </c>
      <c r="P120" s="1529">
        <f t="shared" si="7"/>
        <v>1</v>
      </c>
      <c r="Q120" s="1530">
        <f t="shared" si="9"/>
        <v>3.5900000000000001E-2</v>
      </c>
      <c r="AT120" s="1452"/>
      <c r="AU120" s="1483">
        <f t="shared" si="11"/>
        <v>1</v>
      </c>
    </row>
    <row r="121" spans="1:47" ht="16.5" customHeight="1">
      <c r="A121" s="1479">
        <f t="shared" si="10"/>
        <v>33</v>
      </c>
      <c r="B121" s="1484">
        <v>356</v>
      </c>
      <c r="C121" s="1534" t="s">
        <v>1271</v>
      </c>
      <c r="D121" s="1525">
        <v>0.53610899999999995</v>
      </c>
      <c r="E121" s="1526" t="s">
        <v>607</v>
      </c>
      <c r="F121" s="1527"/>
      <c r="G121" s="1528">
        <v>3.1E-2</v>
      </c>
      <c r="H121" s="1525">
        <v>0.45030500000000001</v>
      </c>
      <c r="I121" s="1527"/>
      <c r="J121" s="1531" t="s">
        <v>1771</v>
      </c>
      <c r="K121" s="1528">
        <v>3.15E-2</v>
      </c>
      <c r="L121" s="1519"/>
      <c r="M121" s="1525">
        <v>6.5560000000000002E-3</v>
      </c>
      <c r="N121" s="1531" t="s">
        <v>821</v>
      </c>
      <c r="O121" s="1528">
        <v>3.15E-2</v>
      </c>
      <c r="P121" s="1529">
        <f t="shared" si="7"/>
        <v>0.99296999999999991</v>
      </c>
      <c r="Q121" s="1530">
        <f t="shared" si="9"/>
        <v>3.1199999999999999E-2</v>
      </c>
      <c r="AT121" s="1452"/>
      <c r="AU121" s="1483">
        <f t="shared" si="11"/>
        <v>1</v>
      </c>
    </row>
    <row r="122" spans="1:47" ht="16.5" customHeight="1">
      <c r="A122" s="1479">
        <f t="shared" si="10"/>
        <v>34</v>
      </c>
      <c r="B122" s="1484">
        <v>356</v>
      </c>
      <c r="C122" s="1534" t="s">
        <v>881</v>
      </c>
      <c r="D122" s="1525">
        <v>1</v>
      </c>
      <c r="E122" s="1526" t="s">
        <v>607</v>
      </c>
      <c r="F122" s="1527"/>
      <c r="G122" s="1528">
        <v>3.1E-2</v>
      </c>
      <c r="H122" s="1525">
        <v>0</v>
      </c>
      <c r="I122" s="1527"/>
      <c r="J122" s="1531"/>
      <c r="K122" s="1528">
        <v>3.15E-2</v>
      </c>
      <c r="L122" s="1519"/>
      <c r="M122" s="1525">
        <v>0</v>
      </c>
      <c r="N122" s="1531"/>
      <c r="O122" s="1528">
        <v>3.15E-2</v>
      </c>
      <c r="P122" s="1529">
        <f t="shared" si="7"/>
        <v>1</v>
      </c>
      <c r="Q122" s="1530">
        <f t="shared" si="9"/>
        <v>3.1E-2</v>
      </c>
      <c r="AT122" s="1452"/>
      <c r="AU122" s="1483">
        <f t="shared" si="11"/>
        <v>0.99296999999999991</v>
      </c>
    </row>
    <row r="123" spans="1:47" ht="16.5" customHeight="1">
      <c r="A123" s="1479">
        <f t="shared" si="10"/>
        <v>35</v>
      </c>
      <c r="B123" s="1484">
        <v>356</v>
      </c>
      <c r="C123" s="1534" t="s">
        <v>882</v>
      </c>
      <c r="D123" s="1525">
        <v>0</v>
      </c>
      <c r="E123" s="1526" t="s">
        <v>607</v>
      </c>
      <c r="F123" s="1527"/>
      <c r="G123" s="1528">
        <v>3.1E-2</v>
      </c>
      <c r="H123" s="1525">
        <v>1</v>
      </c>
      <c r="I123" s="1527"/>
      <c r="J123" s="1533" t="s">
        <v>858</v>
      </c>
      <c r="K123" s="1528">
        <v>3.15E-2</v>
      </c>
      <c r="L123" s="1519"/>
      <c r="M123" s="1525">
        <v>0</v>
      </c>
      <c r="N123" s="1531"/>
      <c r="O123" s="1528">
        <v>3.15E-2</v>
      </c>
      <c r="P123" s="1529">
        <f t="shared" si="7"/>
        <v>1</v>
      </c>
      <c r="Q123" s="1530">
        <f t="shared" si="9"/>
        <v>3.15E-2</v>
      </c>
      <c r="AT123" s="1452"/>
      <c r="AU123" s="1483">
        <f t="shared" si="11"/>
        <v>1</v>
      </c>
    </row>
    <row r="124" spans="1:47" ht="16.5" customHeight="1">
      <c r="A124" s="1479">
        <f t="shared" si="10"/>
        <v>36</v>
      </c>
      <c r="B124" s="1484">
        <v>356</v>
      </c>
      <c r="C124" s="1524" t="s">
        <v>883</v>
      </c>
      <c r="D124" s="1525">
        <v>0.53610899999999995</v>
      </c>
      <c r="E124" s="1526" t="s">
        <v>607</v>
      </c>
      <c r="F124" s="1527"/>
      <c r="G124" s="1528">
        <v>3.1E-2</v>
      </c>
      <c r="H124" s="1525">
        <v>0.45030500000000001</v>
      </c>
      <c r="I124" s="1527"/>
      <c r="J124" s="1531" t="s">
        <v>1771</v>
      </c>
      <c r="K124" s="1528">
        <v>3.15E-2</v>
      </c>
      <c r="L124" s="1519"/>
      <c r="M124" s="1525">
        <v>6.5560000000000002E-3</v>
      </c>
      <c r="N124" s="1531" t="s">
        <v>821</v>
      </c>
      <c r="O124" s="1528">
        <v>3.15E-2</v>
      </c>
      <c r="P124" s="1529">
        <f t="shared" si="7"/>
        <v>0.99296999999999991</v>
      </c>
      <c r="Q124" s="1530">
        <f t="shared" si="9"/>
        <v>3.1199999999999999E-2</v>
      </c>
      <c r="AT124" s="1452"/>
      <c r="AU124" s="1483">
        <f t="shared" si="11"/>
        <v>0.99296999999999991</v>
      </c>
    </row>
    <row r="125" spans="1:47" ht="16.5" customHeight="1">
      <c r="A125" s="1479">
        <f t="shared" si="10"/>
        <v>37</v>
      </c>
      <c r="B125" s="1484">
        <v>356</v>
      </c>
      <c r="C125" s="1524" t="s">
        <v>884</v>
      </c>
      <c r="D125" s="1525">
        <v>1</v>
      </c>
      <c r="E125" s="1526" t="s">
        <v>607</v>
      </c>
      <c r="F125" s="1527"/>
      <c r="G125" s="1528">
        <v>3.1E-2</v>
      </c>
      <c r="H125" s="1525">
        <v>0</v>
      </c>
      <c r="I125" s="1527"/>
      <c r="J125" s="1531"/>
      <c r="K125" s="1528">
        <v>0</v>
      </c>
      <c r="L125" s="1519"/>
      <c r="M125" s="1525">
        <v>0</v>
      </c>
      <c r="N125" s="1531"/>
      <c r="O125" s="1528">
        <v>0</v>
      </c>
      <c r="P125" s="1529">
        <f t="shared" si="7"/>
        <v>1</v>
      </c>
      <c r="Q125" s="1530">
        <f t="shared" si="9"/>
        <v>3.1E-2</v>
      </c>
      <c r="AT125" s="1452"/>
      <c r="AU125" s="1483">
        <f t="shared" si="11"/>
        <v>1</v>
      </c>
    </row>
    <row r="126" spans="1:47" ht="16.5" customHeight="1">
      <c r="A126" s="1479">
        <f t="shared" si="10"/>
        <v>38</v>
      </c>
      <c r="B126" s="1484">
        <v>357</v>
      </c>
      <c r="C126" s="1534" t="s">
        <v>1272</v>
      </c>
      <c r="D126" s="1525">
        <v>0.53610899999999995</v>
      </c>
      <c r="E126" s="1526" t="s">
        <v>607</v>
      </c>
      <c r="F126" s="1527"/>
      <c r="G126" s="1528">
        <v>1.32E-2</v>
      </c>
      <c r="H126" s="1525">
        <v>0.45030500000000001</v>
      </c>
      <c r="I126" s="1527"/>
      <c r="J126" s="1531" t="s">
        <v>1771</v>
      </c>
      <c r="K126" s="1528">
        <v>2.1000000000000001E-2</v>
      </c>
      <c r="L126" s="1519"/>
      <c r="M126" s="1525">
        <v>6.5560000000000002E-3</v>
      </c>
      <c r="N126" s="1531" t="s">
        <v>821</v>
      </c>
      <c r="O126" s="1528">
        <v>2.1000000000000001E-2</v>
      </c>
      <c r="P126" s="1529">
        <f t="shared" si="7"/>
        <v>0.99296999999999991</v>
      </c>
      <c r="Q126" s="1530">
        <f t="shared" si="9"/>
        <v>1.6799999999999999E-2</v>
      </c>
      <c r="AT126" s="1452"/>
      <c r="AU126" s="1483">
        <f t="shared" si="11"/>
        <v>1</v>
      </c>
    </row>
    <row r="127" spans="1:47" ht="16.5" customHeight="1">
      <c r="A127" s="1479">
        <f t="shared" si="10"/>
        <v>39</v>
      </c>
      <c r="B127" s="1484">
        <v>358</v>
      </c>
      <c r="C127" s="1534" t="s">
        <v>1273</v>
      </c>
      <c r="D127" s="1525">
        <v>0.53610899999999995</v>
      </c>
      <c r="E127" s="1526" t="s">
        <v>607</v>
      </c>
      <c r="F127" s="1527"/>
      <c r="G127" s="1528">
        <v>2.5499999999999998E-2</v>
      </c>
      <c r="H127" s="1525">
        <v>0.45030500000000001</v>
      </c>
      <c r="I127" s="1527"/>
      <c r="J127" s="1531" t="s">
        <v>1771</v>
      </c>
      <c r="K127" s="1528">
        <v>1.7999999999999999E-2</v>
      </c>
      <c r="L127" s="1519"/>
      <c r="M127" s="1525">
        <v>6.5560000000000002E-3</v>
      </c>
      <c r="N127" s="1531" t="s">
        <v>821</v>
      </c>
      <c r="O127" s="1528">
        <v>1.7999999999999999E-2</v>
      </c>
      <c r="P127" s="1529">
        <f t="shared" si="7"/>
        <v>0.99296999999999991</v>
      </c>
      <c r="Q127" s="1530">
        <f t="shared" si="9"/>
        <v>2.1999999999999999E-2</v>
      </c>
      <c r="AT127" s="1452"/>
      <c r="AU127" s="1483">
        <f t="shared" si="11"/>
        <v>0.99296999999999991</v>
      </c>
    </row>
    <row r="128" spans="1:47" ht="16.5" customHeight="1">
      <c r="A128" s="1479">
        <f>A127+1</f>
        <v>40</v>
      </c>
      <c r="B128" s="1484">
        <v>389</v>
      </c>
      <c r="C128" s="1532" t="s">
        <v>1274</v>
      </c>
      <c r="D128" s="1525">
        <v>0.54269299999999998</v>
      </c>
      <c r="E128" s="1526" t="s">
        <v>607</v>
      </c>
      <c r="F128" s="1527"/>
      <c r="G128" s="1528">
        <v>0</v>
      </c>
      <c r="H128" s="1525">
        <v>0.448604</v>
      </c>
      <c r="I128" s="1527"/>
      <c r="J128" s="1531" t="s">
        <v>800</v>
      </c>
      <c r="K128" s="1528">
        <v>0</v>
      </c>
      <c r="L128" s="1519"/>
      <c r="M128" s="1525">
        <v>4.4819999999999999E-3</v>
      </c>
      <c r="N128" s="1531" t="s">
        <v>800</v>
      </c>
      <c r="O128" s="1528">
        <v>0</v>
      </c>
      <c r="P128" s="1529">
        <f t="shared" si="7"/>
        <v>0.99577899999999997</v>
      </c>
      <c r="Q128" s="1530">
        <f t="shared" si="9"/>
        <v>0</v>
      </c>
      <c r="AT128" s="1452"/>
      <c r="AU128" s="1483">
        <f t="shared" si="11"/>
        <v>1</v>
      </c>
    </row>
    <row r="129" spans="1:47" ht="16.5" customHeight="1">
      <c r="A129" s="1479">
        <f t="shared" ref="A129:A144" si="12">+A128+1</f>
        <v>41</v>
      </c>
      <c r="B129" s="1484">
        <v>390</v>
      </c>
      <c r="C129" s="1532" t="s">
        <v>1267</v>
      </c>
      <c r="D129" s="1525">
        <v>0.54269299999999998</v>
      </c>
      <c r="E129" s="1526" t="s">
        <v>607</v>
      </c>
      <c r="F129" s="1527"/>
      <c r="G129" s="1528">
        <v>2.5399999999999999E-2</v>
      </c>
      <c r="H129" s="1525">
        <v>0.448604</v>
      </c>
      <c r="I129" s="1527"/>
      <c r="J129" s="1531" t="s">
        <v>800</v>
      </c>
      <c r="K129" s="1528">
        <v>1.9E-2</v>
      </c>
      <c r="L129" s="1519"/>
      <c r="M129" s="1525">
        <v>4.4819999999999999E-3</v>
      </c>
      <c r="N129" s="1531" t="s">
        <v>800</v>
      </c>
      <c r="O129" s="1528">
        <v>1.9E-2</v>
      </c>
      <c r="P129" s="1529">
        <f t="shared" si="7"/>
        <v>0.99577899999999997</v>
      </c>
      <c r="Q129" s="1530">
        <f t="shared" si="9"/>
        <v>2.2499999999999999E-2</v>
      </c>
      <c r="AT129" s="1452"/>
      <c r="AU129" s="1483">
        <f t="shared" si="11"/>
        <v>0.99296999999999991</v>
      </c>
    </row>
    <row r="130" spans="1:47" ht="16.5" customHeight="1">
      <c r="A130" s="1479">
        <f t="shared" si="12"/>
        <v>42</v>
      </c>
      <c r="B130" s="1484">
        <v>390</v>
      </c>
      <c r="C130" s="1532" t="s">
        <v>885</v>
      </c>
      <c r="D130" s="1525">
        <v>0.54269299999999998</v>
      </c>
      <c r="E130" s="1526" t="s">
        <v>607</v>
      </c>
      <c r="F130" s="1527"/>
      <c r="G130" s="1528">
        <v>0</v>
      </c>
      <c r="H130" s="1525">
        <v>0.448604</v>
      </c>
      <c r="I130" s="1527"/>
      <c r="J130" s="1531" t="s">
        <v>800</v>
      </c>
      <c r="K130" s="1528">
        <v>0</v>
      </c>
      <c r="L130" s="1519"/>
      <c r="M130" s="1525">
        <v>4.4819999999999999E-3</v>
      </c>
      <c r="N130" s="1531" t="s">
        <v>800</v>
      </c>
      <c r="O130" s="1528">
        <v>0</v>
      </c>
      <c r="P130" s="1529">
        <f t="shared" si="7"/>
        <v>0.99577899999999997</v>
      </c>
      <c r="Q130" s="1530">
        <f t="shared" si="9"/>
        <v>0</v>
      </c>
      <c r="AT130" s="1452"/>
      <c r="AU130" s="1483">
        <f t="shared" si="11"/>
        <v>0.99296999999999991</v>
      </c>
    </row>
    <row r="131" spans="1:47" ht="16.5" customHeight="1">
      <c r="A131" s="1479">
        <f t="shared" si="12"/>
        <v>43</v>
      </c>
      <c r="B131" s="1484">
        <v>391</v>
      </c>
      <c r="C131" s="1532" t="s">
        <v>1275</v>
      </c>
      <c r="D131" s="1525">
        <v>0.54269299999999998</v>
      </c>
      <c r="E131" s="1526" t="s">
        <v>607</v>
      </c>
      <c r="F131" s="1527"/>
      <c r="G131" s="1528">
        <v>5.3999999999999999E-2</v>
      </c>
      <c r="H131" s="1525">
        <v>0.448604</v>
      </c>
      <c r="I131" s="1527"/>
      <c r="J131" s="1531" t="s">
        <v>800</v>
      </c>
      <c r="K131" s="1528">
        <v>3.0700000000000002E-2</v>
      </c>
      <c r="L131" s="1519"/>
      <c r="M131" s="1525">
        <v>4.4819999999999999E-3</v>
      </c>
      <c r="N131" s="1531" t="s">
        <v>800</v>
      </c>
      <c r="O131" s="1528">
        <v>3.0700000000000002E-2</v>
      </c>
      <c r="P131" s="1529">
        <f t="shared" si="7"/>
        <v>0.99577899999999997</v>
      </c>
      <c r="Q131" s="1530">
        <f t="shared" si="9"/>
        <v>4.3400000000000001E-2</v>
      </c>
      <c r="AT131" s="1452"/>
      <c r="AU131" s="1483">
        <f t="shared" si="11"/>
        <v>0.99577899999999997</v>
      </c>
    </row>
    <row r="132" spans="1:47" ht="16.5" customHeight="1">
      <c r="A132" s="1479">
        <f t="shared" si="12"/>
        <v>44</v>
      </c>
      <c r="B132" s="1484">
        <v>391</v>
      </c>
      <c r="C132" s="1532" t="s">
        <v>886</v>
      </c>
      <c r="D132" s="1525">
        <v>0.54269299999999998</v>
      </c>
      <c r="E132" s="1526" t="s">
        <v>607</v>
      </c>
      <c r="F132" s="1527"/>
      <c r="G132" s="1528">
        <v>5.3999999999999999E-2</v>
      </c>
      <c r="H132" s="1525">
        <v>0.448604</v>
      </c>
      <c r="I132" s="1527"/>
      <c r="J132" s="1531" t="s">
        <v>800</v>
      </c>
      <c r="K132" s="1528">
        <v>3.0700000000000002E-2</v>
      </c>
      <c r="L132" s="1519"/>
      <c r="M132" s="1525">
        <v>4.4819999999999999E-3</v>
      </c>
      <c r="N132" s="1531" t="s">
        <v>800</v>
      </c>
      <c r="O132" s="1528">
        <v>3.0700000000000002E-2</v>
      </c>
      <c r="P132" s="1529">
        <f t="shared" si="7"/>
        <v>0.99577899999999997</v>
      </c>
      <c r="Q132" s="1530">
        <f t="shared" si="9"/>
        <v>4.3400000000000001E-2</v>
      </c>
      <c r="AT132" s="1452"/>
      <c r="AU132" s="1483">
        <f t="shared" si="11"/>
        <v>0.99577899999999997</v>
      </c>
    </row>
    <row r="133" spans="1:47" ht="16.5" customHeight="1">
      <c r="A133" s="1479">
        <f t="shared" si="12"/>
        <v>45</v>
      </c>
      <c r="B133" s="1484">
        <v>391</v>
      </c>
      <c r="C133" s="1532" t="s">
        <v>887</v>
      </c>
      <c r="D133" s="1525">
        <v>0.54269299999999998</v>
      </c>
      <c r="E133" s="1526" t="s">
        <v>607</v>
      </c>
      <c r="F133" s="1527"/>
      <c r="G133" s="1528">
        <v>5.3999999999999999E-2</v>
      </c>
      <c r="H133" s="1525">
        <v>0.448604</v>
      </c>
      <c r="I133" s="1527"/>
      <c r="J133" s="1531" t="s">
        <v>800</v>
      </c>
      <c r="K133" s="1528">
        <v>3.0700000000000002E-2</v>
      </c>
      <c r="L133" s="1519"/>
      <c r="M133" s="1525">
        <v>4.4819999999999999E-3</v>
      </c>
      <c r="N133" s="1531" t="s">
        <v>800</v>
      </c>
      <c r="O133" s="1528">
        <v>3.0700000000000002E-2</v>
      </c>
      <c r="P133" s="1529">
        <f t="shared" si="7"/>
        <v>0.99577899999999997</v>
      </c>
      <c r="Q133" s="1530">
        <f t="shared" si="9"/>
        <v>4.3400000000000001E-2</v>
      </c>
      <c r="AT133" s="1452"/>
      <c r="AU133" s="1483">
        <f t="shared" si="11"/>
        <v>0.99577899999999997</v>
      </c>
    </row>
    <row r="134" spans="1:47" ht="16.5" customHeight="1">
      <c r="A134" s="1479">
        <f t="shared" si="12"/>
        <v>46</v>
      </c>
      <c r="B134" s="1484">
        <v>392</v>
      </c>
      <c r="C134" s="1532" t="s">
        <v>1276</v>
      </c>
      <c r="D134" s="1525">
        <v>0.54269299999999998</v>
      </c>
      <c r="E134" s="1526" t="s">
        <v>607</v>
      </c>
      <c r="F134" s="1527"/>
      <c r="G134" s="1528">
        <v>5.4300000000000001E-2</v>
      </c>
      <c r="H134" s="1525">
        <v>0.465061</v>
      </c>
      <c r="I134" s="1527"/>
      <c r="J134" s="1531" t="s">
        <v>282</v>
      </c>
      <c r="K134" s="1528">
        <v>7.7299999999999994E-2</v>
      </c>
      <c r="L134" s="1519"/>
      <c r="M134" s="1525">
        <v>1.2080000000000001E-3</v>
      </c>
      <c r="N134" s="1531" t="s">
        <v>282</v>
      </c>
      <c r="O134" s="1528">
        <v>7.7299999999999994E-2</v>
      </c>
      <c r="P134" s="1529">
        <f t="shared" si="7"/>
        <v>1.0089620000000001</v>
      </c>
      <c r="Q134" s="1530">
        <f t="shared" si="9"/>
        <v>6.4899999999999999E-2</v>
      </c>
      <c r="AT134" s="1452"/>
      <c r="AU134" s="1483">
        <f t="shared" si="11"/>
        <v>0.99577899999999997</v>
      </c>
    </row>
    <row r="135" spans="1:47" ht="16.5" customHeight="1">
      <c r="A135" s="1479">
        <f t="shared" si="12"/>
        <v>47</v>
      </c>
      <c r="B135" s="1484">
        <v>393</v>
      </c>
      <c r="C135" s="1534" t="s">
        <v>1277</v>
      </c>
      <c r="D135" s="1525">
        <v>0.54269299999999998</v>
      </c>
      <c r="E135" s="1526" t="s">
        <v>607</v>
      </c>
      <c r="F135" s="1527"/>
      <c r="G135" s="1528">
        <v>3.5799999999999998E-2</v>
      </c>
      <c r="H135" s="1525">
        <v>0.448604</v>
      </c>
      <c r="I135" s="1527"/>
      <c r="J135" s="1531" t="s">
        <v>800</v>
      </c>
      <c r="K135" s="1528">
        <v>3.1699999999999999E-2</v>
      </c>
      <c r="L135" s="1519"/>
      <c r="M135" s="1525">
        <v>4.4819999999999999E-3</v>
      </c>
      <c r="N135" s="1531" t="s">
        <v>800</v>
      </c>
      <c r="O135" s="1528">
        <v>3.1699999999999999E-2</v>
      </c>
      <c r="P135" s="1529">
        <f t="shared" si="7"/>
        <v>0.99577899999999997</v>
      </c>
      <c r="Q135" s="1530">
        <f t="shared" si="9"/>
        <v>3.39E-2</v>
      </c>
      <c r="AT135" s="1452"/>
      <c r="AU135" s="1483">
        <f t="shared" si="11"/>
        <v>0.99577899999999997</v>
      </c>
    </row>
    <row r="136" spans="1:47" ht="16.5" customHeight="1">
      <c r="A136" s="1479">
        <f t="shared" si="12"/>
        <v>48</v>
      </c>
      <c r="B136" s="1484">
        <v>394</v>
      </c>
      <c r="C136" s="1534" t="s">
        <v>1278</v>
      </c>
      <c r="D136" s="1525">
        <v>0.54269299999999998</v>
      </c>
      <c r="E136" s="1526" t="s">
        <v>607</v>
      </c>
      <c r="F136" s="1527"/>
      <c r="G136" s="1528">
        <v>2.6100000000000002E-2</v>
      </c>
      <c r="H136" s="1525">
        <v>0.448604</v>
      </c>
      <c r="I136" s="1527"/>
      <c r="J136" s="1531" t="s">
        <v>800</v>
      </c>
      <c r="K136" s="1528">
        <v>3.5200000000000002E-2</v>
      </c>
      <c r="L136" s="1519"/>
      <c r="M136" s="1525">
        <v>4.4819999999999999E-3</v>
      </c>
      <c r="N136" s="1531" t="s">
        <v>800</v>
      </c>
      <c r="O136" s="1528">
        <v>3.5200000000000002E-2</v>
      </c>
      <c r="P136" s="1529">
        <f t="shared" si="7"/>
        <v>0.99577899999999997</v>
      </c>
      <c r="Q136" s="1530">
        <f t="shared" si="9"/>
        <v>3.0200000000000001E-2</v>
      </c>
      <c r="AT136" s="1452"/>
      <c r="AU136" s="1483">
        <f t="shared" si="11"/>
        <v>0.99577899999999997</v>
      </c>
    </row>
    <row r="137" spans="1:47" ht="16.5" customHeight="1">
      <c r="A137" s="1479">
        <f t="shared" si="12"/>
        <v>49</v>
      </c>
      <c r="B137" s="1484">
        <v>395</v>
      </c>
      <c r="C137" s="1534" t="s">
        <v>1279</v>
      </c>
      <c r="D137" s="1525">
        <v>0.54269299999999998</v>
      </c>
      <c r="E137" s="1526" t="s">
        <v>607</v>
      </c>
      <c r="F137" s="1527"/>
      <c r="G137" s="1528">
        <v>3.3700000000000001E-2</v>
      </c>
      <c r="H137" s="1525">
        <v>0.448604</v>
      </c>
      <c r="I137" s="1527"/>
      <c r="J137" s="1531" t="s">
        <v>800</v>
      </c>
      <c r="K137" s="1528">
        <v>2.8799999999999999E-2</v>
      </c>
      <c r="L137" s="1519"/>
      <c r="M137" s="1525">
        <v>4.4819999999999999E-3</v>
      </c>
      <c r="N137" s="1531" t="s">
        <v>800</v>
      </c>
      <c r="O137" s="1528">
        <v>2.8799999999999999E-2</v>
      </c>
      <c r="P137" s="1529">
        <f t="shared" si="7"/>
        <v>0.99577899999999997</v>
      </c>
      <c r="Q137" s="1530">
        <f t="shared" si="9"/>
        <v>3.15E-2</v>
      </c>
      <c r="AT137" s="1452"/>
      <c r="AU137" s="1483">
        <f t="shared" si="11"/>
        <v>1.0089620000000001</v>
      </c>
    </row>
    <row r="138" spans="1:47" ht="16.5" customHeight="1">
      <c r="A138" s="1479">
        <f t="shared" si="12"/>
        <v>50</v>
      </c>
      <c r="B138" s="1484">
        <v>396</v>
      </c>
      <c r="C138" s="1534" t="s">
        <v>1280</v>
      </c>
      <c r="D138" s="1525">
        <v>0.54269299999999998</v>
      </c>
      <c r="E138" s="1526" t="s">
        <v>607</v>
      </c>
      <c r="F138" s="1527"/>
      <c r="G138" s="1528">
        <v>5.5500000000000001E-2</v>
      </c>
      <c r="H138" s="1525">
        <v>0.465061</v>
      </c>
      <c r="I138" s="1527"/>
      <c r="J138" s="1531" t="s">
        <v>282</v>
      </c>
      <c r="K138" s="1528">
        <v>5.33E-2</v>
      </c>
      <c r="L138" s="1519"/>
      <c r="M138" s="1525">
        <v>1.2080000000000001E-3</v>
      </c>
      <c r="N138" s="1531" t="s">
        <v>282</v>
      </c>
      <c r="O138" s="1528">
        <v>5.33E-2</v>
      </c>
      <c r="P138" s="1529">
        <f t="shared" si="7"/>
        <v>1.0089620000000001</v>
      </c>
      <c r="Q138" s="1530">
        <f t="shared" si="9"/>
        <v>5.45E-2</v>
      </c>
      <c r="AT138" s="1452"/>
      <c r="AU138" s="1483">
        <f t="shared" si="11"/>
        <v>0.99577899999999997</v>
      </c>
    </row>
    <row r="139" spans="1:47" ht="16.5" customHeight="1">
      <c r="A139" s="1479">
        <f t="shared" si="12"/>
        <v>51</v>
      </c>
      <c r="B139" s="1484">
        <v>397</v>
      </c>
      <c r="C139" s="1524" t="s">
        <v>1281</v>
      </c>
      <c r="D139" s="1525">
        <v>0.54269299999999998</v>
      </c>
      <c r="E139" s="1526" t="s">
        <v>607</v>
      </c>
      <c r="F139" s="1527"/>
      <c r="G139" s="1528">
        <v>2.5000000000000001E-2</v>
      </c>
      <c r="H139" s="1525">
        <v>0.465061</v>
      </c>
      <c r="I139" s="1527"/>
      <c r="J139" s="1531" t="s">
        <v>282</v>
      </c>
      <c r="K139" s="1528">
        <v>3.6499999999999998E-2</v>
      </c>
      <c r="L139" s="1519"/>
      <c r="M139" s="1525">
        <v>1.2080000000000001E-3</v>
      </c>
      <c r="N139" s="1531" t="s">
        <v>282</v>
      </c>
      <c r="O139" s="1528">
        <v>3.6499999999999998E-2</v>
      </c>
      <c r="P139" s="1529">
        <f t="shared" si="7"/>
        <v>1.0089620000000001</v>
      </c>
      <c r="Q139" s="1530">
        <f t="shared" si="9"/>
        <v>3.0300000000000001E-2</v>
      </c>
      <c r="AT139" s="1452"/>
      <c r="AU139" s="1483">
        <f t="shared" si="11"/>
        <v>0.99577899999999997</v>
      </c>
    </row>
    <row r="140" spans="1:47" ht="16.5" customHeight="1">
      <c r="A140" s="1479">
        <f t="shared" si="12"/>
        <v>52</v>
      </c>
      <c r="B140" s="1484">
        <v>397</v>
      </c>
      <c r="C140" s="1524" t="s">
        <v>888</v>
      </c>
      <c r="D140" s="1525">
        <v>0.54269299999999998</v>
      </c>
      <c r="E140" s="1526" t="s">
        <v>607</v>
      </c>
      <c r="F140" s="1527"/>
      <c r="G140" s="1528">
        <v>2.5000000000000001E-2</v>
      </c>
      <c r="H140" s="1525">
        <v>0.465061</v>
      </c>
      <c r="I140" s="1527"/>
      <c r="J140" s="1531" t="s">
        <v>282</v>
      </c>
      <c r="K140" s="1528">
        <v>3.6499999999999998E-2</v>
      </c>
      <c r="L140" s="1519"/>
      <c r="M140" s="1525">
        <v>1.2080000000000001E-3</v>
      </c>
      <c r="N140" s="1531" t="s">
        <v>282</v>
      </c>
      <c r="O140" s="1528">
        <v>3.6499999999999998E-2</v>
      </c>
      <c r="P140" s="1529">
        <f t="shared" si="7"/>
        <v>1.0089620000000001</v>
      </c>
      <c r="Q140" s="1530">
        <f t="shared" si="9"/>
        <v>3.0300000000000001E-2</v>
      </c>
      <c r="AT140" s="1452"/>
      <c r="AU140" s="1483">
        <f t="shared" si="11"/>
        <v>0.99577899999999997</v>
      </c>
    </row>
    <row r="141" spans="1:47" ht="16.5" customHeight="1">
      <c r="A141" s="1479">
        <f t="shared" si="12"/>
        <v>53</v>
      </c>
      <c r="B141" s="1484">
        <v>397</v>
      </c>
      <c r="C141" s="1524" t="s">
        <v>889</v>
      </c>
      <c r="D141" s="1525">
        <v>1</v>
      </c>
      <c r="E141" s="1526" t="s">
        <v>607</v>
      </c>
      <c r="F141" s="1527"/>
      <c r="G141" s="1528">
        <v>2.5000000000000001E-2</v>
      </c>
      <c r="H141" s="1525">
        <v>0</v>
      </c>
      <c r="I141" s="1527"/>
      <c r="J141" s="1531"/>
      <c r="K141" s="1528">
        <v>0</v>
      </c>
      <c r="L141" s="1519"/>
      <c r="M141" s="1525">
        <v>0</v>
      </c>
      <c r="N141" s="1531"/>
      <c r="O141" s="1528">
        <v>0</v>
      </c>
      <c r="P141" s="1529">
        <f t="shared" si="7"/>
        <v>1</v>
      </c>
      <c r="Q141" s="1530">
        <f t="shared" si="9"/>
        <v>2.5000000000000001E-2</v>
      </c>
      <c r="AT141" s="1452"/>
      <c r="AU141" s="1483">
        <f t="shared" si="11"/>
        <v>1.0089620000000001</v>
      </c>
    </row>
    <row r="142" spans="1:47" ht="16.5" customHeight="1">
      <c r="A142" s="1479">
        <f t="shared" si="12"/>
        <v>54</v>
      </c>
      <c r="B142" s="1484">
        <v>398</v>
      </c>
      <c r="C142" s="1532" t="s">
        <v>1282</v>
      </c>
      <c r="D142" s="1525">
        <v>0.54269299999999998</v>
      </c>
      <c r="E142" s="1526" t="s">
        <v>607</v>
      </c>
      <c r="F142" s="1527"/>
      <c r="G142" s="1528">
        <v>3.1600000000000003E-2</v>
      </c>
      <c r="H142" s="1525">
        <v>0.448604</v>
      </c>
      <c r="I142" s="1527"/>
      <c r="J142" s="1531" t="s">
        <v>800</v>
      </c>
      <c r="K142" s="1528">
        <v>0</v>
      </c>
      <c r="L142" s="1519"/>
      <c r="M142" s="1525">
        <v>4.4819999999999999E-3</v>
      </c>
      <c r="N142" s="1531" t="s">
        <v>800</v>
      </c>
      <c r="O142" s="1528">
        <v>5.5899999999999998E-2</v>
      </c>
      <c r="P142" s="1529">
        <f t="shared" si="7"/>
        <v>0.99577899999999997</v>
      </c>
      <c r="Q142" s="1530">
        <f t="shared" si="9"/>
        <v>1.7500000000000002E-2</v>
      </c>
      <c r="AT142" s="1452"/>
      <c r="AU142" s="1483">
        <f t="shared" si="11"/>
        <v>1.0089620000000001</v>
      </c>
    </row>
    <row r="143" spans="1:47" ht="16.5" customHeight="1">
      <c r="A143" s="1479">
        <f t="shared" si="12"/>
        <v>55</v>
      </c>
      <c r="B143" s="1484">
        <v>399</v>
      </c>
      <c r="C143" s="1535" t="s">
        <v>1561</v>
      </c>
      <c r="D143" s="1525">
        <v>1</v>
      </c>
      <c r="E143" s="1526" t="s">
        <v>607</v>
      </c>
      <c r="F143" s="1527"/>
      <c r="G143" s="1528">
        <v>0</v>
      </c>
      <c r="H143" s="1525">
        <v>0</v>
      </c>
      <c r="I143" s="1527"/>
      <c r="J143" s="1531"/>
      <c r="K143" s="1528">
        <v>0</v>
      </c>
      <c r="L143" s="1519"/>
      <c r="M143" s="1525">
        <v>0</v>
      </c>
      <c r="N143" s="1531"/>
      <c r="O143" s="1528">
        <v>0</v>
      </c>
      <c r="P143" s="1529">
        <f t="shared" si="7"/>
        <v>1</v>
      </c>
      <c r="Q143" s="1528">
        <f t="shared" si="9"/>
        <v>0</v>
      </c>
      <c r="AT143" s="1452"/>
      <c r="AU143" s="1483">
        <f t="shared" si="11"/>
        <v>1.0089620000000001</v>
      </c>
    </row>
    <row r="144" spans="1:47" ht="16.5" customHeight="1" thickBot="1">
      <c r="A144" s="1479">
        <f t="shared" si="12"/>
        <v>56</v>
      </c>
      <c r="B144" s="1484">
        <v>399</v>
      </c>
      <c r="C144" s="1535" t="s">
        <v>1561</v>
      </c>
      <c r="D144" s="1536">
        <v>0</v>
      </c>
      <c r="E144" s="1537" t="s">
        <v>607</v>
      </c>
      <c r="F144" s="1538"/>
      <c r="G144" s="1539">
        <v>0</v>
      </c>
      <c r="H144" s="1525">
        <v>1</v>
      </c>
      <c r="I144" s="1538"/>
      <c r="J144" s="1540" t="s">
        <v>858</v>
      </c>
      <c r="K144" s="1539">
        <v>0</v>
      </c>
      <c r="L144" s="1519"/>
      <c r="M144" s="1536">
        <v>0</v>
      </c>
      <c r="N144" s="1541"/>
      <c r="O144" s="1539">
        <v>0</v>
      </c>
      <c r="P144" s="1542">
        <f t="shared" si="7"/>
        <v>1</v>
      </c>
      <c r="Q144" s="1539">
        <f t="shared" si="9"/>
        <v>0</v>
      </c>
      <c r="AT144" s="1452"/>
      <c r="AU144" s="1483">
        <f t="shared" si="11"/>
        <v>1</v>
      </c>
    </row>
    <row r="145" spans="1:47">
      <c r="AT145" s="1452"/>
      <c r="AU145" s="1483">
        <f t="shared" si="11"/>
        <v>0.99577899999999997</v>
      </c>
    </row>
    <row r="146" spans="1:47" ht="15.75">
      <c r="A146" s="1501" t="s">
        <v>1547</v>
      </c>
    </row>
    <row r="147" spans="1:47" ht="42.75" customHeight="1">
      <c r="A147" s="1509">
        <v>1</v>
      </c>
      <c r="B147" s="2199" t="s">
        <v>1503</v>
      </c>
      <c r="C147" s="2135"/>
      <c r="D147" s="2135"/>
      <c r="E147" s="2135"/>
      <c r="F147" s="2135"/>
      <c r="G147" s="2135"/>
      <c r="H147" s="2135"/>
      <c r="I147" s="2135"/>
      <c r="J147" s="2135"/>
      <c r="K147" s="2135"/>
      <c r="L147" s="2135"/>
      <c r="M147" s="2135"/>
      <c r="N147" s="2135"/>
      <c r="O147" s="2135"/>
      <c r="P147" s="2135"/>
      <c r="Q147" s="2135"/>
    </row>
    <row r="148" spans="1:47" ht="30.75" customHeight="1">
      <c r="A148" s="1118"/>
      <c r="B148" s="1543" t="s">
        <v>1393</v>
      </c>
      <c r="C148" s="2199" t="s">
        <v>1504</v>
      </c>
      <c r="D148" s="2135"/>
      <c r="E148" s="2135"/>
      <c r="F148" s="2135"/>
      <c r="G148" s="2135"/>
      <c r="H148" s="2135"/>
      <c r="I148" s="2135"/>
      <c r="J148" s="2135"/>
      <c r="K148" s="2135"/>
      <c r="L148" s="2135"/>
      <c r="M148" s="2135"/>
      <c r="N148" s="2135"/>
      <c r="O148" s="2135"/>
      <c r="P148" s="2135"/>
      <c r="Q148" s="2135"/>
    </row>
    <row r="149" spans="1:47" ht="30.75" customHeight="1">
      <c r="A149" s="1118"/>
      <c r="B149" s="1543" t="s">
        <v>1387</v>
      </c>
      <c r="C149" s="2199" t="s">
        <v>1505</v>
      </c>
      <c r="D149" s="2135"/>
      <c r="E149" s="2135"/>
      <c r="F149" s="2135"/>
      <c r="G149" s="2135"/>
      <c r="H149" s="2135"/>
      <c r="I149" s="2135"/>
      <c r="J149" s="2135"/>
      <c r="K149" s="2135"/>
      <c r="L149" s="2135"/>
      <c r="M149" s="2135"/>
      <c r="N149" s="2135"/>
      <c r="O149" s="2135"/>
      <c r="P149" s="2135"/>
      <c r="Q149" s="2135"/>
    </row>
    <row r="150" spans="1:47" ht="30" customHeight="1">
      <c r="A150" s="1118"/>
      <c r="B150" s="1543" t="s">
        <v>700</v>
      </c>
      <c r="C150" s="2199" t="s">
        <v>1454</v>
      </c>
      <c r="D150" s="2135"/>
      <c r="E150" s="2135"/>
      <c r="F150" s="2135"/>
      <c r="G150" s="2135"/>
      <c r="H150" s="2135"/>
      <c r="I150" s="2135"/>
      <c r="J150" s="2135"/>
      <c r="K150" s="2135"/>
      <c r="L150" s="2135"/>
      <c r="M150" s="2135"/>
      <c r="N150" s="2135"/>
      <c r="O150" s="2135"/>
      <c r="P150" s="2135"/>
      <c r="Q150" s="2135"/>
    </row>
    <row r="151" spans="1:47" ht="15.75">
      <c r="A151" s="1509">
        <v>2</v>
      </c>
      <c r="B151" s="2199" t="s">
        <v>1455</v>
      </c>
      <c r="C151" s="2201"/>
      <c r="D151" s="2201"/>
      <c r="E151" s="2201"/>
      <c r="F151" s="2201"/>
      <c r="G151" s="2201"/>
      <c r="H151" s="2201"/>
      <c r="I151" s="2201"/>
      <c r="J151" s="2201"/>
      <c r="K151" s="2201"/>
      <c r="L151" s="2201"/>
      <c r="M151" s="2201"/>
      <c r="N151" s="2201"/>
      <c r="O151" s="2201"/>
    </row>
    <row r="152" spans="1:47">
      <c r="A152" s="1120"/>
    </row>
  </sheetData>
  <customSheetViews>
    <customSheetView guid="{FAA8FFD9-C96B-4A1B-8B9E-B863FD90DDBA}" hiddenColumns="1" showRuler="0" topLeftCell="A4">
      <selection activeCell="G18" sqref="G18"/>
      <pageMargins left="0.25" right="0.25" top="1" bottom="0.5" header="0" footer="0"/>
      <pageSetup scale="80" orientation="portrait" horizontalDpi="4294967294" verticalDpi="300" r:id="rId1"/>
      <headerFooter alignWithMargins="0"/>
    </customSheetView>
  </customSheetViews>
  <mergeCells count="26">
    <mergeCell ref="C80:O80"/>
    <mergeCell ref="D86:G86"/>
    <mergeCell ref="M86:O86"/>
    <mergeCell ref="A1:E1"/>
    <mergeCell ref="A2:H2"/>
    <mergeCell ref="D4:O4"/>
    <mergeCell ref="D5:E5"/>
    <mergeCell ref="G5:H5"/>
    <mergeCell ref="J5:K5"/>
    <mergeCell ref="N5:O5"/>
    <mergeCell ref="N1:O1"/>
    <mergeCell ref="B72:O72"/>
    <mergeCell ref="B74:O74"/>
    <mergeCell ref="C76:O76"/>
    <mergeCell ref="C78:O78"/>
    <mergeCell ref="C79:O79"/>
    <mergeCell ref="C81:O81"/>
    <mergeCell ref="C82:O82"/>
    <mergeCell ref="P84:Q84"/>
    <mergeCell ref="B151:O151"/>
    <mergeCell ref="P86:Q86"/>
    <mergeCell ref="B147:Q147"/>
    <mergeCell ref="C148:Q148"/>
    <mergeCell ref="C149:Q149"/>
    <mergeCell ref="C150:Q150"/>
    <mergeCell ref="D85:O85"/>
  </mergeCells>
  <phoneticPr fontId="28" type="noConversion"/>
  <printOptions horizontalCentered="1" gridLines="1"/>
  <pageMargins left="0.5" right="0.5" top="0.5" bottom="0.25" header="0" footer="0"/>
  <pageSetup scale="50"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pageSetUpPr fitToPage="1"/>
  </sheetPr>
  <dimension ref="A1:O57"/>
  <sheetViews>
    <sheetView view="pageBreakPreview" zoomScaleNormal="75" zoomScaleSheetLayoutView="75" workbookViewId="0">
      <selection activeCell="B56" sqref="B56"/>
    </sheetView>
  </sheetViews>
  <sheetFormatPr defaultRowHeight="15"/>
  <cols>
    <col min="1" max="1" width="4.88671875" style="485" customWidth="1"/>
    <col min="2" max="2" width="17.44140625" style="485" customWidth="1"/>
    <col min="3" max="3" width="12.33203125" style="485" customWidth="1"/>
    <col min="4" max="4" width="11" style="485" customWidth="1"/>
    <col min="5" max="5" width="12.88671875" style="485" customWidth="1"/>
    <col min="6" max="6" width="1.77734375" style="485" customWidth="1"/>
    <col min="7" max="8" width="11.33203125" style="485" customWidth="1"/>
    <col min="9" max="9" width="11.5546875" style="485" customWidth="1"/>
    <col min="10" max="10" width="12.109375" style="485" customWidth="1"/>
    <col min="11" max="11" width="10" style="485" customWidth="1"/>
    <col min="12" max="12" width="8.33203125" style="485" customWidth="1"/>
    <col min="13" max="13" width="13.5546875" style="485" customWidth="1"/>
    <col min="14" max="16384" width="8.88671875" style="485"/>
  </cols>
  <sheetData>
    <row r="1" spans="1:15" ht="20.25">
      <c r="B1" s="43" t="s">
        <v>1431</v>
      </c>
      <c r="C1" s="780"/>
      <c r="D1" s="780"/>
      <c r="E1" s="780"/>
      <c r="F1" s="780"/>
      <c r="K1" s="1098"/>
      <c r="L1" s="2193" t="s">
        <v>167</v>
      </c>
      <c r="M1" s="2193"/>
    </row>
    <row r="2" spans="1:15" ht="18">
      <c r="B2" s="1589" t="s">
        <v>73</v>
      </c>
      <c r="K2" s="1100"/>
      <c r="M2" s="1794" t="s">
        <v>1119</v>
      </c>
    </row>
    <row r="5" spans="1:15" ht="18.75">
      <c r="B5" s="2208" t="s">
        <v>1712</v>
      </c>
      <c r="C5" s="2209"/>
      <c r="D5" s="2209"/>
      <c r="E5" s="2209"/>
      <c r="F5" s="2209"/>
      <c r="G5" s="2209"/>
      <c r="H5" s="2209"/>
      <c r="I5" s="2209"/>
      <c r="J5" s="2209"/>
      <c r="K5" s="2209"/>
      <c r="L5" s="2209"/>
      <c r="M5" s="2210"/>
    </row>
    <row r="6" spans="1:15" ht="60.75" thickBot="1">
      <c r="A6" s="1750" t="s">
        <v>1388</v>
      </c>
      <c r="B6" s="498"/>
      <c r="C6" s="1751" t="s">
        <v>1713</v>
      </c>
      <c r="D6" s="1752" t="s">
        <v>718</v>
      </c>
      <c r="E6" s="1752" t="s">
        <v>124</v>
      </c>
      <c r="F6" s="1753"/>
      <c r="G6" s="1752" t="s">
        <v>1714</v>
      </c>
      <c r="H6" s="1751" t="s">
        <v>1715</v>
      </c>
      <c r="I6" s="1752" t="s">
        <v>1716</v>
      </c>
      <c r="J6" s="1751" t="s">
        <v>41</v>
      </c>
      <c r="K6" s="1752" t="s">
        <v>1546</v>
      </c>
      <c r="L6" s="1751" t="s">
        <v>263</v>
      </c>
      <c r="M6" s="1083" t="s">
        <v>1717</v>
      </c>
    </row>
    <row r="7" spans="1:15">
      <c r="A7" s="1024">
        <v>1</v>
      </c>
      <c r="B7" s="498" t="s">
        <v>1404</v>
      </c>
      <c r="C7" s="859"/>
      <c r="D7" s="1084"/>
      <c r="E7" s="1084">
        <f>C7-D7</f>
        <v>0</v>
      </c>
      <c r="F7" s="786"/>
      <c r="G7" s="781"/>
      <c r="H7" s="781"/>
      <c r="I7" s="781"/>
      <c r="J7" s="781"/>
      <c r="K7" s="781"/>
      <c r="L7" s="498"/>
      <c r="M7" s="738">
        <f t="shared" ref="M7:M15" si="0">SUM(G7:L7)</f>
        <v>0</v>
      </c>
      <c r="N7" s="32"/>
      <c r="O7" s="498"/>
    </row>
    <row r="8" spans="1:15">
      <c r="A8" s="1024">
        <f>A7+1</f>
        <v>2</v>
      </c>
      <c r="B8" s="498" t="s">
        <v>1405</v>
      </c>
      <c r="C8" s="2066">
        <v>39006461</v>
      </c>
      <c r="D8" s="2067"/>
      <c r="E8" s="1084">
        <f>C8-D8</f>
        <v>39006461</v>
      </c>
      <c r="F8" s="786"/>
      <c r="G8" s="781"/>
      <c r="H8" s="781"/>
      <c r="I8" s="781">
        <f>E8</f>
        <v>39006461</v>
      </c>
      <c r="J8" s="781"/>
      <c r="K8" s="781"/>
      <c r="L8" s="498"/>
      <c r="M8" s="738">
        <f t="shared" si="0"/>
        <v>39006461</v>
      </c>
      <c r="N8" s="32"/>
      <c r="O8" s="498"/>
    </row>
    <row r="9" spans="1:15">
      <c r="A9" s="1024">
        <f t="shared" ref="A9:A24" si="1">A8+1</f>
        <v>3</v>
      </c>
      <c r="B9" s="498" t="s">
        <v>1406</v>
      </c>
      <c r="C9" s="2066">
        <v>37300323</v>
      </c>
      <c r="D9" s="2067"/>
      <c r="E9" s="1084">
        <f>C9-D9</f>
        <v>37300323</v>
      </c>
      <c r="F9" s="786"/>
      <c r="G9" s="781"/>
      <c r="H9" s="781"/>
      <c r="I9" s="781">
        <f>E9</f>
        <v>37300323</v>
      </c>
      <c r="J9" s="781"/>
      <c r="K9" s="781"/>
      <c r="L9" s="498"/>
      <c r="M9" s="738">
        <f t="shared" si="0"/>
        <v>37300323</v>
      </c>
      <c r="N9" s="32"/>
      <c r="O9" s="498"/>
    </row>
    <row r="10" spans="1:15">
      <c r="A10" s="1024">
        <f t="shared" si="1"/>
        <v>4</v>
      </c>
      <c r="B10" s="498" t="s">
        <v>714</v>
      </c>
      <c r="C10" s="2066"/>
      <c r="D10" s="2067"/>
      <c r="E10" s="1084">
        <f t="shared" ref="E10:E15" si="2">C10-D10</f>
        <v>0</v>
      </c>
      <c r="F10" s="786"/>
      <c r="G10" s="781"/>
      <c r="H10" s="781">
        <f>C10-D10</f>
        <v>0</v>
      </c>
      <c r="I10" s="781"/>
      <c r="J10" s="781"/>
      <c r="K10" s="781"/>
      <c r="L10" s="498"/>
      <c r="M10" s="738">
        <f t="shared" si="0"/>
        <v>0</v>
      </c>
      <c r="N10" s="32"/>
      <c r="O10" s="498"/>
    </row>
    <row r="11" spans="1:15">
      <c r="A11" s="1024">
        <f t="shared" si="1"/>
        <v>5</v>
      </c>
      <c r="B11" s="498" t="s">
        <v>715</v>
      </c>
      <c r="C11" s="2066">
        <v>405696</v>
      </c>
      <c r="D11" s="2067"/>
      <c r="E11" s="1084">
        <f t="shared" si="2"/>
        <v>405696</v>
      </c>
      <c r="F11" s="614"/>
      <c r="G11" s="1754"/>
      <c r="H11" s="1755"/>
      <c r="I11" s="781"/>
      <c r="J11" s="781">
        <f>E11</f>
        <v>405696</v>
      </c>
      <c r="K11" s="498"/>
      <c r="L11" s="498"/>
      <c r="M11" s="738">
        <f t="shared" si="0"/>
        <v>405696</v>
      </c>
      <c r="N11" s="32"/>
      <c r="O11" s="498"/>
    </row>
    <row r="12" spans="1:15">
      <c r="A12" s="1024">
        <f t="shared" si="1"/>
        <v>6</v>
      </c>
      <c r="B12" s="498" t="s">
        <v>1714</v>
      </c>
      <c r="C12" s="2066">
        <v>12347515</v>
      </c>
      <c r="D12" s="2067"/>
      <c r="E12" s="1084">
        <f t="shared" si="2"/>
        <v>12347515</v>
      </c>
      <c r="F12" s="786"/>
      <c r="G12" s="781">
        <f>E12</f>
        <v>12347515</v>
      </c>
      <c r="H12" s="781"/>
      <c r="I12" s="781"/>
      <c r="J12" s="781"/>
      <c r="K12" s="781"/>
      <c r="L12" s="498"/>
      <c r="M12" s="738">
        <f t="shared" si="0"/>
        <v>12347515</v>
      </c>
      <c r="N12" s="32"/>
      <c r="O12" s="498"/>
    </row>
    <row r="13" spans="1:15">
      <c r="A13" s="1024">
        <f t="shared" si="1"/>
        <v>7</v>
      </c>
      <c r="B13" s="498" t="s">
        <v>716</v>
      </c>
      <c r="C13" s="2066">
        <v>56121219</v>
      </c>
      <c r="D13" s="2067"/>
      <c r="E13" s="1084">
        <f t="shared" si="2"/>
        <v>56121219</v>
      </c>
      <c r="F13" s="786"/>
      <c r="G13" s="781"/>
      <c r="H13" s="781"/>
      <c r="I13" s="781"/>
      <c r="J13" s="781">
        <f>E13</f>
        <v>56121219</v>
      </c>
      <c r="K13" s="781"/>
      <c r="L13" s="498"/>
      <c r="M13" s="738">
        <f t="shared" si="0"/>
        <v>56121219</v>
      </c>
      <c r="N13" s="32"/>
      <c r="O13" s="498"/>
    </row>
    <row r="14" spans="1:15">
      <c r="A14" s="1024">
        <f t="shared" si="1"/>
        <v>8</v>
      </c>
      <c r="B14" s="498" t="s">
        <v>713</v>
      </c>
      <c r="C14" s="2066">
        <v>129427</v>
      </c>
      <c r="D14" s="2067"/>
      <c r="E14" s="1084">
        <f t="shared" si="2"/>
        <v>129427</v>
      </c>
      <c r="F14" s="786"/>
      <c r="G14" s="781"/>
      <c r="H14" s="781"/>
      <c r="I14" s="781"/>
      <c r="J14" s="781">
        <f>C14</f>
        <v>129427</v>
      </c>
      <c r="K14" s="781"/>
      <c r="L14" s="498"/>
      <c r="M14" s="738">
        <f t="shared" si="0"/>
        <v>129427</v>
      </c>
      <c r="N14" s="32"/>
      <c r="O14" s="498"/>
    </row>
    <row r="15" spans="1:15">
      <c r="A15" s="1024">
        <f t="shared" si="1"/>
        <v>9</v>
      </c>
      <c r="B15" s="498" t="s">
        <v>717</v>
      </c>
      <c r="C15" s="2068">
        <v>0</v>
      </c>
      <c r="D15" s="2068"/>
      <c r="E15" s="939">
        <f t="shared" si="2"/>
        <v>0</v>
      </c>
      <c r="F15" s="786"/>
      <c r="G15" s="1756"/>
      <c r="H15" s="1756"/>
      <c r="I15" s="1756"/>
      <c r="J15" s="1756"/>
      <c r="K15" s="1756">
        <f>E15</f>
        <v>0</v>
      </c>
      <c r="L15" s="1757"/>
      <c r="M15" s="783">
        <f t="shared" si="0"/>
        <v>0</v>
      </c>
      <c r="N15" s="32"/>
      <c r="O15" s="498"/>
    </row>
    <row r="16" spans="1:15" ht="15.75" thickBot="1">
      <c r="A16" s="1024">
        <f t="shared" si="1"/>
        <v>10</v>
      </c>
      <c r="B16" s="498" t="s">
        <v>1501</v>
      </c>
      <c r="C16" s="1093">
        <f>SUM(C7:C15)</f>
        <v>145310641</v>
      </c>
      <c r="D16" s="1758">
        <f>SUM(D7:D15)</f>
        <v>0</v>
      </c>
      <c r="E16" s="1758">
        <f>SUM(E7:E15)</f>
        <v>145310641</v>
      </c>
      <c r="F16" s="786"/>
      <c r="G16" s="1759">
        <f t="shared" ref="G16:L16" si="3">SUM(G7:G15)</f>
        <v>12347515</v>
      </c>
      <c r="H16" s="1759">
        <f t="shared" si="3"/>
        <v>0</v>
      </c>
      <c r="I16" s="1759">
        <f t="shared" si="3"/>
        <v>76306784</v>
      </c>
      <c r="J16" s="1759">
        <f t="shared" si="3"/>
        <v>56656342</v>
      </c>
      <c r="K16" s="1759">
        <f t="shared" si="3"/>
        <v>0</v>
      </c>
      <c r="L16" s="1759">
        <f t="shared" si="3"/>
        <v>0</v>
      </c>
      <c r="M16" s="785">
        <f>SUM(M7:M15)</f>
        <v>145310641</v>
      </c>
      <c r="N16" s="498"/>
      <c r="O16" s="498"/>
    </row>
    <row r="17" spans="1:13" ht="15.75" thickTop="1">
      <c r="A17" s="1024">
        <f t="shared" si="1"/>
        <v>11</v>
      </c>
      <c r="B17" s="1760" t="s">
        <v>1502</v>
      </c>
      <c r="C17" s="786"/>
      <c r="D17" s="786"/>
      <c r="E17" s="786"/>
      <c r="F17" s="782"/>
      <c r="G17" s="1908" t="str">
        <f>"(P. 2, ln "&amp;'Actual Gross Rev Req'!B100&amp;")"</f>
        <v>(P. 2, ln 13)</v>
      </c>
      <c r="H17" s="1908" t="str">
        <f>"(P.2, ln "&amp;'Actual Gross Rev Req'!B101&amp;")"</f>
        <v>(P.2, ln 14)</v>
      </c>
      <c r="I17" s="1908" t="str">
        <f>"(P.2, ln "&amp;'Actual Gross Rev Req'!B103&amp;")"</f>
        <v>(P.2, ln 15)</v>
      </c>
      <c r="J17" s="1908" t="str">
        <f>"(P.2, ln "&amp;'Actual Gross Rev Req'!B104&amp;")"</f>
        <v>(P.2, ln 16)</v>
      </c>
      <c r="K17" s="1908" t="str">
        <f>"(P.2, ln "&amp;'Actual Gross Rev Req'!B105&amp;")"</f>
        <v>(P.2, ln 17)</v>
      </c>
      <c r="L17" s="1908" t="str">
        <f>"(P.2, ln "&amp;'Actual Gross Rev Req'!B105&amp;")"</f>
        <v>(P.2, ln 17)</v>
      </c>
      <c r="M17" s="1908" t="str">
        <f>"(P.2, ln "&amp;'Actual Gross Rev Req'!B106&amp;")"</f>
        <v>(P.2, ln 18)</v>
      </c>
    </row>
    <row r="18" spans="1:13">
      <c r="A18" s="1024">
        <f t="shared" si="1"/>
        <v>12</v>
      </c>
      <c r="C18" s="738"/>
      <c r="D18" s="786"/>
      <c r="E18" s="786"/>
      <c r="F18" s="782"/>
      <c r="G18" s="738"/>
      <c r="H18" s="738"/>
      <c r="I18" s="738"/>
      <c r="J18" s="738"/>
      <c r="K18" s="738"/>
    </row>
    <row r="19" spans="1:13">
      <c r="A19" s="1024">
        <f t="shared" si="1"/>
        <v>13</v>
      </c>
      <c r="B19" s="485" t="s">
        <v>711</v>
      </c>
      <c r="C19" s="2066">
        <v>19541686</v>
      </c>
      <c r="D19" s="786"/>
      <c r="E19" s="786"/>
      <c r="F19" s="782"/>
    </row>
    <row r="20" spans="1:13">
      <c r="A20" s="1024">
        <f t="shared" si="1"/>
        <v>14</v>
      </c>
      <c r="B20" s="485" t="s">
        <v>864</v>
      </c>
      <c r="C20" s="2066">
        <v>-12198</v>
      </c>
      <c r="D20" s="786"/>
      <c r="E20" s="786"/>
      <c r="F20" s="782"/>
      <c r="G20" s="738"/>
      <c r="H20" s="738"/>
      <c r="I20" s="738"/>
      <c r="J20" s="738"/>
      <c r="K20" s="738"/>
    </row>
    <row r="21" spans="1:13">
      <c r="A21" s="1024">
        <f t="shared" si="1"/>
        <v>15</v>
      </c>
      <c r="B21" s="485" t="s">
        <v>709</v>
      </c>
      <c r="C21" s="2066">
        <v>2254497</v>
      </c>
      <c r="D21" s="786"/>
      <c r="E21" s="786"/>
      <c r="F21" s="782"/>
      <c r="G21" s="738"/>
      <c r="H21" s="738"/>
      <c r="I21" s="738"/>
      <c r="J21" s="738"/>
      <c r="K21" s="738"/>
    </row>
    <row r="22" spans="1:13">
      <c r="A22" s="1024">
        <f t="shared" si="1"/>
        <v>16</v>
      </c>
      <c r="B22" s="485" t="s">
        <v>710</v>
      </c>
      <c r="C22" s="2068">
        <v>800815</v>
      </c>
      <c r="D22" s="786"/>
      <c r="E22" s="786"/>
      <c r="F22" s="782"/>
      <c r="G22" s="787"/>
      <c r="H22" s="787"/>
      <c r="I22" s="787"/>
      <c r="J22" s="787"/>
      <c r="K22" s="787"/>
      <c r="L22" s="788"/>
      <c r="M22" s="788"/>
    </row>
    <row r="23" spans="1:13">
      <c r="A23" s="1024">
        <f t="shared" si="1"/>
        <v>17</v>
      </c>
      <c r="C23" s="738"/>
      <c r="D23" s="786"/>
      <c r="E23" s="786"/>
      <c r="F23" s="782"/>
      <c r="G23" s="787"/>
      <c r="H23" s="787"/>
      <c r="I23" s="787"/>
      <c r="J23" s="787"/>
      <c r="K23" s="787"/>
      <c r="L23" s="788"/>
      <c r="M23" s="788"/>
    </row>
    <row r="24" spans="1:13" ht="15.75" thickBot="1">
      <c r="A24" s="1024">
        <f t="shared" si="1"/>
        <v>18</v>
      </c>
      <c r="B24" s="485" t="s">
        <v>712</v>
      </c>
      <c r="C24" s="785">
        <f>SUM(C16:C23)</f>
        <v>167895441</v>
      </c>
      <c r="D24" s="786"/>
      <c r="E24" s="786"/>
      <c r="F24" s="782"/>
      <c r="G24" s="787"/>
      <c r="H24" s="787"/>
      <c r="I24" s="787"/>
      <c r="J24" s="787"/>
      <c r="K24" s="787"/>
      <c r="L24" s="787"/>
      <c r="M24" s="788"/>
    </row>
    <row r="25" spans="1:13" ht="15.75" thickTop="1">
      <c r="C25" s="787"/>
      <c r="D25" s="786"/>
      <c r="E25" s="786"/>
      <c r="F25" s="786"/>
      <c r="G25" s="787"/>
      <c r="H25" s="787"/>
      <c r="I25" s="787"/>
      <c r="J25" s="787"/>
      <c r="K25" s="787"/>
      <c r="L25" s="787"/>
      <c r="M25" s="788"/>
    </row>
    <row r="26" spans="1:13" ht="15.75">
      <c r="B26" s="486"/>
      <c r="C26" s="787"/>
      <c r="D26" s="786"/>
      <c r="E26" s="786"/>
      <c r="F26" s="786"/>
      <c r="G26" s="787"/>
      <c r="H26" s="787"/>
      <c r="I26" s="787"/>
      <c r="J26" s="787"/>
      <c r="K26" s="787"/>
      <c r="L26" s="787"/>
      <c r="M26" s="788"/>
    </row>
    <row r="27" spans="1:13" ht="28.5" customHeight="1">
      <c r="B27" s="2135"/>
      <c r="C27" s="2135"/>
      <c r="D27" s="2135"/>
      <c r="E27" s="2135"/>
      <c r="F27" s="2135"/>
      <c r="G27" s="2135"/>
      <c r="H27" s="2135"/>
      <c r="I27" s="2135"/>
      <c r="J27" s="2135"/>
      <c r="K27" s="2135"/>
      <c r="L27" s="2135"/>
      <c r="M27" s="2135"/>
    </row>
    <row r="28" spans="1:13">
      <c r="C28" s="787"/>
      <c r="D28" s="786"/>
      <c r="E28" s="786"/>
      <c r="F28" s="786"/>
      <c r="G28" s="787"/>
      <c r="H28" s="787"/>
      <c r="I28" s="787"/>
      <c r="J28" s="787"/>
      <c r="K28" s="787"/>
      <c r="L28" s="787"/>
      <c r="M28" s="788"/>
    </row>
    <row r="29" spans="1:13">
      <c r="C29" s="787"/>
      <c r="D29" s="786"/>
      <c r="E29" s="786"/>
      <c r="F29" s="786"/>
      <c r="G29" s="787"/>
      <c r="H29" s="787"/>
      <c r="I29" s="787"/>
      <c r="J29" s="787"/>
      <c r="K29" s="787"/>
      <c r="L29" s="787"/>
      <c r="M29" s="788"/>
    </row>
    <row r="30" spans="1:13">
      <c r="C30" s="738"/>
      <c r="D30" s="738"/>
      <c r="E30" s="738"/>
      <c r="F30" s="738"/>
      <c r="G30" s="787"/>
      <c r="H30" s="787"/>
      <c r="I30" s="787"/>
      <c r="J30" s="787"/>
      <c r="K30" s="787"/>
      <c r="L30" s="788"/>
      <c r="M30" s="788"/>
    </row>
    <row r="31" spans="1:13">
      <c r="B31" s="498"/>
      <c r="C31" s="781"/>
      <c r="D31" s="781"/>
      <c r="E31" s="781"/>
      <c r="F31" s="781"/>
      <c r="G31" s="781"/>
      <c r="H31" s="781"/>
      <c r="I31" s="738"/>
      <c r="J31" s="738"/>
      <c r="K31" s="738"/>
    </row>
    <row r="32" spans="1:13">
      <c r="B32" s="498"/>
      <c r="C32" s="781"/>
      <c r="D32" s="781"/>
      <c r="E32" s="781"/>
      <c r="F32" s="781"/>
      <c r="G32" s="781"/>
      <c r="H32" s="781"/>
      <c r="I32" s="738"/>
      <c r="J32" s="738"/>
      <c r="K32" s="738"/>
    </row>
    <row r="33" spans="2:13">
      <c r="B33" s="498"/>
      <c r="C33" s="781"/>
      <c r="D33" s="781"/>
      <c r="E33" s="781"/>
      <c r="F33" s="781"/>
      <c r="G33" s="781"/>
      <c r="H33" s="781"/>
      <c r="I33" s="738"/>
      <c r="J33" s="738"/>
      <c r="K33" s="738"/>
    </row>
    <row r="34" spans="2:13">
      <c r="C34" s="738"/>
      <c r="D34" s="738"/>
      <c r="E34" s="738"/>
      <c r="F34" s="738"/>
      <c r="G34" s="738"/>
      <c r="H34" s="738"/>
      <c r="I34" s="738"/>
      <c r="J34" s="738"/>
      <c r="K34" s="738"/>
    </row>
    <row r="35" spans="2:13">
      <c r="C35" s="738"/>
      <c r="D35" s="738"/>
      <c r="E35" s="738"/>
      <c r="F35" s="738"/>
      <c r="G35" s="738"/>
      <c r="H35" s="738"/>
      <c r="I35" s="738"/>
      <c r="J35" s="738"/>
      <c r="K35" s="738"/>
      <c r="L35" s="738"/>
      <c r="M35" s="738"/>
    </row>
    <row r="36" spans="2:13">
      <c r="C36" s="738"/>
      <c r="D36" s="738"/>
      <c r="E36" s="738"/>
      <c r="F36" s="738"/>
      <c r="G36" s="738"/>
      <c r="H36" s="738"/>
      <c r="I36" s="738"/>
      <c r="J36" s="738"/>
      <c r="K36" s="738"/>
    </row>
    <row r="37" spans="2:13">
      <c r="C37" s="738"/>
      <c r="D37" s="738"/>
      <c r="E37" s="738"/>
      <c r="F37" s="738"/>
      <c r="G37" s="738"/>
      <c r="H37" s="738"/>
      <c r="I37" s="738"/>
      <c r="J37" s="738"/>
      <c r="K37" s="738"/>
    </row>
    <row r="38" spans="2:13">
      <c r="C38" s="738"/>
      <c r="D38" s="738"/>
      <c r="E38" s="738"/>
      <c r="F38" s="738"/>
      <c r="G38" s="738"/>
      <c r="H38" s="738"/>
      <c r="I38" s="738"/>
      <c r="J38" s="738"/>
      <c r="K38" s="738"/>
    </row>
    <row r="39" spans="2:13">
      <c r="C39" s="738"/>
      <c r="D39" s="738"/>
      <c r="E39" s="738"/>
      <c r="F39" s="738"/>
      <c r="G39" s="738"/>
      <c r="H39" s="738"/>
      <c r="I39" s="738"/>
      <c r="J39" s="738"/>
      <c r="K39" s="738"/>
    </row>
    <row r="40" spans="2:13">
      <c r="C40" s="738"/>
      <c r="D40" s="738"/>
      <c r="E40" s="738"/>
      <c r="F40" s="738"/>
      <c r="G40" s="738"/>
      <c r="H40" s="738"/>
      <c r="I40" s="738"/>
      <c r="J40" s="738"/>
      <c r="K40" s="738"/>
    </row>
    <row r="41" spans="2:13">
      <c r="C41" s="738"/>
      <c r="D41" s="738"/>
      <c r="E41" s="738"/>
      <c r="F41" s="738"/>
      <c r="G41" s="738"/>
      <c r="H41" s="738"/>
      <c r="I41" s="738"/>
      <c r="J41" s="738"/>
      <c r="K41" s="738"/>
    </row>
    <row r="42" spans="2:13">
      <c r="C42" s="738"/>
      <c r="D42" s="738"/>
      <c r="E42" s="738"/>
      <c r="F42" s="738"/>
      <c r="G42" s="738"/>
      <c r="H42" s="738"/>
      <c r="I42" s="738"/>
      <c r="J42" s="738"/>
      <c r="K42" s="738"/>
    </row>
    <row r="43" spans="2:13">
      <c r="C43" s="738"/>
      <c r="D43" s="738"/>
      <c r="E43" s="738"/>
      <c r="F43" s="738"/>
      <c r="G43" s="738"/>
      <c r="H43" s="738"/>
      <c r="I43" s="738"/>
      <c r="J43" s="738"/>
      <c r="K43" s="738"/>
    </row>
    <row r="44" spans="2:13">
      <c r="C44" s="738"/>
      <c r="D44" s="738"/>
      <c r="E44" s="738"/>
      <c r="F44" s="738"/>
      <c r="G44" s="738"/>
      <c r="H44" s="738"/>
      <c r="I44" s="738"/>
      <c r="J44" s="738"/>
      <c r="K44" s="738"/>
    </row>
    <row r="45" spans="2:13">
      <c r="C45" s="738"/>
      <c r="D45" s="738"/>
      <c r="E45" s="738"/>
      <c r="F45" s="738"/>
      <c r="G45" s="738"/>
      <c r="H45" s="738"/>
      <c r="I45" s="738"/>
      <c r="J45" s="738"/>
      <c r="K45" s="738"/>
    </row>
    <row r="46" spans="2:13">
      <c r="C46" s="738"/>
      <c r="D46" s="738"/>
      <c r="E46" s="738"/>
      <c r="F46" s="738"/>
      <c r="G46" s="738"/>
      <c r="H46" s="738"/>
      <c r="I46" s="738"/>
      <c r="J46" s="738"/>
      <c r="K46" s="738"/>
    </row>
    <row r="47" spans="2:13">
      <c r="C47" s="738"/>
      <c r="D47" s="738"/>
      <c r="E47" s="738"/>
      <c r="F47" s="738"/>
      <c r="G47" s="738"/>
      <c r="H47" s="738"/>
      <c r="I47" s="738"/>
      <c r="J47" s="738"/>
      <c r="K47" s="738"/>
    </row>
    <row r="48" spans="2:13">
      <c r="C48" s="738"/>
      <c r="D48" s="738"/>
      <c r="E48" s="738"/>
      <c r="F48" s="738"/>
      <c r="G48" s="738"/>
      <c r="H48" s="738"/>
      <c r="I48" s="738"/>
      <c r="J48" s="738"/>
      <c r="K48" s="738"/>
    </row>
    <row r="49" spans="3:11">
      <c r="C49" s="738"/>
      <c r="D49" s="738"/>
      <c r="E49" s="738"/>
      <c r="F49" s="738"/>
      <c r="G49" s="738"/>
      <c r="H49" s="738"/>
      <c r="I49" s="738"/>
      <c r="J49" s="738"/>
      <c r="K49" s="738"/>
    </row>
    <row r="50" spans="3:11">
      <c r="C50" s="738"/>
      <c r="D50" s="738"/>
      <c r="E50" s="738"/>
      <c r="F50" s="738"/>
      <c r="G50" s="738"/>
      <c r="H50" s="738"/>
      <c r="I50" s="738"/>
      <c r="J50" s="738"/>
      <c r="K50" s="738"/>
    </row>
    <row r="51" spans="3:11">
      <c r="C51" s="738"/>
      <c r="D51" s="738"/>
      <c r="E51" s="738"/>
      <c r="F51" s="738"/>
      <c r="G51" s="738"/>
      <c r="H51" s="738"/>
      <c r="I51" s="738"/>
      <c r="J51" s="738"/>
      <c r="K51" s="738"/>
    </row>
    <row r="52" spans="3:11">
      <c r="C52" s="738"/>
      <c r="D52" s="738"/>
      <c r="E52" s="738"/>
      <c r="F52" s="738"/>
      <c r="G52" s="738"/>
      <c r="H52" s="738"/>
      <c r="I52" s="738"/>
      <c r="J52" s="738"/>
      <c r="K52" s="738"/>
    </row>
    <row r="53" spans="3:11">
      <c r="C53" s="738"/>
      <c r="D53" s="738"/>
      <c r="E53" s="738"/>
      <c r="F53" s="738"/>
      <c r="G53" s="738"/>
      <c r="H53" s="738"/>
      <c r="I53" s="738"/>
      <c r="J53" s="738"/>
      <c r="K53" s="738"/>
    </row>
    <row r="54" spans="3:11">
      <c r="C54" s="738"/>
      <c r="D54" s="738"/>
      <c r="E54" s="738"/>
      <c r="F54" s="738"/>
      <c r="G54" s="738"/>
      <c r="H54" s="738"/>
      <c r="I54" s="738"/>
      <c r="J54" s="738"/>
      <c r="K54" s="738"/>
    </row>
    <row r="55" spans="3:11">
      <c r="C55" s="738"/>
      <c r="D55" s="738"/>
      <c r="E55" s="738"/>
      <c r="F55" s="738"/>
      <c r="G55" s="738"/>
      <c r="H55" s="738"/>
      <c r="I55" s="738"/>
      <c r="J55" s="738"/>
      <c r="K55" s="738"/>
    </row>
    <row r="56" spans="3:11">
      <c r="C56" s="738"/>
      <c r="D56" s="738"/>
      <c r="E56" s="738"/>
      <c r="F56" s="738"/>
      <c r="G56" s="738"/>
      <c r="H56" s="738"/>
      <c r="I56" s="738"/>
      <c r="J56" s="738"/>
      <c r="K56" s="738"/>
    </row>
    <row r="57" spans="3:11">
      <c r="C57" s="738"/>
      <c r="D57" s="738"/>
      <c r="E57" s="738"/>
      <c r="F57" s="738"/>
      <c r="G57" s="738"/>
      <c r="H57" s="738"/>
      <c r="I57" s="738"/>
      <c r="J57" s="738"/>
      <c r="K57" s="738"/>
    </row>
  </sheetData>
  <customSheetViews>
    <customSheetView guid="{FAA8FFD9-C96B-4A1B-8B9E-B863FD90DDBA}" scale="75" showRuler="0">
      <selection activeCell="J1" sqref="J1:J2"/>
      <pageMargins left="0.36" right="0.25" top="0.75" bottom="0.5" header="0" footer="0"/>
      <pageSetup scale="75" orientation="landscape" horizontalDpi="4294967294" verticalDpi="300" r:id="rId1"/>
      <headerFooter alignWithMargins="0">
        <oddFooter xml:space="preserve">&amp;R&amp;"Arial MT,Bold"&amp;14A-6  Taxes Other 
Than Income
</oddFooter>
      </headerFooter>
    </customSheetView>
  </customSheetViews>
  <mergeCells count="3">
    <mergeCell ref="B5:M5"/>
    <mergeCell ref="B27:M27"/>
    <mergeCell ref="L1:M1"/>
  </mergeCells>
  <phoneticPr fontId="28" type="noConversion"/>
  <printOptions horizontalCentered="1" gridLines="1"/>
  <pageMargins left="0.5" right="0.5" top="0.5" bottom="0.5" header="0" footer="0"/>
  <pageSetup scale="77" orientation="landscape" r:id="rId2"/>
  <headerFooter alignWithMargins="0">
    <oddFooter xml:space="preserve">&amp;R&amp;"Arial MT,Bold"&amp;14A-6  Taxes Other 
Than Income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79998168889431442"/>
  </sheetPr>
  <dimension ref="A1:AM246"/>
  <sheetViews>
    <sheetView topLeftCell="A4" zoomScaleNormal="100" zoomScaleSheetLayoutView="75" workbookViewId="0">
      <selection activeCell="B56" sqref="B56"/>
    </sheetView>
  </sheetViews>
  <sheetFormatPr defaultRowHeight="12.75"/>
  <cols>
    <col min="1" max="1" width="3.5546875" style="118" customWidth="1"/>
    <col min="2" max="2" width="4.88671875" style="118" customWidth="1"/>
    <col min="3" max="3" width="10.33203125" style="118" customWidth="1"/>
    <col min="4" max="4" width="10.88671875" style="118" customWidth="1"/>
    <col min="5" max="5" width="10.6640625" style="118" customWidth="1"/>
    <col min="6" max="6" width="7" style="118" customWidth="1"/>
    <col min="7" max="7" width="14.6640625" style="118" customWidth="1"/>
    <col min="8" max="8" width="11.6640625" style="118" customWidth="1"/>
    <col min="9" max="9" width="9.77734375" style="118" customWidth="1"/>
    <col min="10" max="10" width="14.33203125" style="118" customWidth="1"/>
    <col min="11" max="11" width="11.6640625" style="118" customWidth="1"/>
    <col min="12" max="12" width="10" style="118" customWidth="1"/>
    <col min="13" max="13" width="13.77734375" style="118" customWidth="1"/>
    <col min="14" max="14" width="11.6640625" style="118" customWidth="1"/>
    <col min="15" max="15" width="9.77734375" style="118" customWidth="1"/>
    <col min="16" max="16" width="14.5546875" style="118" customWidth="1"/>
    <col min="17" max="17" width="11.21875" style="118" customWidth="1"/>
    <col min="18" max="18" width="8.88671875" style="118"/>
    <col min="19" max="19" width="15.6640625" style="118" customWidth="1"/>
    <col min="20" max="20" width="10.88671875" style="118" customWidth="1"/>
    <col min="21" max="21" width="14.33203125" style="118" customWidth="1"/>
    <col min="22" max="22" width="14.5546875" style="118" customWidth="1"/>
    <col min="23" max="23" width="11.21875" style="118" customWidth="1"/>
    <col min="24" max="24" width="8.88671875" style="118"/>
    <col min="25" max="25" width="15.6640625" style="118" customWidth="1"/>
    <col min="26" max="26" width="10.88671875" style="118" customWidth="1"/>
    <col min="27" max="27" width="13.109375" style="118" customWidth="1"/>
    <col min="28" max="28" width="10.44140625" style="118" customWidth="1"/>
    <col min="29" max="29" width="9.88671875" style="118" customWidth="1"/>
    <col min="30" max="30" width="10.44140625" style="118" customWidth="1"/>
    <col min="31" max="31" width="8.88671875" style="118"/>
    <col min="32" max="32" width="9.33203125" style="118" customWidth="1"/>
    <col min="33" max="34" width="8.88671875" style="118"/>
    <col min="35" max="35" width="10.21875" style="118" customWidth="1"/>
    <col min="36" max="16384" width="8.88671875" style="118"/>
  </cols>
  <sheetData>
    <row r="1" spans="1:11" ht="20.25">
      <c r="A1" s="91" t="s">
        <v>1531</v>
      </c>
      <c r="B1" s="91"/>
      <c r="C1" s="91"/>
      <c r="D1" s="91"/>
      <c r="E1" s="91"/>
      <c r="H1" s="964"/>
      <c r="J1" s="1994"/>
    </row>
    <row r="2" spans="1:11" ht="18">
      <c r="A2" s="1423" t="s">
        <v>67</v>
      </c>
      <c r="B2" s="92"/>
      <c r="C2" s="92"/>
      <c r="D2" s="92"/>
      <c r="E2" s="92"/>
    </row>
    <row r="3" spans="1:11" ht="18">
      <c r="A3" s="283" t="str">
        <f>+'Actual Net Rev Req'!$C$6</f>
        <v>For the 12 months ended - December 31, 2012</v>
      </c>
      <c r="B3" s="336"/>
      <c r="C3" s="336"/>
      <c r="D3" s="336"/>
      <c r="E3" s="336"/>
      <c r="J3" s="2193" t="s">
        <v>168</v>
      </c>
      <c r="K3" s="2193"/>
    </row>
    <row r="4" spans="1:11" ht="12.75" customHeight="1">
      <c r="A4" s="283"/>
      <c r="B4" s="336"/>
      <c r="C4" s="336"/>
      <c r="D4" s="336"/>
      <c r="E4" s="876"/>
    </row>
    <row r="5" spans="1:11" ht="12.75" customHeight="1">
      <c r="A5" s="283"/>
      <c r="B5" s="336"/>
      <c r="C5" s="336"/>
      <c r="D5" s="336"/>
      <c r="E5" s="336"/>
      <c r="J5" s="1424"/>
    </row>
    <row r="6" spans="1:11" ht="19.5" customHeight="1">
      <c r="A6" s="2215" t="s">
        <v>1065</v>
      </c>
      <c r="B6" s="2215"/>
      <c r="C6" s="2215"/>
      <c r="D6" s="2215"/>
      <c r="E6" s="2215"/>
      <c r="F6" s="2215"/>
      <c r="G6" s="2215"/>
      <c r="H6" s="2215"/>
      <c r="I6" s="88"/>
      <c r="J6" s="118" t="s">
        <v>1243</v>
      </c>
      <c r="K6" s="88"/>
    </row>
    <row r="7" spans="1:11" ht="15" customHeight="1">
      <c r="A7" s="742"/>
      <c r="B7" s="116"/>
      <c r="C7" s="116"/>
      <c r="D7" s="116"/>
      <c r="E7" s="116"/>
      <c r="F7" s="88"/>
      <c r="G7" s="88"/>
      <c r="H7" s="88"/>
      <c r="I7" s="88"/>
      <c r="J7" s="88"/>
      <c r="K7" s="88"/>
    </row>
    <row r="8" spans="1:11" ht="60" customHeight="1">
      <c r="A8" s="283"/>
      <c r="B8" s="2216" t="s">
        <v>1652</v>
      </c>
      <c r="C8" s="2217"/>
      <c r="D8" s="2217"/>
      <c r="E8" s="2218"/>
      <c r="F8" s="1009" t="s">
        <v>1066</v>
      </c>
      <c r="G8" s="1007" t="s">
        <v>265</v>
      </c>
      <c r="H8" s="1008" t="s">
        <v>1448</v>
      </c>
      <c r="I8" s="1009" t="s">
        <v>1473</v>
      </c>
      <c r="J8" s="1009" t="s">
        <v>45</v>
      </c>
      <c r="K8" s="1009" t="s">
        <v>1474</v>
      </c>
    </row>
    <row r="9" spans="1:11" ht="12.75" customHeight="1">
      <c r="A9" s="879">
        <v>1</v>
      </c>
      <c r="B9" s="893">
        <v>1</v>
      </c>
      <c r="C9" s="887" t="str">
        <f>H41</f>
        <v>Tomahawk -Bendix Reconductor</v>
      </c>
      <c r="D9" s="887"/>
      <c r="E9" s="887"/>
      <c r="F9" s="882">
        <v>39387</v>
      </c>
      <c r="G9" s="901">
        <f>$I65</f>
        <v>868372</v>
      </c>
      <c r="H9" s="884">
        <f>'Actual Net Rev Req'!$H$47</f>
        <v>0.22819298110844924</v>
      </c>
      <c r="I9" s="901">
        <f t="shared" ref="I9:I19" si="0">ROUND(G9*H9,0)</f>
        <v>198156</v>
      </c>
      <c r="J9" s="886">
        <f>ROUND('A-9 (Act. Incentive Projects)'!O15,0)</f>
        <v>0</v>
      </c>
      <c r="K9" s="885">
        <f t="shared" ref="K9:K19" si="1">I9+J9</f>
        <v>198156</v>
      </c>
    </row>
    <row r="10" spans="1:11" ht="12.75" customHeight="1">
      <c r="A10" s="879">
        <f t="shared" ref="A10:A20" si="2">A9+1</f>
        <v>2</v>
      </c>
      <c r="B10" s="893">
        <v>2</v>
      </c>
      <c r="C10" s="887" t="str">
        <f>K41</f>
        <v>West Gardner Autotransformer</v>
      </c>
      <c r="D10" s="887"/>
      <c r="E10" s="887"/>
      <c r="F10" s="888">
        <v>39264</v>
      </c>
      <c r="G10" s="901">
        <f>$L65</f>
        <v>4235302</v>
      </c>
      <c r="H10" s="890">
        <f>'Actual Net Rev Req'!$H$47</f>
        <v>0.22819298110844924</v>
      </c>
      <c r="I10" s="901">
        <f t="shared" si="0"/>
        <v>966466</v>
      </c>
      <c r="J10" s="892">
        <f>'A-9 (Act. Incentive Projects)'!O16</f>
        <v>0</v>
      </c>
      <c r="K10" s="891">
        <f t="shared" si="1"/>
        <v>966466</v>
      </c>
    </row>
    <row r="11" spans="1:11" ht="12.75" customHeight="1">
      <c r="A11" s="879">
        <f t="shared" si="2"/>
        <v>3</v>
      </c>
      <c r="B11" s="893">
        <f t="shared" ref="B11:B15" si="3">B10+1</f>
        <v>3</v>
      </c>
      <c r="C11" s="887" t="str">
        <f>N41</f>
        <v>Stilwell-Antioch Reconductor</v>
      </c>
      <c r="D11" s="887"/>
      <c r="E11" s="887"/>
      <c r="F11" s="888">
        <v>39295</v>
      </c>
      <c r="G11" s="889">
        <f>$O65</f>
        <v>1861513</v>
      </c>
      <c r="H11" s="890">
        <f>'Actual Net Rev Req'!$H$47</f>
        <v>0.22819298110844924</v>
      </c>
      <c r="I11" s="889">
        <f t="shared" si="0"/>
        <v>424784</v>
      </c>
      <c r="J11" s="889">
        <f>'A-9 (Act. Incentive Projects)'!O16</f>
        <v>0</v>
      </c>
      <c r="K11" s="889">
        <f t="shared" si="1"/>
        <v>424784</v>
      </c>
    </row>
    <row r="12" spans="1:11" ht="12.75" customHeight="1">
      <c r="A12" s="879">
        <f t="shared" si="2"/>
        <v>4</v>
      </c>
      <c r="B12" s="893">
        <f t="shared" si="3"/>
        <v>4</v>
      </c>
      <c r="C12" s="887" t="str">
        <f>Q41</f>
        <v>South Waverly Capacitor Bank</v>
      </c>
      <c r="D12" s="887"/>
      <c r="E12" s="887"/>
      <c r="F12" s="888">
        <v>39326</v>
      </c>
      <c r="G12" s="889">
        <f>$R65</f>
        <v>565686</v>
      </c>
      <c r="H12" s="890">
        <f>'Actual Net Rev Req'!$H$47</f>
        <v>0.22819298110844924</v>
      </c>
      <c r="I12" s="889">
        <f t="shared" si="0"/>
        <v>129086</v>
      </c>
      <c r="J12" s="889">
        <f>'A-9 (Act. Incentive Projects)'!O17</f>
        <v>0</v>
      </c>
      <c r="K12" s="889">
        <f t="shared" si="1"/>
        <v>129086</v>
      </c>
    </row>
    <row r="13" spans="1:11" ht="12.75" customHeight="1">
      <c r="A13" s="879">
        <f t="shared" si="2"/>
        <v>5</v>
      </c>
      <c r="B13" s="893">
        <f t="shared" si="3"/>
        <v>5</v>
      </c>
      <c r="C13" s="887" t="str">
        <f>T41</f>
        <v>Antioch -Oxford Reconductor &amp; Switches</v>
      </c>
      <c r="D13" s="887"/>
      <c r="E13" s="887"/>
      <c r="F13" s="888">
        <v>39753</v>
      </c>
      <c r="G13" s="889">
        <f>$U65</f>
        <v>1250807</v>
      </c>
      <c r="H13" s="890">
        <f>'Actual Net Rev Req'!$H$47</f>
        <v>0.22819298110844924</v>
      </c>
      <c r="I13" s="889">
        <f t="shared" si="0"/>
        <v>285425</v>
      </c>
      <c r="J13" s="889">
        <f>'A-9 (Act. Incentive Projects)'!O18</f>
        <v>0</v>
      </c>
      <c r="K13" s="889">
        <f t="shared" si="1"/>
        <v>285425</v>
      </c>
    </row>
    <row r="14" spans="1:11" ht="12.75" customHeight="1">
      <c r="A14" s="879">
        <f t="shared" si="2"/>
        <v>6</v>
      </c>
      <c r="B14" s="893">
        <f t="shared" si="3"/>
        <v>6</v>
      </c>
      <c r="C14" s="887" t="str">
        <f>W41</f>
        <v>Craig -College Base Plan Part of Accel Upgrade</v>
      </c>
      <c r="D14" s="887"/>
      <c r="E14" s="887"/>
      <c r="F14" s="888">
        <v>39873</v>
      </c>
      <c r="G14" s="889">
        <f>$X65</f>
        <v>387096</v>
      </c>
      <c r="H14" s="890">
        <f>'Actual Net Rev Req'!$H$47</f>
        <v>0.22819298110844924</v>
      </c>
      <c r="I14" s="889">
        <f t="shared" si="0"/>
        <v>88333</v>
      </c>
      <c r="J14" s="889">
        <f>'A-9 (Act. Incentive Projects)'!O19</f>
        <v>0</v>
      </c>
      <c r="K14" s="889">
        <f t="shared" si="1"/>
        <v>88333</v>
      </c>
    </row>
    <row r="15" spans="1:11" ht="12.75" customHeight="1">
      <c r="A15" s="879">
        <f>A14+1</f>
        <v>7</v>
      </c>
      <c r="B15" s="893">
        <f t="shared" si="3"/>
        <v>7</v>
      </c>
      <c r="C15" s="887" t="str">
        <f>Z41</f>
        <v>Mayview Line Terminal</v>
      </c>
      <c r="D15" s="887"/>
      <c r="E15" s="887"/>
      <c r="F15" s="888">
        <v>40617</v>
      </c>
      <c r="G15" s="889">
        <f>$AA65</f>
        <v>41135</v>
      </c>
      <c r="H15" s="890">
        <f>'Actual Net Rev Req'!$H$47</f>
        <v>0.22819298110844924</v>
      </c>
      <c r="I15" s="889">
        <f>ROUND(G15*H15,0)</f>
        <v>9387</v>
      </c>
      <c r="J15" s="889">
        <f>'A-9 (Act. Incentive Projects)'!O20</f>
        <v>0</v>
      </c>
      <c r="K15" s="889">
        <f>I15+J15</f>
        <v>9387</v>
      </c>
    </row>
    <row r="16" spans="1:11" ht="12.75" customHeight="1">
      <c r="A16" s="1574" t="s">
        <v>1854</v>
      </c>
      <c r="B16" s="893">
        <v>8</v>
      </c>
      <c r="C16" s="887" t="str">
        <f>AC41</f>
        <v>Craig Sub 161kV Capacitor</v>
      </c>
      <c r="D16" s="887"/>
      <c r="E16" s="887"/>
      <c r="F16" s="888">
        <v>40814</v>
      </c>
      <c r="G16" s="889">
        <f>$AD65</f>
        <v>1449017</v>
      </c>
      <c r="H16" s="890">
        <f>'Actual Net Rev Req'!$H$47</f>
        <v>0.22819298110844924</v>
      </c>
      <c r="I16" s="889">
        <f t="shared" si="0"/>
        <v>330656</v>
      </c>
      <c r="J16" s="889">
        <f>'A-9 (Act. Incentive Projects)'!O20</f>
        <v>0</v>
      </c>
      <c r="K16" s="889">
        <f t="shared" si="1"/>
        <v>330656</v>
      </c>
    </row>
    <row r="17" spans="1:11" ht="12.75" customHeight="1">
      <c r="A17" s="879" t="s">
        <v>1855</v>
      </c>
      <c r="B17" s="893">
        <f>B16+1</f>
        <v>9</v>
      </c>
      <c r="C17" s="887" t="str">
        <f>AF41</f>
        <v xml:space="preserve"> Loma Vista E.-Winchester Jct -161kV</v>
      </c>
      <c r="D17" s="887"/>
      <c r="E17" s="887"/>
      <c r="F17" s="888">
        <v>41255</v>
      </c>
      <c r="G17" s="889">
        <f>AG65</f>
        <v>13548</v>
      </c>
      <c r="H17" s="890">
        <f>'Actual Net Rev Req'!$H$47</f>
        <v>0.22819298110844924</v>
      </c>
      <c r="I17" s="889">
        <f t="shared" ref="I17:I18" si="4">ROUND(G17*H17,0)</f>
        <v>3092</v>
      </c>
      <c r="J17" s="889">
        <f>'A-9 (Act. Incentive Projects)'!O21</f>
        <v>0</v>
      </c>
      <c r="K17" s="889">
        <f t="shared" ref="K17:K18" si="5">I17+J17</f>
        <v>3092</v>
      </c>
    </row>
    <row r="18" spans="1:11" ht="12.75" customHeight="1">
      <c r="A18" s="879" t="s">
        <v>1856</v>
      </c>
      <c r="B18" s="893">
        <f>B17+1</f>
        <v>10</v>
      </c>
      <c r="C18" s="887" t="str">
        <f>AI41</f>
        <v xml:space="preserve"> W. Gardner Line Terminals</v>
      </c>
      <c r="D18" s="887"/>
      <c r="E18" s="887"/>
      <c r="F18" s="888">
        <v>41255</v>
      </c>
      <c r="G18" s="889">
        <f>AJ65</f>
        <v>35217</v>
      </c>
      <c r="H18" s="890">
        <f>'Actual Net Rev Req'!$H$47</f>
        <v>0.22819298110844924</v>
      </c>
      <c r="I18" s="889">
        <f t="shared" si="4"/>
        <v>8036</v>
      </c>
      <c r="J18" s="889">
        <f>'A-9 (Act. Incentive Projects)'!O22</f>
        <v>0</v>
      </c>
      <c r="K18" s="889">
        <f t="shared" si="5"/>
        <v>8036</v>
      </c>
    </row>
    <row r="19" spans="1:11" ht="12.75" customHeight="1">
      <c r="A19" s="879">
        <f>A15+1</f>
        <v>8</v>
      </c>
      <c r="B19" s="930">
        <f>B18+1</f>
        <v>11</v>
      </c>
      <c r="C19" s="357"/>
      <c r="D19" s="932"/>
      <c r="E19" s="932"/>
      <c r="F19" s="357"/>
      <c r="G19" s="933">
        <f>AA62</f>
        <v>0</v>
      </c>
      <c r="H19" s="934">
        <f>'Actual Net Rev Req'!$H$47</f>
        <v>0.22819298110844924</v>
      </c>
      <c r="I19" s="935">
        <f t="shared" si="0"/>
        <v>0</v>
      </c>
      <c r="J19" s="1307">
        <f>'A-9 (Act. Incentive Projects)'!O21</f>
        <v>0</v>
      </c>
      <c r="K19" s="1307">
        <f t="shared" si="1"/>
        <v>0</v>
      </c>
    </row>
    <row r="20" spans="1:11" ht="12.75" customHeight="1">
      <c r="A20" s="879">
        <f t="shared" si="2"/>
        <v>9</v>
      </c>
      <c r="B20" s="896" t="s">
        <v>1475</v>
      </c>
      <c r="C20" s="897"/>
      <c r="D20" s="897"/>
      <c r="E20" s="897"/>
      <c r="F20" s="433"/>
      <c r="G20" s="895">
        <f>SUM(G9:G19)</f>
        <v>10707693</v>
      </c>
      <c r="H20" s="895"/>
      <c r="I20" s="895">
        <f>SUM(I9:I19)</f>
        <v>2443421</v>
      </c>
      <c r="J20" s="895">
        <f>SUM(J9:J19)</f>
        <v>0</v>
      </c>
      <c r="K20" s="895">
        <f>SUM(K9:K19)</f>
        <v>2443421</v>
      </c>
    </row>
    <row r="21" spans="1:11" ht="12.75" customHeight="1">
      <c r="A21" s="879"/>
      <c r="B21" s="116"/>
      <c r="C21" s="116"/>
      <c r="D21" s="116"/>
      <c r="E21" s="116"/>
      <c r="F21" s="88"/>
      <c r="G21" s="88"/>
      <c r="H21" s="88"/>
      <c r="I21" s="88"/>
      <c r="J21" s="88"/>
      <c r="K21" s="88"/>
    </row>
    <row r="22" spans="1:11" ht="60" customHeight="1">
      <c r="A22" s="879"/>
      <c r="B22" s="2216" t="s">
        <v>1654</v>
      </c>
      <c r="C22" s="2217"/>
      <c r="D22" s="2217"/>
      <c r="E22" s="2218"/>
      <c r="F22" s="1009" t="s">
        <v>1066</v>
      </c>
      <c r="G22" s="1007" t="s">
        <v>265</v>
      </c>
      <c r="H22" s="1008" t="s">
        <v>1448</v>
      </c>
      <c r="I22" s="1009" t="s">
        <v>1473</v>
      </c>
      <c r="J22" s="1009" t="s">
        <v>45</v>
      </c>
      <c r="K22" s="1009" t="s">
        <v>1474</v>
      </c>
    </row>
    <row r="23" spans="1:11" ht="12.75" customHeight="1">
      <c r="A23" s="879">
        <f>A20+1</f>
        <v>10</v>
      </c>
      <c r="B23" s="893">
        <v>1</v>
      </c>
      <c r="C23" s="887"/>
      <c r="D23" s="887"/>
      <c r="E23" s="887"/>
      <c r="F23" s="894">
        <v>0</v>
      </c>
      <c r="G23" s="901">
        <f>I114</f>
        <v>0</v>
      </c>
      <c r="H23" s="890">
        <f>'Actual Net Rev Req'!$H$47</f>
        <v>0.22819298110844924</v>
      </c>
      <c r="I23" s="901">
        <f>ROUND(G23*H23,0)</f>
        <v>0</v>
      </c>
      <c r="J23" s="886">
        <f>'A-9 (Act. Incentive Projects)'!O31</f>
        <v>0</v>
      </c>
      <c r="K23" s="891">
        <f>I23+J23</f>
        <v>0</v>
      </c>
    </row>
    <row r="24" spans="1:11" ht="12.75" customHeight="1">
      <c r="A24" s="879">
        <f>A23+1</f>
        <v>11</v>
      </c>
      <c r="B24" s="893">
        <v>2</v>
      </c>
      <c r="C24" s="887"/>
      <c r="D24" s="887"/>
      <c r="E24" s="887"/>
      <c r="F24" s="894">
        <v>0</v>
      </c>
      <c r="G24" s="901">
        <f>L114</f>
        <v>0</v>
      </c>
      <c r="H24" s="890">
        <f>'Actual Net Rev Req'!$H$47</f>
        <v>0.22819298110844924</v>
      </c>
      <c r="I24" s="901">
        <f>ROUND(G24*H24,0)</f>
        <v>0</v>
      </c>
      <c r="J24" s="892">
        <f>'A-9 (Act. Incentive Projects)'!O32</f>
        <v>0</v>
      </c>
      <c r="K24" s="891">
        <f>I24+J24</f>
        <v>0</v>
      </c>
    </row>
    <row r="25" spans="1:11" ht="12.75" customHeight="1">
      <c r="A25" s="879">
        <f>A24+1</f>
        <v>12</v>
      </c>
      <c r="B25" s="930">
        <v>3</v>
      </c>
      <c r="C25" s="932"/>
      <c r="D25" s="932"/>
      <c r="E25" s="932"/>
      <c r="F25" s="936">
        <v>0</v>
      </c>
      <c r="G25" s="1308">
        <f>O114</f>
        <v>0</v>
      </c>
      <c r="H25" s="934">
        <f>'Actual Net Rev Req'!$H$47</f>
        <v>0.22819298110844924</v>
      </c>
      <c r="I25" s="1308">
        <f>ROUND(G25*H25,0)</f>
        <v>0</v>
      </c>
      <c r="J25" s="1309">
        <f>'A-9 (Act. Incentive Projects)'!O33</f>
        <v>0</v>
      </c>
      <c r="K25" s="1310">
        <f>I25+J25</f>
        <v>0</v>
      </c>
    </row>
    <row r="26" spans="1:11" ht="12.75" customHeight="1">
      <c r="A26" s="879">
        <f>A25+1</f>
        <v>13</v>
      </c>
      <c r="B26" s="896" t="s">
        <v>1018</v>
      </c>
      <c r="C26" s="897"/>
      <c r="D26" s="897"/>
      <c r="E26" s="897"/>
      <c r="F26" s="899"/>
      <c r="G26" s="900">
        <f>SUM(G23:G25)</f>
        <v>0</v>
      </c>
      <c r="H26" s="895"/>
      <c r="I26" s="900">
        <f>SUM(I23:I25)</f>
        <v>0</v>
      </c>
      <c r="J26" s="900">
        <f>SUM(J23:J25)</f>
        <v>0</v>
      </c>
      <c r="K26" s="900">
        <f>SUM(K23:K25)</f>
        <v>0</v>
      </c>
    </row>
    <row r="27" spans="1:11" ht="12.75" customHeight="1">
      <c r="A27" s="879"/>
      <c r="B27" s="116"/>
      <c r="C27" s="116"/>
      <c r="D27" s="116"/>
      <c r="E27" s="116"/>
      <c r="F27" s="902"/>
      <c r="G27" s="88"/>
      <c r="H27" s="88"/>
      <c r="I27" s="88"/>
      <c r="J27" s="88"/>
      <c r="K27" s="88"/>
    </row>
    <row r="28" spans="1:11" ht="60" customHeight="1">
      <c r="A28" s="879"/>
      <c r="B28" s="2216" t="s">
        <v>1655</v>
      </c>
      <c r="C28" s="2217"/>
      <c r="D28" s="2217"/>
      <c r="E28" s="2218"/>
      <c r="F28" s="1009" t="s">
        <v>1066</v>
      </c>
      <c r="G28" s="1007" t="s">
        <v>265</v>
      </c>
      <c r="H28" s="1008" t="s">
        <v>1448</v>
      </c>
      <c r="I28" s="1009" t="s">
        <v>1473</v>
      </c>
      <c r="J28" s="1009" t="s">
        <v>45</v>
      </c>
      <c r="K28" s="1009" t="s">
        <v>1474</v>
      </c>
    </row>
    <row r="29" spans="1:11" ht="12.75" customHeight="1">
      <c r="A29" s="879">
        <f>A26+1</f>
        <v>14</v>
      </c>
      <c r="B29" s="893">
        <v>1</v>
      </c>
      <c r="C29" s="887"/>
      <c r="D29" s="887"/>
      <c r="E29" s="887"/>
      <c r="F29" s="894">
        <v>0</v>
      </c>
      <c r="G29" s="901">
        <f>$I166</f>
        <v>0</v>
      </c>
      <c r="H29" s="890">
        <f>'Actual Net Rev Req'!$H$47</f>
        <v>0.22819298110844924</v>
      </c>
      <c r="I29" s="901">
        <f>ROUND(G29*H29,0)</f>
        <v>0</v>
      </c>
      <c r="J29" s="886">
        <f>'A-9 (Act. Incentive Projects)'!O37</f>
        <v>0</v>
      </c>
      <c r="K29" s="891">
        <f>I29+J29</f>
        <v>0</v>
      </c>
    </row>
    <row r="30" spans="1:11" ht="12.75" customHeight="1">
      <c r="A30" s="879">
        <f>A29+1</f>
        <v>15</v>
      </c>
      <c r="B30" s="893">
        <v>2</v>
      </c>
      <c r="C30" s="887"/>
      <c r="D30" s="887"/>
      <c r="E30" s="887"/>
      <c r="F30" s="894">
        <v>0</v>
      </c>
      <c r="G30" s="901">
        <f>$L166</f>
        <v>0</v>
      </c>
      <c r="H30" s="890">
        <f>'Actual Net Rev Req'!$H$47</f>
        <v>0.22819298110844924</v>
      </c>
      <c r="I30" s="901">
        <f>ROUND(G30*H30,0)</f>
        <v>0</v>
      </c>
      <c r="J30" s="892">
        <f>'A-9 (Act. Incentive Projects)'!O38</f>
        <v>0</v>
      </c>
      <c r="K30" s="891">
        <f>I30+J30</f>
        <v>0</v>
      </c>
    </row>
    <row r="31" spans="1:11" ht="12.75" customHeight="1">
      <c r="A31" s="879">
        <f>A30+1</f>
        <v>16</v>
      </c>
      <c r="B31" s="930">
        <v>3</v>
      </c>
      <c r="C31" s="932"/>
      <c r="D31" s="932"/>
      <c r="E31" s="932"/>
      <c r="F31" s="936">
        <v>0</v>
      </c>
      <c r="G31" s="1308">
        <f>$O166</f>
        <v>0</v>
      </c>
      <c r="H31" s="934">
        <f>'Actual Net Rev Req'!$H$47</f>
        <v>0.22819298110844924</v>
      </c>
      <c r="I31" s="1308">
        <f>ROUND(G31*H31,0)</f>
        <v>0</v>
      </c>
      <c r="J31" s="1309">
        <f>'A-9 (Act. Incentive Projects)'!O39</f>
        <v>0</v>
      </c>
      <c r="K31" s="1310">
        <f>I31+J31</f>
        <v>0</v>
      </c>
    </row>
    <row r="32" spans="1:11" ht="12.75" customHeight="1">
      <c r="A32" s="879">
        <f>A31+1</f>
        <v>17</v>
      </c>
      <c r="B32" s="896" t="s">
        <v>1018</v>
      </c>
      <c r="C32" s="897"/>
      <c r="D32" s="897"/>
      <c r="E32" s="897"/>
      <c r="F32" s="899"/>
      <c r="G32" s="900">
        <f>SUM(G29:G31)</f>
        <v>0</v>
      </c>
      <c r="H32" s="895"/>
      <c r="I32" s="900">
        <f>SUM(I29:I31)</f>
        <v>0</v>
      </c>
      <c r="J32" s="900">
        <f>SUM(J29:J31)</f>
        <v>0</v>
      </c>
      <c r="K32" s="900">
        <f>SUM(K29:K31)</f>
        <v>0</v>
      </c>
    </row>
    <row r="33" spans="1:39" ht="12.75" customHeight="1">
      <c r="A33" s="283"/>
      <c r="B33" s="116"/>
      <c r="C33" s="116"/>
      <c r="D33" s="116"/>
      <c r="E33" s="116"/>
      <c r="F33" s="902"/>
      <c r="G33" s="88"/>
      <c r="H33" s="88"/>
      <c r="I33" s="88"/>
      <c r="J33" s="88"/>
      <c r="K33" s="88"/>
    </row>
    <row r="34" spans="1:39" ht="60" customHeight="1">
      <c r="A34" s="283"/>
      <c r="B34" s="2216" t="s">
        <v>1656</v>
      </c>
      <c r="C34" s="2217"/>
      <c r="D34" s="2217"/>
      <c r="E34" s="2218"/>
      <c r="F34" s="1009" t="s">
        <v>1066</v>
      </c>
      <c r="G34" s="1007" t="s">
        <v>265</v>
      </c>
      <c r="H34" s="1008" t="s">
        <v>1448</v>
      </c>
      <c r="I34" s="1009" t="s">
        <v>1473</v>
      </c>
      <c r="J34" s="1009" t="s">
        <v>9</v>
      </c>
      <c r="K34" s="1009" t="s">
        <v>1474</v>
      </c>
    </row>
    <row r="35" spans="1:39" ht="12.75" customHeight="1">
      <c r="A35" s="879">
        <f>A32+1</f>
        <v>18</v>
      </c>
      <c r="B35" s="893">
        <v>1</v>
      </c>
      <c r="C35" s="887"/>
      <c r="D35" s="887"/>
      <c r="E35" s="887"/>
      <c r="F35" s="894">
        <v>0</v>
      </c>
      <c r="G35" s="901">
        <f>$I217</f>
        <v>0</v>
      </c>
      <c r="H35" s="890">
        <f>'Actual Net Rev Req'!$H$47</f>
        <v>0.22819298110844924</v>
      </c>
      <c r="I35" s="901">
        <f>ROUND(G35*H35,0)</f>
        <v>0</v>
      </c>
      <c r="J35" s="886">
        <f>'A-9 (Act. Incentive Projects)'!O43</f>
        <v>0</v>
      </c>
      <c r="K35" s="891">
        <f>I35+J35</f>
        <v>0</v>
      </c>
    </row>
    <row r="36" spans="1:39" ht="12.75" customHeight="1">
      <c r="A36" s="879">
        <f>A35+1</f>
        <v>19</v>
      </c>
      <c r="B36" s="893">
        <v>2</v>
      </c>
      <c r="C36" s="887"/>
      <c r="D36" s="887"/>
      <c r="E36" s="887"/>
      <c r="F36" s="894">
        <v>0</v>
      </c>
      <c r="G36" s="901">
        <f>$L217</f>
        <v>0</v>
      </c>
      <c r="H36" s="890">
        <f>'Actual Net Rev Req'!$H$47</f>
        <v>0.22819298110844924</v>
      </c>
      <c r="I36" s="901">
        <f>ROUND(G36*H36,0)</f>
        <v>0</v>
      </c>
      <c r="J36" s="892">
        <f>'A-9 (Act. Incentive Projects)'!O44</f>
        <v>0</v>
      </c>
      <c r="K36" s="891">
        <f>I36+J36</f>
        <v>0</v>
      </c>
    </row>
    <row r="37" spans="1:39" ht="12.75" customHeight="1">
      <c r="A37" s="879">
        <f>A36+1</f>
        <v>20</v>
      </c>
      <c r="B37" s="930">
        <v>3</v>
      </c>
      <c r="C37" s="932"/>
      <c r="D37" s="932"/>
      <c r="E37" s="932"/>
      <c r="F37" s="936">
        <v>0</v>
      </c>
      <c r="G37" s="1308">
        <f>$O217</f>
        <v>0</v>
      </c>
      <c r="H37" s="934">
        <f>'Actual Net Rev Req'!$H$47</f>
        <v>0.22819298110844924</v>
      </c>
      <c r="I37" s="1308">
        <f>ROUND(G37*H37,0)</f>
        <v>0</v>
      </c>
      <c r="J37" s="1309">
        <f>'A-9 (Act. Incentive Projects)'!O45</f>
        <v>0</v>
      </c>
      <c r="K37" s="1310">
        <f>I37+J37</f>
        <v>0</v>
      </c>
      <c r="M37" s="1975">
        <f>(11393209/389748412)/12</f>
        <v>2.4360178363814176E-3</v>
      </c>
    </row>
    <row r="38" spans="1:39" ht="12.75" customHeight="1">
      <c r="A38" s="879">
        <f>A37+1</f>
        <v>21</v>
      </c>
      <c r="B38" s="896" t="s">
        <v>1018</v>
      </c>
      <c r="C38" s="897"/>
      <c r="D38" s="897"/>
      <c r="E38" s="897"/>
      <c r="F38" s="895"/>
      <c r="G38" s="900">
        <f>SUM(G35:G37)</f>
        <v>0</v>
      </c>
      <c r="H38" s="895"/>
      <c r="I38" s="900">
        <f>SUM(I35:I37)</f>
        <v>0</v>
      </c>
      <c r="J38" s="900">
        <f>SUM(J35:J37)</f>
        <v>0</v>
      </c>
      <c r="K38" s="900">
        <f>SUM(K35:K37)</f>
        <v>0</v>
      </c>
    </row>
    <row r="39" spans="1:39" ht="10.5" customHeight="1">
      <c r="A39" s="283"/>
      <c r="B39" s="336"/>
      <c r="C39" s="336"/>
      <c r="D39" s="336"/>
      <c r="E39" s="336"/>
      <c r="F39" s="88"/>
      <c r="G39" s="88"/>
      <c r="H39" s="88"/>
      <c r="I39" s="88"/>
      <c r="J39" s="88"/>
      <c r="K39" s="88"/>
    </row>
    <row r="40" spans="1:39" ht="18">
      <c r="A40" s="727" t="s">
        <v>113</v>
      </c>
      <c r="B40" s="135"/>
      <c r="C40" s="135"/>
      <c r="D40" s="135"/>
      <c r="E40" s="961"/>
      <c r="J40" s="2193" t="s">
        <v>169</v>
      </c>
      <c r="K40" s="2193"/>
      <c r="M40" s="1100"/>
      <c r="O40" s="118" t="s">
        <v>1242</v>
      </c>
      <c r="S40" s="2193" t="s">
        <v>170</v>
      </c>
      <c r="T40" s="2193"/>
      <c r="Y40" s="1100"/>
      <c r="AA40" s="118" t="s">
        <v>1241</v>
      </c>
      <c r="AC40" s="2193" t="s">
        <v>1801</v>
      </c>
      <c r="AD40" s="2193"/>
      <c r="AG40" s="118" t="s">
        <v>1240</v>
      </c>
    </row>
    <row r="41" spans="1:39" ht="42.75" customHeight="1">
      <c r="A41" s="120">
        <v>1</v>
      </c>
      <c r="G41" s="565" t="s">
        <v>623</v>
      </c>
      <c r="H41" s="2219" t="s">
        <v>1651</v>
      </c>
      <c r="I41" s="2220"/>
      <c r="J41" s="565" t="s">
        <v>623</v>
      </c>
      <c r="K41" s="2219" t="s">
        <v>1132</v>
      </c>
      <c r="L41" s="2220"/>
      <c r="M41" s="565" t="s">
        <v>623</v>
      </c>
      <c r="N41" s="2219" t="s">
        <v>42</v>
      </c>
      <c r="O41" s="2220"/>
      <c r="P41" s="565" t="s">
        <v>623</v>
      </c>
      <c r="Q41" s="2219" t="s">
        <v>1182</v>
      </c>
      <c r="R41" s="2220"/>
      <c r="S41" s="565" t="s">
        <v>623</v>
      </c>
      <c r="T41" s="2219" t="s">
        <v>1665</v>
      </c>
      <c r="U41" s="2220"/>
      <c r="V41" s="565" t="s">
        <v>623</v>
      </c>
      <c r="W41" s="2219" t="s">
        <v>1664</v>
      </c>
      <c r="X41" s="2220"/>
      <c r="Y41" s="565" t="s">
        <v>623</v>
      </c>
      <c r="Z41" s="522" t="s">
        <v>1800</v>
      </c>
      <c r="AA41" s="527"/>
      <c r="AB41" s="565" t="s">
        <v>623</v>
      </c>
      <c r="AC41" s="522" t="s">
        <v>1799</v>
      </c>
      <c r="AD41" s="527"/>
      <c r="AE41" s="565" t="s">
        <v>623</v>
      </c>
      <c r="AF41" s="1779" t="s">
        <v>1852</v>
      </c>
      <c r="AG41" s="527"/>
      <c r="AH41" s="565" t="s">
        <v>623</v>
      </c>
      <c r="AI41" s="1779" t="s">
        <v>1853</v>
      </c>
      <c r="AJ41" s="527"/>
      <c r="AK41" s="565" t="s">
        <v>623</v>
      </c>
      <c r="AL41" s="522"/>
      <c r="AM41" s="527"/>
    </row>
    <row r="42" spans="1:39">
      <c r="A42" s="120">
        <f>A41+1</f>
        <v>2</v>
      </c>
      <c r="G42" s="134" t="s">
        <v>632</v>
      </c>
      <c r="H42" s="123"/>
      <c r="I42" s="526"/>
      <c r="J42" s="134" t="s">
        <v>632</v>
      </c>
      <c r="K42" s="123"/>
      <c r="L42" s="526"/>
      <c r="M42" s="134" t="s">
        <v>632</v>
      </c>
      <c r="N42" s="123"/>
      <c r="O42" s="526"/>
      <c r="P42" s="134" t="s">
        <v>632</v>
      </c>
      <c r="Q42" s="123"/>
      <c r="R42" s="526"/>
      <c r="S42" s="134" t="s">
        <v>632</v>
      </c>
      <c r="T42" s="123"/>
      <c r="U42" s="526"/>
      <c r="V42" s="134" t="s">
        <v>632</v>
      </c>
      <c r="W42" s="123"/>
      <c r="X42" s="526"/>
      <c r="Y42" s="134" t="s">
        <v>632</v>
      </c>
      <c r="Z42" s="123"/>
      <c r="AA42" s="526"/>
      <c r="AB42" s="134" t="s">
        <v>632</v>
      </c>
      <c r="AC42" s="123"/>
      <c r="AD42" s="526"/>
      <c r="AE42" s="134" t="s">
        <v>632</v>
      </c>
      <c r="AF42" s="123"/>
      <c r="AG42" s="526"/>
      <c r="AH42" s="134" t="s">
        <v>632</v>
      </c>
      <c r="AI42" s="123"/>
      <c r="AJ42" s="526"/>
      <c r="AK42" s="134" t="s">
        <v>632</v>
      </c>
      <c r="AL42" s="123"/>
      <c r="AM42" s="526"/>
    </row>
    <row r="43" spans="1:39" ht="44.25" customHeight="1">
      <c r="A43" s="120">
        <f t="shared" ref="A43:A90" si="6">A42+1</f>
        <v>3</v>
      </c>
      <c r="C43" s="88"/>
      <c r="D43" s="1761"/>
      <c r="E43" s="1761"/>
      <c r="F43" s="88"/>
      <c r="G43" s="1762" t="s">
        <v>1351</v>
      </c>
      <c r="H43" s="1763" t="s">
        <v>897</v>
      </c>
      <c r="I43" s="1764" t="s">
        <v>1353</v>
      </c>
      <c r="J43" s="1762" t="s">
        <v>1351</v>
      </c>
      <c r="K43" s="1763" t="s">
        <v>897</v>
      </c>
      <c r="L43" s="1764" t="s">
        <v>1353</v>
      </c>
      <c r="M43" s="1762" t="s">
        <v>1351</v>
      </c>
      <c r="N43" s="1763" t="s">
        <v>1513</v>
      </c>
      <c r="O43" s="1764" t="s">
        <v>1353</v>
      </c>
      <c r="P43" s="1762" t="s">
        <v>1351</v>
      </c>
      <c r="Q43" s="1763" t="s">
        <v>1851</v>
      </c>
      <c r="R43" s="1764" t="s">
        <v>1353</v>
      </c>
      <c r="S43" s="1762" t="s">
        <v>1351</v>
      </c>
      <c r="T43" s="1763" t="s">
        <v>1850</v>
      </c>
      <c r="U43" s="1764" t="s">
        <v>1353</v>
      </c>
      <c r="V43" s="1762" t="s">
        <v>1351</v>
      </c>
      <c r="W43" s="1763" t="s">
        <v>1850</v>
      </c>
      <c r="X43" s="1764" t="s">
        <v>1353</v>
      </c>
      <c r="Y43" s="1762" t="s">
        <v>1351</v>
      </c>
      <c r="Z43" s="1763" t="s">
        <v>1850</v>
      </c>
      <c r="AA43" s="1764" t="s">
        <v>1353</v>
      </c>
      <c r="AB43" s="1762" t="s">
        <v>1351</v>
      </c>
      <c r="AC43" s="1763" t="s">
        <v>1850</v>
      </c>
      <c r="AD43" s="1764" t="s">
        <v>1353</v>
      </c>
      <c r="AE43" s="1762" t="s">
        <v>1351</v>
      </c>
      <c r="AF43" s="1763" t="s">
        <v>1850</v>
      </c>
      <c r="AG43" s="1764" t="s">
        <v>1353</v>
      </c>
      <c r="AH43" s="1762" t="s">
        <v>1351</v>
      </c>
      <c r="AI43" s="1763" t="s">
        <v>1850</v>
      </c>
      <c r="AJ43" s="1764" t="s">
        <v>1353</v>
      </c>
      <c r="AK43" s="1762" t="s">
        <v>1351</v>
      </c>
      <c r="AL43" s="1763" t="s">
        <v>897</v>
      </c>
      <c r="AM43" s="1764" t="s">
        <v>1353</v>
      </c>
    </row>
    <row r="44" spans="1:39">
      <c r="A44" s="120">
        <f t="shared" si="6"/>
        <v>4</v>
      </c>
      <c r="C44" s="88"/>
      <c r="D44" s="88" t="s">
        <v>1354</v>
      </c>
      <c r="E44" s="88" t="s">
        <v>1355</v>
      </c>
      <c r="F44" s="344"/>
      <c r="G44" s="1768">
        <v>983252</v>
      </c>
      <c r="H44" s="88"/>
      <c r="I44" s="88"/>
      <c r="J44" s="1768">
        <v>4845745</v>
      </c>
      <c r="K44" s="88"/>
      <c r="L44" s="88"/>
      <c r="M44" s="1768">
        <v>2122148</v>
      </c>
      <c r="N44" s="88"/>
      <c r="O44" s="88"/>
      <c r="P44" s="1768">
        <v>641927</v>
      </c>
      <c r="Q44" s="88"/>
      <c r="R44" s="88"/>
      <c r="S44" s="1768">
        <v>1370530</v>
      </c>
      <c r="T44" s="88"/>
      <c r="U44" s="88"/>
      <c r="V44" s="1768">
        <v>416249</v>
      </c>
      <c r="W44" s="88"/>
      <c r="X44" s="88"/>
      <c r="Y44" s="1768">
        <v>42111</v>
      </c>
      <c r="Z44" s="88"/>
      <c r="AA44" s="88"/>
      <c r="AB44" s="1768">
        <v>1469151</v>
      </c>
      <c r="AC44" s="88"/>
      <c r="AD44" s="88"/>
      <c r="AE44" s="1768">
        <v>0</v>
      </c>
      <c r="AF44" s="88"/>
      <c r="AG44" s="88"/>
      <c r="AH44" s="1768">
        <v>0</v>
      </c>
      <c r="AI44" s="88"/>
      <c r="AJ44" s="88"/>
      <c r="AK44" s="1768">
        <v>0</v>
      </c>
      <c r="AL44" s="88"/>
      <c r="AM44" s="88"/>
    </row>
    <row r="45" spans="1:39">
      <c r="A45" s="120">
        <f t="shared" si="6"/>
        <v>5</v>
      </c>
      <c r="C45" s="88"/>
      <c r="D45" s="88" t="s">
        <v>1356</v>
      </c>
      <c r="E45" s="88" t="s">
        <v>674</v>
      </c>
      <c r="F45" s="344"/>
      <c r="G45" s="1768">
        <f>+G44</f>
        <v>983252</v>
      </c>
      <c r="H45" s="177">
        <f>(IF('Actual Gross Rev Req'!$H$16=0,0,'Actual Gross Rev Req'!$H$92/'Actual Gross Rev Req'!$H$16)/12)</f>
        <v>1.4936180092078701E-3</v>
      </c>
      <c r="I45" s="171">
        <f t="shared" ref="I45:I56" si="7">+H45*G44</f>
        <v>1468.6028947896566</v>
      </c>
      <c r="J45" s="1768">
        <f>+J44</f>
        <v>4845745</v>
      </c>
      <c r="K45" s="177">
        <f>(IF('Actual Gross Rev Req'!$H$16=0,0,'Actual Gross Rev Req'!$H$92/'Actual Gross Rev Req'!$H$16)/12)</f>
        <v>1.4936180092078701E-3</v>
      </c>
      <c r="L45" s="171">
        <f t="shared" ref="L45:L56" si="8">+K45*J44</f>
        <v>7237.6920000289902</v>
      </c>
      <c r="M45" s="1768">
        <v>2122148</v>
      </c>
      <c r="N45" s="177">
        <f>(IF('Actual Gross Rev Req'!$H$16=0,0,'Actual Gross Rev Req'!$H$92/'Actual Gross Rev Req'!$H$16)/12)</f>
        <v>1.4936180092078701E-3</v>
      </c>
      <c r="O45" s="171">
        <f t="shared" ref="O45:O56" si="9">+N45*M44</f>
        <v>3169.6784710044631</v>
      </c>
      <c r="P45" s="1768">
        <v>641927</v>
      </c>
      <c r="Q45" s="177">
        <f>(IF('Actual Gross Rev Req'!$H$16=0,0,'Actual Gross Rev Req'!$H$92/'Actual Gross Rev Req'!$H$16)/12)</f>
        <v>1.4936180092078701E-3</v>
      </c>
      <c r="R45" s="171">
        <f t="shared" ref="R45:R56" si="10">+Q45*P44</f>
        <v>958.79372779678044</v>
      </c>
      <c r="S45" s="1768">
        <v>1370530</v>
      </c>
      <c r="T45" s="177">
        <f>(IF('Actual Gross Rev Req'!$H$16=0,0,'Actual Gross Rev Req'!$H$92/'Actual Gross Rev Req'!$H$16)/12)</f>
        <v>1.4936180092078701E-3</v>
      </c>
      <c r="U45" s="171">
        <f t="shared" ref="U45:U56" si="11">+T45*S44</f>
        <v>2047.0482901596622</v>
      </c>
      <c r="V45" s="1768">
        <v>416249</v>
      </c>
      <c r="W45" s="177">
        <f>(IF('Actual Gross Rev Req'!$H$16=0,0,'Actual Gross Rev Req'!$H$92/'Actual Gross Rev Req'!$H$16)/12)</f>
        <v>1.4936180092078701E-3</v>
      </c>
      <c r="X45" s="171">
        <f t="shared" ref="X45:X56" si="12">+W45*V44</f>
        <v>621.71700271476675</v>
      </c>
      <c r="Y45" s="1768">
        <v>42111</v>
      </c>
      <c r="Z45" s="177">
        <f>(IF('Actual Gross Rev Req'!$H$16=0,0,'Actual Gross Rev Req'!$H$92/'Actual Gross Rev Req'!$H$16)/12)</f>
        <v>1.4936180092078701E-3</v>
      </c>
      <c r="AA45" s="171">
        <f t="shared" ref="AA45:AA54" si="13">+Z45*Y44</f>
        <v>62.897747985752616</v>
      </c>
      <c r="AB45" s="1768">
        <v>1469151</v>
      </c>
      <c r="AC45" s="177">
        <f>(IF('Actual Gross Rev Req'!$H$16=0,0,'Actual Gross Rev Req'!$H$92/'Actual Gross Rev Req'!$H$16)/12)</f>
        <v>1.4936180092078701E-3</v>
      </c>
      <c r="AD45" s="171">
        <f t="shared" ref="AD45:AD54" si="14">+AC45*AB44</f>
        <v>2194.3503918457513</v>
      </c>
      <c r="AE45" s="1768">
        <v>0</v>
      </c>
      <c r="AF45" s="177">
        <f>(IF('Actual Gross Rev Req'!$H$16=0,0,'Actual Gross Rev Req'!$H$92/'Actual Gross Rev Req'!$H$16)/12)</f>
        <v>1.4936180092078701E-3</v>
      </c>
      <c r="AG45" s="171">
        <f t="shared" ref="AG45:AG54" si="15">+AF45*AE44</f>
        <v>0</v>
      </c>
      <c r="AH45" s="1768">
        <v>0</v>
      </c>
      <c r="AI45" s="177">
        <f>(IF('Actual Gross Rev Req'!$H$16=0,0,'Actual Gross Rev Req'!$H$92/'Actual Gross Rev Req'!$H$16)/12)</f>
        <v>1.4936180092078701E-3</v>
      </c>
      <c r="AJ45" s="171">
        <f t="shared" ref="AJ45:AJ54" si="16">+AI45*AH44</f>
        <v>0</v>
      </c>
      <c r="AK45" s="1768">
        <v>0</v>
      </c>
      <c r="AL45" s="177">
        <f>(IF('Actual Gross Rev Req'!$H$16=0,0,'Actual Gross Rev Req'!$H$92/'Actual Gross Rev Req'!$H$16)/12)</f>
        <v>1.4936180092078701E-3</v>
      </c>
      <c r="AM45" s="171">
        <f t="shared" ref="AM45:AM54" si="17">+AL45*AK44</f>
        <v>0</v>
      </c>
    </row>
    <row r="46" spans="1:39">
      <c r="A46" s="120">
        <f t="shared" si="6"/>
        <v>6</v>
      </c>
      <c r="C46" s="88"/>
      <c r="D46" s="88" t="s">
        <v>1356</v>
      </c>
      <c r="E46" s="88" t="s">
        <v>1357</v>
      </c>
      <c r="F46" s="344"/>
      <c r="G46" s="1768">
        <f t="shared" ref="G46:G55" si="18">+G45</f>
        <v>983252</v>
      </c>
      <c r="H46" s="177">
        <f>H45</f>
        <v>1.4936180092078701E-3</v>
      </c>
      <c r="I46" s="171">
        <f>+H46*G45</f>
        <v>1468.6028947896566</v>
      </c>
      <c r="J46" s="1768">
        <f t="shared" ref="J46:J56" si="19">+J45</f>
        <v>4845745</v>
      </c>
      <c r="K46" s="177">
        <f>K45</f>
        <v>1.4936180092078701E-3</v>
      </c>
      <c r="L46" s="171">
        <f t="shared" si="8"/>
        <v>7237.6920000289902</v>
      </c>
      <c r="M46" s="1768">
        <v>2122148</v>
      </c>
      <c r="N46" s="177">
        <f>N45</f>
        <v>1.4936180092078701E-3</v>
      </c>
      <c r="O46" s="171">
        <f t="shared" si="9"/>
        <v>3169.6784710044631</v>
      </c>
      <c r="P46" s="1768">
        <v>641927</v>
      </c>
      <c r="Q46" s="177">
        <f>Q45</f>
        <v>1.4936180092078701E-3</v>
      </c>
      <c r="R46" s="171">
        <f t="shared" si="10"/>
        <v>958.79372779678044</v>
      </c>
      <c r="S46" s="1768">
        <v>1370530</v>
      </c>
      <c r="T46" s="177">
        <f>T45</f>
        <v>1.4936180092078701E-3</v>
      </c>
      <c r="U46" s="171">
        <f t="shared" si="11"/>
        <v>2047.0482901596622</v>
      </c>
      <c r="V46" s="1768">
        <v>416249</v>
      </c>
      <c r="W46" s="177">
        <f>W45</f>
        <v>1.4936180092078701E-3</v>
      </c>
      <c r="X46" s="171">
        <f t="shared" si="12"/>
        <v>621.71700271476675</v>
      </c>
      <c r="Y46" s="1768">
        <v>42111</v>
      </c>
      <c r="Z46" s="177">
        <f>Z45</f>
        <v>1.4936180092078701E-3</v>
      </c>
      <c r="AA46" s="171">
        <f t="shared" si="13"/>
        <v>62.897747985752616</v>
      </c>
      <c r="AB46" s="1768">
        <v>1469151</v>
      </c>
      <c r="AC46" s="177">
        <f>AC45</f>
        <v>1.4936180092078701E-3</v>
      </c>
      <c r="AD46" s="171">
        <f t="shared" si="14"/>
        <v>2194.3503918457513</v>
      </c>
      <c r="AE46" s="1768">
        <f t="shared" ref="AE46:AE55" si="20">+AE45</f>
        <v>0</v>
      </c>
      <c r="AF46" s="177">
        <f>AF45</f>
        <v>1.4936180092078701E-3</v>
      </c>
      <c r="AG46" s="171">
        <f t="shared" si="15"/>
        <v>0</v>
      </c>
      <c r="AH46" s="1768">
        <f t="shared" ref="AH46:AH55" si="21">+AH45</f>
        <v>0</v>
      </c>
      <c r="AI46" s="177">
        <f>AI45</f>
        <v>1.4936180092078701E-3</v>
      </c>
      <c r="AJ46" s="171">
        <f t="shared" si="16"/>
        <v>0</v>
      </c>
      <c r="AK46" s="1768">
        <f t="shared" ref="AK46:AK56" si="22">+AK45</f>
        <v>0</v>
      </c>
      <c r="AL46" s="177">
        <f>AL45</f>
        <v>1.4936180092078701E-3</v>
      </c>
      <c r="AM46" s="171">
        <f t="shared" si="17"/>
        <v>0</v>
      </c>
    </row>
    <row r="47" spans="1:39">
      <c r="A47" s="120">
        <f t="shared" si="6"/>
        <v>7</v>
      </c>
      <c r="C47" s="88"/>
      <c r="D47" s="88" t="s">
        <v>1356</v>
      </c>
      <c r="E47" s="88" t="s">
        <v>1358</v>
      </c>
      <c r="F47" s="344"/>
      <c r="G47" s="1768">
        <f t="shared" si="18"/>
        <v>983252</v>
      </c>
      <c r="H47" s="177">
        <f t="shared" ref="H47:H56" si="23">H46</f>
        <v>1.4936180092078701E-3</v>
      </c>
      <c r="I47" s="171">
        <f>+H47*G46</f>
        <v>1468.6028947896566</v>
      </c>
      <c r="J47" s="1768">
        <f t="shared" si="19"/>
        <v>4845745</v>
      </c>
      <c r="K47" s="177">
        <f t="shared" ref="K47:K56" si="24">K46</f>
        <v>1.4936180092078701E-3</v>
      </c>
      <c r="L47" s="171">
        <f t="shared" si="8"/>
        <v>7237.6920000289902</v>
      </c>
      <c r="M47" s="1768">
        <v>2122148</v>
      </c>
      <c r="N47" s="177">
        <f t="shared" ref="N47:N56" si="25">N46</f>
        <v>1.4936180092078701E-3</v>
      </c>
      <c r="O47" s="171">
        <f t="shared" si="9"/>
        <v>3169.6784710044631</v>
      </c>
      <c r="P47" s="1768">
        <v>641927</v>
      </c>
      <c r="Q47" s="177">
        <f t="shared" ref="Q47:Q56" si="26">Q46</f>
        <v>1.4936180092078701E-3</v>
      </c>
      <c r="R47" s="171">
        <f t="shared" si="10"/>
        <v>958.79372779678044</v>
      </c>
      <c r="S47" s="1768">
        <v>1370530</v>
      </c>
      <c r="T47" s="177">
        <f t="shared" ref="T47:T56" si="27">T46</f>
        <v>1.4936180092078701E-3</v>
      </c>
      <c r="U47" s="171">
        <f t="shared" si="11"/>
        <v>2047.0482901596622</v>
      </c>
      <c r="V47" s="1768">
        <v>416249</v>
      </c>
      <c r="W47" s="177">
        <f t="shared" ref="W47:W56" si="28">W46</f>
        <v>1.4936180092078701E-3</v>
      </c>
      <c r="X47" s="171">
        <f t="shared" si="12"/>
        <v>621.71700271476675</v>
      </c>
      <c r="Y47" s="1768">
        <v>42111</v>
      </c>
      <c r="Z47" s="177">
        <f t="shared" ref="Z47:Z56" si="29">Z46</f>
        <v>1.4936180092078701E-3</v>
      </c>
      <c r="AA47" s="171">
        <f t="shared" si="13"/>
        <v>62.897747985752616</v>
      </c>
      <c r="AB47" s="1768">
        <v>1469151</v>
      </c>
      <c r="AC47" s="177">
        <f t="shared" ref="AC47:AC56" si="30">AC46</f>
        <v>1.4936180092078701E-3</v>
      </c>
      <c r="AD47" s="171">
        <f t="shared" si="14"/>
        <v>2194.3503918457513</v>
      </c>
      <c r="AE47" s="1768">
        <v>0</v>
      </c>
      <c r="AF47" s="177">
        <f t="shared" ref="AF47:AF56" si="31">AF46</f>
        <v>1.4936180092078701E-3</v>
      </c>
      <c r="AG47" s="171">
        <f t="shared" si="15"/>
        <v>0</v>
      </c>
      <c r="AH47" s="1768">
        <v>0</v>
      </c>
      <c r="AI47" s="177">
        <f t="shared" ref="AI47:AI56" si="32">AI46</f>
        <v>1.4936180092078701E-3</v>
      </c>
      <c r="AJ47" s="171">
        <f t="shared" si="16"/>
        <v>0</v>
      </c>
      <c r="AK47" s="1768">
        <v>0</v>
      </c>
      <c r="AL47" s="177">
        <f t="shared" ref="AL47:AL56" si="33">AL46</f>
        <v>1.4936180092078701E-3</v>
      </c>
      <c r="AM47" s="171">
        <f t="shared" si="17"/>
        <v>0</v>
      </c>
    </row>
    <row r="48" spans="1:39">
      <c r="A48" s="120">
        <f t="shared" si="6"/>
        <v>8</v>
      </c>
      <c r="C48" s="88"/>
      <c r="D48" s="88" t="s">
        <v>1356</v>
      </c>
      <c r="E48" s="88" t="s">
        <v>1359</v>
      </c>
      <c r="F48" s="344"/>
      <c r="G48" s="1768">
        <f t="shared" si="18"/>
        <v>983252</v>
      </c>
      <c r="H48" s="177">
        <f t="shared" si="23"/>
        <v>1.4936180092078701E-3</v>
      </c>
      <c r="I48" s="171">
        <f t="shared" si="7"/>
        <v>1468.6028947896566</v>
      </c>
      <c r="J48" s="1768">
        <f t="shared" si="19"/>
        <v>4845745</v>
      </c>
      <c r="K48" s="177">
        <f t="shared" si="24"/>
        <v>1.4936180092078701E-3</v>
      </c>
      <c r="L48" s="171">
        <f t="shared" si="8"/>
        <v>7237.6920000289902</v>
      </c>
      <c r="M48" s="1768">
        <v>2122148</v>
      </c>
      <c r="N48" s="177">
        <f t="shared" si="25"/>
        <v>1.4936180092078701E-3</v>
      </c>
      <c r="O48" s="171">
        <f t="shared" si="9"/>
        <v>3169.6784710044631</v>
      </c>
      <c r="P48" s="1768">
        <v>641927</v>
      </c>
      <c r="Q48" s="177">
        <f t="shared" si="26"/>
        <v>1.4936180092078701E-3</v>
      </c>
      <c r="R48" s="171">
        <f t="shared" si="10"/>
        <v>958.79372779678044</v>
      </c>
      <c r="S48" s="1768">
        <v>1370530</v>
      </c>
      <c r="T48" s="177">
        <f t="shared" si="27"/>
        <v>1.4936180092078701E-3</v>
      </c>
      <c r="U48" s="171">
        <f t="shared" si="11"/>
        <v>2047.0482901596622</v>
      </c>
      <c r="V48" s="1768">
        <v>416249</v>
      </c>
      <c r="W48" s="177">
        <f t="shared" si="28"/>
        <v>1.4936180092078701E-3</v>
      </c>
      <c r="X48" s="171">
        <f t="shared" si="12"/>
        <v>621.71700271476675</v>
      </c>
      <c r="Y48" s="1768">
        <f t="shared" ref="Y48:Y56" si="34">+Y47</f>
        <v>42111</v>
      </c>
      <c r="Z48" s="177">
        <f t="shared" si="29"/>
        <v>1.4936180092078701E-3</v>
      </c>
      <c r="AA48" s="171">
        <f t="shared" si="13"/>
        <v>62.897747985752616</v>
      </c>
      <c r="AB48" s="1768">
        <v>1469151</v>
      </c>
      <c r="AC48" s="177">
        <f t="shared" si="30"/>
        <v>1.4936180092078701E-3</v>
      </c>
      <c r="AD48" s="171">
        <f t="shared" si="14"/>
        <v>2194.3503918457513</v>
      </c>
      <c r="AE48" s="1768">
        <f t="shared" si="20"/>
        <v>0</v>
      </c>
      <c r="AF48" s="177">
        <f t="shared" si="31"/>
        <v>1.4936180092078701E-3</v>
      </c>
      <c r="AG48" s="171">
        <f t="shared" si="15"/>
        <v>0</v>
      </c>
      <c r="AH48" s="1768">
        <f t="shared" si="21"/>
        <v>0</v>
      </c>
      <c r="AI48" s="177">
        <f t="shared" si="32"/>
        <v>1.4936180092078701E-3</v>
      </c>
      <c r="AJ48" s="171">
        <f t="shared" si="16"/>
        <v>0</v>
      </c>
      <c r="AK48" s="1768">
        <f t="shared" si="22"/>
        <v>0</v>
      </c>
      <c r="AL48" s="177">
        <f t="shared" si="33"/>
        <v>1.4936180092078701E-3</v>
      </c>
      <c r="AM48" s="171">
        <f t="shared" si="17"/>
        <v>0</v>
      </c>
    </row>
    <row r="49" spans="1:39">
      <c r="A49" s="120">
        <f t="shared" si="6"/>
        <v>9</v>
      </c>
      <c r="C49" s="88"/>
      <c r="D49" s="88" t="s">
        <v>1356</v>
      </c>
      <c r="E49" s="88" t="s">
        <v>1125</v>
      </c>
      <c r="F49" s="344"/>
      <c r="G49" s="1768">
        <f t="shared" si="18"/>
        <v>983252</v>
      </c>
      <c r="H49" s="177">
        <f t="shared" si="23"/>
        <v>1.4936180092078701E-3</v>
      </c>
      <c r="I49" s="171">
        <f t="shared" si="7"/>
        <v>1468.6028947896566</v>
      </c>
      <c r="J49" s="1768">
        <f t="shared" si="19"/>
        <v>4845745</v>
      </c>
      <c r="K49" s="177">
        <f t="shared" si="24"/>
        <v>1.4936180092078701E-3</v>
      </c>
      <c r="L49" s="171">
        <f t="shared" si="8"/>
        <v>7237.6920000289902</v>
      </c>
      <c r="M49" s="1768">
        <v>2122148</v>
      </c>
      <c r="N49" s="177">
        <f t="shared" si="25"/>
        <v>1.4936180092078701E-3</v>
      </c>
      <c r="O49" s="171">
        <f t="shared" si="9"/>
        <v>3169.6784710044631</v>
      </c>
      <c r="P49" s="1768">
        <v>641927</v>
      </c>
      <c r="Q49" s="177">
        <f t="shared" si="26"/>
        <v>1.4936180092078701E-3</v>
      </c>
      <c r="R49" s="171">
        <f t="shared" si="10"/>
        <v>958.79372779678044</v>
      </c>
      <c r="S49" s="1768">
        <v>1370530</v>
      </c>
      <c r="T49" s="177">
        <f t="shared" si="27"/>
        <v>1.4936180092078701E-3</v>
      </c>
      <c r="U49" s="171">
        <f t="shared" si="11"/>
        <v>2047.0482901596622</v>
      </c>
      <c r="V49" s="1768">
        <v>416249</v>
      </c>
      <c r="W49" s="177">
        <f t="shared" si="28"/>
        <v>1.4936180092078701E-3</v>
      </c>
      <c r="X49" s="171">
        <f t="shared" si="12"/>
        <v>621.71700271476675</v>
      </c>
      <c r="Y49" s="1768">
        <f t="shared" si="34"/>
        <v>42111</v>
      </c>
      <c r="Z49" s="177">
        <f t="shared" si="29"/>
        <v>1.4936180092078701E-3</v>
      </c>
      <c r="AA49" s="171">
        <f t="shared" si="13"/>
        <v>62.897747985752616</v>
      </c>
      <c r="AB49" s="1768">
        <v>1469151</v>
      </c>
      <c r="AC49" s="177">
        <f t="shared" si="30"/>
        <v>1.4936180092078701E-3</v>
      </c>
      <c r="AD49" s="171">
        <f t="shared" si="14"/>
        <v>2194.3503918457513</v>
      </c>
      <c r="AE49" s="1768">
        <f t="shared" si="20"/>
        <v>0</v>
      </c>
      <c r="AF49" s="177">
        <f t="shared" si="31"/>
        <v>1.4936180092078701E-3</v>
      </c>
      <c r="AG49" s="171">
        <f t="shared" si="15"/>
        <v>0</v>
      </c>
      <c r="AH49" s="1768">
        <f t="shared" si="21"/>
        <v>0</v>
      </c>
      <c r="AI49" s="177">
        <f t="shared" si="32"/>
        <v>1.4936180092078701E-3</v>
      </c>
      <c r="AJ49" s="171">
        <f t="shared" si="16"/>
        <v>0</v>
      </c>
      <c r="AK49" s="1768">
        <f t="shared" si="22"/>
        <v>0</v>
      </c>
      <c r="AL49" s="177">
        <f t="shared" si="33"/>
        <v>1.4936180092078701E-3</v>
      </c>
      <c r="AM49" s="171">
        <f t="shared" si="17"/>
        <v>0</v>
      </c>
    </row>
    <row r="50" spans="1:39">
      <c r="A50" s="120">
        <f t="shared" si="6"/>
        <v>10</v>
      </c>
      <c r="C50" s="88"/>
      <c r="D50" s="88" t="s">
        <v>1356</v>
      </c>
      <c r="E50" s="88" t="s">
        <v>675</v>
      </c>
      <c r="F50" s="344"/>
      <c r="G50" s="1768">
        <f t="shared" si="18"/>
        <v>983252</v>
      </c>
      <c r="H50" s="177">
        <f t="shared" si="23"/>
        <v>1.4936180092078701E-3</v>
      </c>
      <c r="I50" s="171">
        <f t="shared" si="7"/>
        <v>1468.6028947896566</v>
      </c>
      <c r="J50" s="1768">
        <f t="shared" si="19"/>
        <v>4845745</v>
      </c>
      <c r="K50" s="177">
        <f t="shared" si="24"/>
        <v>1.4936180092078701E-3</v>
      </c>
      <c r="L50" s="171">
        <f t="shared" si="8"/>
        <v>7237.6920000289902</v>
      </c>
      <c r="M50" s="1768">
        <v>2122148</v>
      </c>
      <c r="N50" s="177">
        <f t="shared" si="25"/>
        <v>1.4936180092078701E-3</v>
      </c>
      <c r="O50" s="171">
        <f t="shared" si="9"/>
        <v>3169.6784710044631</v>
      </c>
      <c r="P50" s="1768">
        <v>641927</v>
      </c>
      <c r="Q50" s="177">
        <f t="shared" si="26"/>
        <v>1.4936180092078701E-3</v>
      </c>
      <c r="R50" s="171">
        <f t="shared" si="10"/>
        <v>958.79372779678044</v>
      </c>
      <c r="S50" s="1768">
        <v>1370530</v>
      </c>
      <c r="T50" s="177">
        <f t="shared" si="27"/>
        <v>1.4936180092078701E-3</v>
      </c>
      <c r="U50" s="171">
        <f t="shared" si="11"/>
        <v>2047.0482901596622</v>
      </c>
      <c r="V50" s="1768">
        <v>416249</v>
      </c>
      <c r="W50" s="177">
        <f t="shared" si="28"/>
        <v>1.4936180092078701E-3</v>
      </c>
      <c r="X50" s="171">
        <f t="shared" si="12"/>
        <v>621.71700271476675</v>
      </c>
      <c r="Y50" s="1768">
        <f t="shared" si="34"/>
        <v>42111</v>
      </c>
      <c r="Z50" s="177">
        <f t="shared" si="29"/>
        <v>1.4936180092078701E-3</v>
      </c>
      <c r="AA50" s="171">
        <f t="shared" si="13"/>
        <v>62.897747985752616</v>
      </c>
      <c r="AB50" s="1768">
        <v>1469151</v>
      </c>
      <c r="AC50" s="177">
        <f t="shared" si="30"/>
        <v>1.4936180092078701E-3</v>
      </c>
      <c r="AD50" s="171">
        <f t="shared" si="14"/>
        <v>2194.3503918457513</v>
      </c>
      <c r="AE50" s="1768">
        <f t="shared" si="20"/>
        <v>0</v>
      </c>
      <c r="AF50" s="177">
        <f t="shared" si="31"/>
        <v>1.4936180092078701E-3</v>
      </c>
      <c r="AG50" s="171">
        <f t="shared" si="15"/>
        <v>0</v>
      </c>
      <c r="AH50" s="1768">
        <f t="shared" si="21"/>
        <v>0</v>
      </c>
      <c r="AI50" s="177">
        <f t="shared" si="32"/>
        <v>1.4936180092078701E-3</v>
      </c>
      <c r="AJ50" s="171">
        <f t="shared" si="16"/>
        <v>0</v>
      </c>
      <c r="AK50" s="1768">
        <f t="shared" si="22"/>
        <v>0</v>
      </c>
      <c r="AL50" s="177">
        <f t="shared" si="33"/>
        <v>1.4936180092078701E-3</v>
      </c>
      <c r="AM50" s="171">
        <f t="shared" si="17"/>
        <v>0</v>
      </c>
    </row>
    <row r="51" spans="1:39">
      <c r="A51" s="120">
        <f t="shared" si="6"/>
        <v>11</v>
      </c>
      <c r="C51" s="88"/>
      <c r="D51" s="88" t="s">
        <v>1356</v>
      </c>
      <c r="E51" s="88" t="s">
        <v>1360</v>
      </c>
      <c r="F51" s="344"/>
      <c r="G51" s="1768">
        <f t="shared" si="18"/>
        <v>983252</v>
      </c>
      <c r="H51" s="177">
        <f t="shared" si="23"/>
        <v>1.4936180092078701E-3</v>
      </c>
      <c r="I51" s="171">
        <f t="shared" si="7"/>
        <v>1468.6028947896566</v>
      </c>
      <c r="J51" s="1768">
        <f t="shared" si="19"/>
        <v>4845745</v>
      </c>
      <c r="K51" s="177">
        <f t="shared" si="24"/>
        <v>1.4936180092078701E-3</v>
      </c>
      <c r="L51" s="171">
        <f t="shared" si="8"/>
        <v>7237.6920000289902</v>
      </c>
      <c r="M51" s="1768">
        <v>2122148</v>
      </c>
      <c r="N51" s="177">
        <f t="shared" si="25"/>
        <v>1.4936180092078701E-3</v>
      </c>
      <c r="O51" s="171">
        <f t="shared" si="9"/>
        <v>3169.6784710044631</v>
      </c>
      <c r="P51" s="1768">
        <v>641927</v>
      </c>
      <c r="Q51" s="177">
        <f t="shared" si="26"/>
        <v>1.4936180092078701E-3</v>
      </c>
      <c r="R51" s="171">
        <f t="shared" si="10"/>
        <v>958.79372779678044</v>
      </c>
      <c r="S51" s="1768">
        <v>1370530</v>
      </c>
      <c r="T51" s="177">
        <f t="shared" si="27"/>
        <v>1.4936180092078701E-3</v>
      </c>
      <c r="U51" s="171">
        <f t="shared" si="11"/>
        <v>2047.0482901596622</v>
      </c>
      <c r="V51" s="1768">
        <v>416249</v>
      </c>
      <c r="W51" s="177">
        <f t="shared" si="28"/>
        <v>1.4936180092078701E-3</v>
      </c>
      <c r="X51" s="171">
        <f t="shared" si="12"/>
        <v>621.71700271476675</v>
      </c>
      <c r="Y51" s="1768">
        <f t="shared" si="34"/>
        <v>42111</v>
      </c>
      <c r="Z51" s="177">
        <f t="shared" si="29"/>
        <v>1.4936180092078701E-3</v>
      </c>
      <c r="AA51" s="171">
        <f t="shared" si="13"/>
        <v>62.897747985752616</v>
      </c>
      <c r="AB51" s="1768">
        <v>1469151</v>
      </c>
      <c r="AC51" s="177">
        <f t="shared" si="30"/>
        <v>1.4936180092078701E-3</v>
      </c>
      <c r="AD51" s="171">
        <f t="shared" si="14"/>
        <v>2194.3503918457513</v>
      </c>
      <c r="AE51" s="1768">
        <f t="shared" si="20"/>
        <v>0</v>
      </c>
      <c r="AF51" s="177">
        <f t="shared" si="31"/>
        <v>1.4936180092078701E-3</v>
      </c>
      <c r="AG51" s="171">
        <f t="shared" si="15"/>
        <v>0</v>
      </c>
      <c r="AH51" s="1768">
        <f t="shared" si="21"/>
        <v>0</v>
      </c>
      <c r="AI51" s="177">
        <f t="shared" si="32"/>
        <v>1.4936180092078701E-3</v>
      </c>
      <c r="AJ51" s="171">
        <f t="shared" si="16"/>
        <v>0</v>
      </c>
      <c r="AK51" s="1768">
        <f t="shared" si="22"/>
        <v>0</v>
      </c>
      <c r="AL51" s="177">
        <f t="shared" si="33"/>
        <v>1.4936180092078701E-3</v>
      </c>
      <c r="AM51" s="171">
        <f t="shared" si="17"/>
        <v>0</v>
      </c>
    </row>
    <row r="52" spans="1:39">
      <c r="A52" s="120">
        <f t="shared" si="6"/>
        <v>12</v>
      </c>
      <c r="C52" s="88"/>
      <c r="D52" s="88" t="s">
        <v>1356</v>
      </c>
      <c r="E52" s="88" t="s">
        <v>1361</v>
      </c>
      <c r="F52" s="344"/>
      <c r="G52" s="1768">
        <f t="shared" si="18"/>
        <v>983252</v>
      </c>
      <c r="H52" s="177">
        <f t="shared" si="23"/>
        <v>1.4936180092078701E-3</v>
      </c>
      <c r="I52" s="171">
        <f t="shared" si="7"/>
        <v>1468.6028947896566</v>
      </c>
      <c r="J52" s="1768">
        <f t="shared" si="19"/>
        <v>4845745</v>
      </c>
      <c r="K52" s="177">
        <f t="shared" si="24"/>
        <v>1.4936180092078701E-3</v>
      </c>
      <c r="L52" s="171">
        <f t="shared" si="8"/>
        <v>7237.6920000289902</v>
      </c>
      <c r="M52" s="1768">
        <v>2122148</v>
      </c>
      <c r="N52" s="177">
        <f t="shared" si="25"/>
        <v>1.4936180092078701E-3</v>
      </c>
      <c r="O52" s="171">
        <f t="shared" si="9"/>
        <v>3169.6784710044631</v>
      </c>
      <c r="P52" s="1768">
        <v>641927</v>
      </c>
      <c r="Q52" s="177">
        <f t="shared" si="26"/>
        <v>1.4936180092078701E-3</v>
      </c>
      <c r="R52" s="171">
        <f t="shared" si="10"/>
        <v>958.79372779678044</v>
      </c>
      <c r="S52" s="1768">
        <v>1370530</v>
      </c>
      <c r="T52" s="177">
        <f t="shared" si="27"/>
        <v>1.4936180092078701E-3</v>
      </c>
      <c r="U52" s="171">
        <f t="shared" si="11"/>
        <v>2047.0482901596622</v>
      </c>
      <c r="V52" s="1768">
        <v>416249</v>
      </c>
      <c r="W52" s="177">
        <f t="shared" si="28"/>
        <v>1.4936180092078701E-3</v>
      </c>
      <c r="X52" s="171">
        <f t="shared" si="12"/>
        <v>621.71700271476675</v>
      </c>
      <c r="Y52" s="1768">
        <f t="shared" si="34"/>
        <v>42111</v>
      </c>
      <c r="Z52" s="177">
        <f t="shared" si="29"/>
        <v>1.4936180092078701E-3</v>
      </c>
      <c r="AA52" s="171">
        <f t="shared" si="13"/>
        <v>62.897747985752616</v>
      </c>
      <c r="AB52" s="1768">
        <v>1469151</v>
      </c>
      <c r="AC52" s="177">
        <f t="shared" si="30"/>
        <v>1.4936180092078701E-3</v>
      </c>
      <c r="AD52" s="171">
        <f t="shared" si="14"/>
        <v>2194.3503918457513</v>
      </c>
      <c r="AE52" s="1768">
        <f t="shared" si="20"/>
        <v>0</v>
      </c>
      <c r="AF52" s="177">
        <f t="shared" si="31"/>
        <v>1.4936180092078701E-3</v>
      </c>
      <c r="AG52" s="171">
        <f t="shared" si="15"/>
        <v>0</v>
      </c>
      <c r="AH52" s="1768">
        <f t="shared" si="21"/>
        <v>0</v>
      </c>
      <c r="AI52" s="177">
        <f t="shared" si="32"/>
        <v>1.4936180092078701E-3</v>
      </c>
      <c r="AJ52" s="171">
        <f t="shared" si="16"/>
        <v>0</v>
      </c>
      <c r="AK52" s="1768">
        <f t="shared" si="22"/>
        <v>0</v>
      </c>
      <c r="AL52" s="177">
        <f t="shared" si="33"/>
        <v>1.4936180092078701E-3</v>
      </c>
      <c r="AM52" s="171">
        <f t="shared" si="17"/>
        <v>0</v>
      </c>
    </row>
    <row r="53" spans="1:39">
      <c r="A53" s="120">
        <f t="shared" si="6"/>
        <v>13</v>
      </c>
      <c r="C53" s="88"/>
      <c r="D53" s="88" t="s">
        <v>1356</v>
      </c>
      <c r="E53" s="88" t="s">
        <v>1362</v>
      </c>
      <c r="F53" s="344"/>
      <c r="G53" s="1768">
        <f t="shared" si="18"/>
        <v>983252</v>
      </c>
      <c r="H53" s="177">
        <f t="shared" si="23"/>
        <v>1.4936180092078701E-3</v>
      </c>
      <c r="I53" s="171">
        <f t="shared" si="7"/>
        <v>1468.6028947896566</v>
      </c>
      <c r="J53" s="1768">
        <f t="shared" si="19"/>
        <v>4845745</v>
      </c>
      <c r="K53" s="177">
        <f t="shared" si="24"/>
        <v>1.4936180092078701E-3</v>
      </c>
      <c r="L53" s="171">
        <f t="shared" si="8"/>
        <v>7237.6920000289902</v>
      </c>
      <c r="M53" s="1768">
        <v>2122148</v>
      </c>
      <c r="N53" s="177">
        <f t="shared" si="25"/>
        <v>1.4936180092078701E-3</v>
      </c>
      <c r="O53" s="171">
        <f t="shared" si="9"/>
        <v>3169.6784710044631</v>
      </c>
      <c r="P53" s="1768">
        <v>641927</v>
      </c>
      <c r="Q53" s="177">
        <f t="shared" si="26"/>
        <v>1.4936180092078701E-3</v>
      </c>
      <c r="R53" s="171">
        <f t="shared" si="10"/>
        <v>958.79372779678044</v>
      </c>
      <c r="S53" s="1768">
        <v>1370530</v>
      </c>
      <c r="T53" s="177">
        <f t="shared" si="27"/>
        <v>1.4936180092078701E-3</v>
      </c>
      <c r="U53" s="171">
        <f t="shared" si="11"/>
        <v>2047.0482901596622</v>
      </c>
      <c r="V53" s="1768">
        <v>416249</v>
      </c>
      <c r="W53" s="177">
        <f t="shared" si="28"/>
        <v>1.4936180092078701E-3</v>
      </c>
      <c r="X53" s="171">
        <f t="shared" si="12"/>
        <v>621.71700271476675</v>
      </c>
      <c r="Y53" s="1768">
        <f t="shared" si="34"/>
        <v>42111</v>
      </c>
      <c r="Z53" s="177">
        <f t="shared" si="29"/>
        <v>1.4936180092078701E-3</v>
      </c>
      <c r="AA53" s="171">
        <f t="shared" si="13"/>
        <v>62.897747985752616</v>
      </c>
      <c r="AB53" s="1768">
        <v>1469151</v>
      </c>
      <c r="AC53" s="177">
        <f t="shared" si="30"/>
        <v>1.4936180092078701E-3</v>
      </c>
      <c r="AD53" s="171">
        <f t="shared" si="14"/>
        <v>2194.3503918457513</v>
      </c>
      <c r="AE53" s="1768">
        <v>0</v>
      </c>
      <c r="AF53" s="177">
        <f t="shared" si="31"/>
        <v>1.4936180092078701E-3</v>
      </c>
      <c r="AG53" s="171">
        <f t="shared" si="15"/>
        <v>0</v>
      </c>
      <c r="AH53" s="1768">
        <v>0</v>
      </c>
      <c r="AI53" s="177">
        <f t="shared" si="32"/>
        <v>1.4936180092078701E-3</v>
      </c>
      <c r="AJ53" s="171">
        <f t="shared" si="16"/>
        <v>0</v>
      </c>
      <c r="AK53" s="1768">
        <v>0</v>
      </c>
      <c r="AL53" s="177">
        <f t="shared" si="33"/>
        <v>1.4936180092078701E-3</v>
      </c>
      <c r="AM53" s="171">
        <f t="shared" si="17"/>
        <v>0</v>
      </c>
    </row>
    <row r="54" spans="1:39">
      <c r="A54" s="120">
        <f t="shared" si="6"/>
        <v>14</v>
      </c>
      <c r="C54" s="88"/>
      <c r="D54" s="88" t="s">
        <v>1356</v>
      </c>
      <c r="E54" s="88" t="s">
        <v>676</v>
      </c>
      <c r="F54" s="344"/>
      <c r="G54" s="1768">
        <f t="shared" si="18"/>
        <v>983252</v>
      </c>
      <c r="H54" s="177">
        <f t="shared" si="23"/>
        <v>1.4936180092078701E-3</v>
      </c>
      <c r="I54" s="171">
        <f t="shared" si="7"/>
        <v>1468.6028947896566</v>
      </c>
      <c r="J54" s="1768">
        <f t="shared" si="19"/>
        <v>4845745</v>
      </c>
      <c r="K54" s="177">
        <f t="shared" si="24"/>
        <v>1.4936180092078701E-3</v>
      </c>
      <c r="L54" s="171">
        <f t="shared" si="8"/>
        <v>7237.6920000289902</v>
      </c>
      <c r="M54" s="1768">
        <v>2122148</v>
      </c>
      <c r="N54" s="177">
        <f t="shared" si="25"/>
        <v>1.4936180092078701E-3</v>
      </c>
      <c r="O54" s="171">
        <f t="shared" si="9"/>
        <v>3169.6784710044631</v>
      </c>
      <c r="P54" s="1768">
        <v>641927</v>
      </c>
      <c r="Q54" s="177">
        <f t="shared" si="26"/>
        <v>1.4936180092078701E-3</v>
      </c>
      <c r="R54" s="171">
        <f t="shared" si="10"/>
        <v>958.79372779678044</v>
      </c>
      <c r="S54" s="1768">
        <v>1370530</v>
      </c>
      <c r="T54" s="177">
        <f t="shared" si="27"/>
        <v>1.4936180092078701E-3</v>
      </c>
      <c r="U54" s="171">
        <f t="shared" si="11"/>
        <v>2047.0482901596622</v>
      </c>
      <c r="V54" s="1768">
        <v>416249</v>
      </c>
      <c r="W54" s="177">
        <f t="shared" si="28"/>
        <v>1.4936180092078701E-3</v>
      </c>
      <c r="X54" s="171">
        <f t="shared" si="12"/>
        <v>621.71700271476675</v>
      </c>
      <c r="Y54" s="1768">
        <f t="shared" si="34"/>
        <v>42111</v>
      </c>
      <c r="Z54" s="177">
        <f t="shared" si="29"/>
        <v>1.4936180092078701E-3</v>
      </c>
      <c r="AA54" s="171">
        <f t="shared" si="13"/>
        <v>62.897747985752616</v>
      </c>
      <c r="AB54" s="1768">
        <f t="shared" ref="AB54:AB56" si="35">+AB53</f>
        <v>1469151</v>
      </c>
      <c r="AC54" s="177">
        <f t="shared" si="30"/>
        <v>1.4936180092078701E-3</v>
      </c>
      <c r="AD54" s="171">
        <f t="shared" si="14"/>
        <v>2194.3503918457513</v>
      </c>
      <c r="AE54" s="1768">
        <f t="shared" si="20"/>
        <v>0</v>
      </c>
      <c r="AF54" s="177">
        <f t="shared" si="31"/>
        <v>1.4936180092078701E-3</v>
      </c>
      <c r="AG54" s="171">
        <f t="shared" si="15"/>
        <v>0</v>
      </c>
      <c r="AH54" s="1768">
        <f t="shared" si="21"/>
        <v>0</v>
      </c>
      <c r="AI54" s="177">
        <f t="shared" si="32"/>
        <v>1.4936180092078701E-3</v>
      </c>
      <c r="AJ54" s="171">
        <f t="shared" si="16"/>
        <v>0</v>
      </c>
      <c r="AK54" s="1768">
        <f t="shared" si="22"/>
        <v>0</v>
      </c>
      <c r="AL54" s="177">
        <f t="shared" si="33"/>
        <v>1.4936180092078701E-3</v>
      </c>
      <c r="AM54" s="171">
        <f t="shared" si="17"/>
        <v>0</v>
      </c>
    </row>
    <row r="55" spans="1:39">
      <c r="A55" s="120">
        <f t="shared" si="6"/>
        <v>15</v>
      </c>
      <c r="C55" s="88"/>
      <c r="D55" s="88" t="s">
        <v>1356</v>
      </c>
      <c r="E55" s="88" t="s">
        <v>1363</v>
      </c>
      <c r="F55" s="344"/>
      <c r="G55" s="1768">
        <f t="shared" si="18"/>
        <v>983252</v>
      </c>
      <c r="H55" s="177">
        <f t="shared" si="23"/>
        <v>1.4936180092078701E-3</v>
      </c>
      <c r="I55" s="171">
        <f t="shared" si="7"/>
        <v>1468.6028947896566</v>
      </c>
      <c r="J55" s="1768">
        <f t="shared" si="19"/>
        <v>4845745</v>
      </c>
      <c r="K55" s="177">
        <f t="shared" si="24"/>
        <v>1.4936180092078701E-3</v>
      </c>
      <c r="L55" s="171">
        <f t="shared" si="8"/>
        <v>7237.6920000289902</v>
      </c>
      <c r="M55" s="1768">
        <v>2122148</v>
      </c>
      <c r="N55" s="177">
        <f t="shared" si="25"/>
        <v>1.4936180092078701E-3</v>
      </c>
      <c r="O55" s="171">
        <f t="shared" si="9"/>
        <v>3169.6784710044631</v>
      </c>
      <c r="P55" s="1768">
        <v>641927</v>
      </c>
      <c r="Q55" s="177">
        <f t="shared" si="26"/>
        <v>1.4936180092078701E-3</v>
      </c>
      <c r="R55" s="171">
        <f t="shared" si="10"/>
        <v>958.79372779678044</v>
      </c>
      <c r="S55" s="1768">
        <v>1370530</v>
      </c>
      <c r="T55" s="177">
        <f t="shared" si="27"/>
        <v>1.4936180092078701E-3</v>
      </c>
      <c r="U55" s="171">
        <f t="shared" si="11"/>
        <v>2047.0482901596622</v>
      </c>
      <c r="V55" s="1768">
        <v>416249</v>
      </c>
      <c r="W55" s="177">
        <f t="shared" si="28"/>
        <v>1.4936180092078701E-3</v>
      </c>
      <c r="X55" s="171">
        <f>+W55*V54</f>
        <v>621.71700271476675</v>
      </c>
      <c r="Y55" s="1768">
        <f t="shared" si="34"/>
        <v>42111</v>
      </c>
      <c r="Z55" s="177">
        <f t="shared" si="29"/>
        <v>1.4936180092078701E-3</v>
      </c>
      <c r="AA55" s="171">
        <f>+Z55*Y54</f>
        <v>62.897747985752616</v>
      </c>
      <c r="AB55" s="1768">
        <f t="shared" si="35"/>
        <v>1469151</v>
      </c>
      <c r="AC55" s="177">
        <f t="shared" si="30"/>
        <v>1.4936180092078701E-3</v>
      </c>
      <c r="AD55" s="171">
        <f>+AC55*AB54</f>
        <v>2194.3503918457513</v>
      </c>
      <c r="AE55" s="1768">
        <f t="shared" si="20"/>
        <v>0</v>
      </c>
      <c r="AF55" s="177">
        <f t="shared" si="31"/>
        <v>1.4936180092078701E-3</v>
      </c>
      <c r="AG55" s="171">
        <f>+AF55*AE54</f>
        <v>0</v>
      </c>
      <c r="AH55" s="1768">
        <f t="shared" si="21"/>
        <v>0</v>
      </c>
      <c r="AI55" s="177">
        <f t="shared" si="32"/>
        <v>1.4936180092078701E-3</v>
      </c>
      <c r="AJ55" s="171">
        <f>+AI55*AH54</f>
        <v>0</v>
      </c>
      <c r="AK55" s="1768">
        <f t="shared" si="22"/>
        <v>0</v>
      </c>
      <c r="AL55" s="177">
        <f t="shared" si="33"/>
        <v>1.4936180092078701E-3</v>
      </c>
      <c r="AM55" s="171">
        <f>+AL55*AK54</f>
        <v>0</v>
      </c>
    </row>
    <row r="56" spans="1:39">
      <c r="A56" s="120">
        <f t="shared" si="6"/>
        <v>16</v>
      </c>
      <c r="C56" s="88"/>
      <c r="D56" s="88" t="s">
        <v>1356</v>
      </c>
      <c r="E56" s="88" t="s">
        <v>1355</v>
      </c>
      <c r="F56" s="344"/>
      <c r="G56" s="1768">
        <v>983252</v>
      </c>
      <c r="H56" s="177">
        <f t="shared" si="23"/>
        <v>1.4936180092078701E-3</v>
      </c>
      <c r="I56" s="929">
        <f t="shared" si="7"/>
        <v>1468.6028947896566</v>
      </c>
      <c r="J56" s="1768">
        <f t="shared" si="19"/>
        <v>4845745</v>
      </c>
      <c r="K56" s="177">
        <f t="shared" si="24"/>
        <v>1.4936180092078701E-3</v>
      </c>
      <c r="L56" s="929">
        <f t="shared" si="8"/>
        <v>7237.6920000289902</v>
      </c>
      <c r="M56" s="1768">
        <v>2122148</v>
      </c>
      <c r="N56" s="177">
        <f t="shared" si="25"/>
        <v>1.4936180092078701E-3</v>
      </c>
      <c r="O56" s="171">
        <f t="shared" si="9"/>
        <v>3169.6784710044631</v>
      </c>
      <c r="P56" s="1768">
        <f t="shared" ref="P56" si="36">+P55</f>
        <v>641927</v>
      </c>
      <c r="Q56" s="177">
        <f t="shared" si="26"/>
        <v>1.4936180092078701E-3</v>
      </c>
      <c r="R56" s="171">
        <f t="shared" si="10"/>
        <v>958.79372779678044</v>
      </c>
      <c r="S56" s="1768">
        <f t="shared" ref="S56" si="37">S55</f>
        <v>1370530</v>
      </c>
      <c r="T56" s="177">
        <f t="shared" si="27"/>
        <v>1.4936180092078701E-3</v>
      </c>
      <c r="U56" s="171">
        <f t="shared" si="11"/>
        <v>2047.0482901596622</v>
      </c>
      <c r="V56" s="1768">
        <v>416249</v>
      </c>
      <c r="W56" s="177">
        <f t="shared" si="28"/>
        <v>1.4936180092078701E-3</v>
      </c>
      <c r="X56" s="171">
        <f t="shared" si="12"/>
        <v>621.71700271476675</v>
      </c>
      <c r="Y56" s="1768">
        <f t="shared" si="34"/>
        <v>42111</v>
      </c>
      <c r="Z56" s="177">
        <f t="shared" si="29"/>
        <v>1.4936180092078701E-3</v>
      </c>
      <c r="AA56" s="171">
        <f>+Z56*Y55</f>
        <v>62.897747985752616</v>
      </c>
      <c r="AB56" s="1768">
        <f t="shared" si="35"/>
        <v>1469151</v>
      </c>
      <c r="AC56" s="177">
        <f t="shared" si="30"/>
        <v>1.4936180092078701E-3</v>
      </c>
      <c r="AD56" s="171">
        <f>+AC56*AB55</f>
        <v>2194.3503918457513</v>
      </c>
      <c r="AE56" s="2127">
        <v>176118</v>
      </c>
      <c r="AF56" s="177">
        <f t="shared" si="31"/>
        <v>1.4936180092078701E-3</v>
      </c>
      <c r="AG56" s="171">
        <f>+AF56*AE55</f>
        <v>0</v>
      </c>
      <c r="AH56" s="1768">
        <v>457827</v>
      </c>
      <c r="AI56" s="177">
        <f t="shared" si="32"/>
        <v>1.4936180092078701E-3</v>
      </c>
      <c r="AJ56" s="171">
        <f>+AI56*AH55</f>
        <v>0</v>
      </c>
      <c r="AK56" s="1768">
        <f t="shared" si="22"/>
        <v>0</v>
      </c>
      <c r="AL56" s="177">
        <f t="shared" si="33"/>
        <v>1.4936180092078701E-3</v>
      </c>
      <c r="AM56" s="171">
        <f>+AL56*AK55</f>
        <v>0</v>
      </c>
    </row>
    <row r="57" spans="1:39">
      <c r="A57" s="120">
        <f t="shared" si="6"/>
        <v>17</v>
      </c>
      <c r="C57" s="88"/>
      <c r="D57" s="88"/>
      <c r="E57" s="88"/>
      <c r="F57" s="88"/>
      <c r="G57" s="134"/>
      <c r="H57" s="1765" t="str">
        <f>"Sum lines "&amp;$A45&amp;" - "&amp;$A56&amp;""</f>
        <v>Sum lines 5 - 16</v>
      </c>
      <c r="I57" s="171">
        <f>SUM(I45:I56)</f>
        <v>17623.234737475876</v>
      </c>
      <c r="J57" s="134"/>
      <c r="K57" s="1765" t="str">
        <f>"Sum lines "&amp;$A45&amp;" - "&amp;$A56&amp;""</f>
        <v>Sum lines 5 - 16</v>
      </c>
      <c r="L57" s="171">
        <f>SUM(L45:L56)</f>
        <v>86852.304000347882</v>
      </c>
      <c r="M57" s="134"/>
      <c r="N57" s="1765" t="str">
        <f>"Sum lines "&amp;$A45&amp;" - "&amp;$A56&amp;""</f>
        <v>Sum lines 5 - 16</v>
      </c>
      <c r="O57" s="171">
        <f>SUM(O45:O56)</f>
        <v>38036.141652053557</v>
      </c>
      <c r="P57" s="134"/>
      <c r="Q57" s="1765" t="str">
        <f>"Sum lines "&amp;$A45&amp;" - "&amp;$A56&amp;""</f>
        <v>Sum lines 5 - 16</v>
      </c>
      <c r="R57" s="171">
        <f>SUM(R45:R56)</f>
        <v>11505.524733561368</v>
      </c>
      <c r="S57" s="134"/>
      <c r="T57" s="1765" t="str">
        <f>"Sum lines "&amp;$A45&amp;" - "&amp;$A56&amp;""</f>
        <v>Sum lines 5 - 16</v>
      </c>
      <c r="U57" s="171">
        <f>SUM(U45:U56)</f>
        <v>24564.579481915946</v>
      </c>
      <c r="V57" s="134"/>
      <c r="W57" s="1765" t="str">
        <f>"Sum lines "&amp;$A45&amp;" - "&amp;$A56&amp;""</f>
        <v>Sum lines 5 - 16</v>
      </c>
      <c r="X57" s="171">
        <f>SUM(X45:X56)</f>
        <v>7460.604032577201</v>
      </c>
      <c r="Y57" s="134"/>
      <c r="Z57" s="1765" t="str">
        <f>"Sum lines "&amp;$A45&amp;" - "&amp;$A56&amp;""</f>
        <v>Sum lines 5 - 16</v>
      </c>
      <c r="AA57" s="171">
        <f>SUM(AA45:AA56)</f>
        <v>754.77297582903145</v>
      </c>
      <c r="AB57" s="134"/>
      <c r="AC57" s="1765" t="str">
        <f>"Sum lines "&amp;$A45&amp;" - "&amp;$A56&amp;""</f>
        <v>Sum lines 5 - 16</v>
      </c>
      <c r="AD57" s="171">
        <f>SUM(AD45:AD56)</f>
        <v>26332.204702149011</v>
      </c>
      <c r="AE57" s="134"/>
      <c r="AF57" s="1765" t="str">
        <f>"Sum lines "&amp;$A45&amp;" - "&amp;$A56&amp;""</f>
        <v>Sum lines 5 - 16</v>
      </c>
      <c r="AG57" s="171">
        <f>SUM(AG45:AG56)</f>
        <v>0</v>
      </c>
      <c r="AH57" s="134"/>
      <c r="AI57" s="1765" t="str">
        <f>"Sum lines "&amp;$A45&amp;" - "&amp;$A56&amp;""</f>
        <v>Sum lines 5 - 16</v>
      </c>
      <c r="AJ57" s="171">
        <f>SUM(AJ45:AJ56)</f>
        <v>0</v>
      </c>
      <c r="AK57" s="134"/>
      <c r="AL57" s="1765" t="str">
        <f>"Sum lines "&amp;$A45&amp;" - "&amp;$A56&amp;""</f>
        <v>Sum lines 5 - 16</v>
      </c>
      <c r="AM57" s="171">
        <f>SUM(AM45:AM56)</f>
        <v>0</v>
      </c>
    </row>
    <row r="58" spans="1:39">
      <c r="A58" s="120">
        <f t="shared" si="6"/>
        <v>18</v>
      </c>
      <c r="C58" s="2211" t="s">
        <v>54</v>
      </c>
      <c r="D58" s="2211"/>
      <c r="E58" s="2211"/>
      <c r="F58" s="135"/>
      <c r="G58" s="134" t="s">
        <v>1512</v>
      </c>
      <c r="H58" s="126">
        <f>2325+27899+28652+28537+18655</f>
        <v>106068</v>
      </c>
      <c r="I58" s="1766"/>
      <c r="J58" s="134" t="s">
        <v>1512</v>
      </c>
      <c r="K58" s="126">
        <f>57103+137047+140747+140184+91936</f>
        <v>567017</v>
      </c>
      <c r="L58" s="1766"/>
      <c r="M58" s="134" t="s">
        <v>1512</v>
      </c>
      <c r="N58" s="126">
        <f>19812+59435+61039+61068+40263</f>
        <v>241617</v>
      </c>
      <c r="O58" s="1766"/>
      <c r="P58" s="134" t="s">
        <v>1512</v>
      </c>
      <c r="Q58" s="126">
        <f>4396+17584+18059+18270+12179</f>
        <v>70488</v>
      </c>
      <c r="R58" s="1766"/>
      <c r="S58" s="134" t="s">
        <v>1512</v>
      </c>
      <c r="T58" s="126">
        <f>2982+38902+39554+26003</f>
        <v>107441</v>
      </c>
      <c r="U58" s="1766"/>
      <c r="V58" s="134" t="s">
        <v>1512</v>
      </c>
      <c r="W58" s="126">
        <f>5484+12042+7897</f>
        <v>25423</v>
      </c>
      <c r="X58" s="1766"/>
      <c r="Y58" s="134" t="s">
        <v>1512</v>
      </c>
      <c r="Z58" s="126">
        <f>599</f>
        <v>599</v>
      </c>
      <c r="AA58" s="1766"/>
      <c r="AB58" s="134" t="s">
        <v>1512</v>
      </c>
      <c r="AC58" s="126">
        <f>6968</f>
        <v>6968</v>
      </c>
      <c r="AD58" s="1766"/>
      <c r="AE58" s="134" t="s">
        <v>1512</v>
      </c>
      <c r="AF58" s="126">
        <v>0</v>
      </c>
      <c r="AG58" s="1766"/>
      <c r="AH58" s="134" t="s">
        <v>1512</v>
      </c>
      <c r="AI58" s="126">
        <v>0</v>
      </c>
      <c r="AJ58" s="1766"/>
      <c r="AK58" s="134" t="s">
        <v>1512</v>
      </c>
      <c r="AL58" s="126">
        <v>0</v>
      </c>
      <c r="AM58" s="1766"/>
    </row>
    <row r="59" spans="1:39">
      <c r="A59" s="120">
        <f t="shared" si="6"/>
        <v>19</v>
      </c>
      <c r="B59" s="141" t="s">
        <v>394</v>
      </c>
      <c r="C59" s="117" t="s">
        <v>1045</v>
      </c>
      <c r="D59" s="117" t="s">
        <v>634</v>
      </c>
      <c r="E59" s="117" t="s">
        <v>265</v>
      </c>
      <c r="F59" s="141" t="s">
        <v>394</v>
      </c>
      <c r="G59" s="568" t="s">
        <v>1045</v>
      </c>
      <c r="H59" s="568" t="s">
        <v>634</v>
      </c>
      <c r="I59" s="568" t="s">
        <v>265</v>
      </c>
      <c r="J59" s="568" t="s">
        <v>1045</v>
      </c>
      <c r="K59" s="568" t="s">
        <v>634</v>
      </c>
      <c r="L59" s="1032" t="s">
        <v>265</v>
      </c>
      <c r="M59" s="568" t="s">
        <v>1045</v>
      </c>
      <c r="N59" s="568" t="s">
        <v>634</v>
      </c>
      <c r="O59" s="568" t="s">
        <v>265</v>
      </c>
      <c r="P59" s="568" t="s">
        <v>1045</v>
      </c>
      <c r="Q59" s="568" t="s">
        <v>634</v>
      </c>
      <c r="R59" s="568" t="s">
        <v>265</v>
      </c>
      <c r="S59" s="568" t="s">
        <v>1045</v>
      </c>
      <c r="T59" s="568" t="s">
        <v>634</v>
      </c>
      <c r="U59" s="568" t="s">
        <v>265</v>
      </c>
      <c r="V59" s="568" t="s">
        <v>1045</v>
      </c>
      <c r="W59" s="568" t="s">
        <v>634</v>
      </c>
      <c r="X59" s="568" t="s">
        <v>265</v>
      </c>
      <c r="Y59" s="568" t="s">
        <v>1045</v>
      </c>
      <c r="Z59" s="568" t="s">
        <v>634</v>
      </c>
      <c r="AA59" s="568" t="s">
        <v>265</v>
      </c>
      <c r="AB59" s="568" t="s">
        <v>1045</v>
      </c>
      <c r="AC59" s="568" t="s">
        <v>634</v>
      </c>
      <c r="AD59" s="568" t="s">
        <v>265</v>
      </c>
      <c r="AE59" s="568" t="s">
        <v>1045</v>
      </c>
      <c r="AF59" s="568" t="s">
        <v>634</v>
      </c>
      <c r="AG59" s="568" t="s">
        <v>265</v>
      </c>
      <c r="AH59" s="568" t="s">
        <v>1045</v>
      </c>
      <c r="AI59" s="568" t="s">
        <v>634</v>
      </c>
      <c r="AJ59" s="568" t="s">
        <v>265</v>
      </c>
      <c r="AK59" s="568" t="s">
        <v>1045</v>
      </c>
      <c r="AL59" s="568" t="s">
        <v>634</v>
      </c>
      <c r="AM59" s="568" t="s">
        <v>265</v>
      </c>
    </row>
    <row r="60" spans="1:39">
      <c r="A60" s="120">
        <f t="shared" si="6"/>
        <v>20</v>
      </c>
      <c r="B60" s="521"/>
      <c r="C60" s="521"/>
      <c r="D60" s="521"/>
      <c r="E60" s="521"/>
      <c r="F60" s="521"/>
      <c r="G60" s="1603"/>
      <c r="H60" s="1321"/>
      <c r="I60" s="1322"/>
      <c r="J60" s="1603"/>
      <c r="K60" s="1321"/>
      <c r="L60" s="1322"/>
      <c r="M60" s="1603"/>
      <c r="N60" s="1321"/>
      <c r="O60" s="1322"/>
      <c r="P60" s="2001"/>
      <c r="Q60" s="2002"/>
      <c r="R60" s="1322"/>
      <c r="S60" s="1603"/>
      <c r="T60" s="1321"/>
      <c r="U60" s="1322"/>
      <c r="V60" s="2001"/>
      <c r="W60" s="2002"/>
      <c r="X60" s="1322"/>
      <c r="Y60" s="1603"/>
      <c r="Z60" s="1321"/>
      <c r="AA60" s="1322"/>
      <c r="AB60" s="1603"/>
      <c r="AC60" s="1321"/>
      <c r="AD60" s="1322"/>
      <c r="AE60" s="1603"/>
      <c r="AF60" s="1321"/>
      <c r="AG60" s="1322"/>
      <c r="AH60" s="1603"/>
      <c r="AI60" s="1321"/>
      <c r="AJ60" s="1322"/>
      <c r="AK60" s="1603"/>
      <c r="AL60" s="1321"/>
      <c r="AM60" s="1322"/>
    </row>
    <row r="61" spans="1:39">
      <c r="A61" s="120">
        <f t="shared" si="6"/>
        <v>21</v>
      </c>
      <c r="B61" s="139">
        <v>2008</v>
      </c>
      <c r="C61" s="773">
        <f>G61+J61+M61+P61+S61+V61+Y61</f>
        <v>8750131</v>
      </c>
      <c r="D61" s="773">
        <f>+H61+K61+N61+W61+Z61+Q61+T61</f>
        <v>204846</v>
      </c>
      <c r="E61" s="773">
        <f>+I61+L61+O61+X61+AA61+R61+U61</f>
        <v>8545285</v>
      </c>
      <c r="F61" s="139">
        <f t="shared" ref="F61:F84" si="38">+B61</f>
        <v>2008</v>
      </c>
      <c r="G61" s="2000">
        <v>986452</v>
      </c>
      <c r="H61" s="1841">
        <v>16274</v>
      </c>
      <c r="I61" s="1939">
        <f>+G61-H61</f>
        <v>970178</v>
      </c>
      <c r="J61" s="2000">
        <v>4845745</v>
      </c>
      <c r="K61" s="1841">
        <v>125626</v>
      </c>
      <c r="L61" s="1939">
        <f>+J61-K61</f>
        <v>4720119</v>
      </c>
      <c r="M61" s="2000">
        <v>2101509</v>
      </c>
      <c r="N61" s="1841">
        <v>49529</v>
      </c>
      <c r="O61" s="1939">
        <f>+M61-N61</f>
        <v>2051980</v>
      </c>
      <c r="P61" s="2000">
        <v>621740</v>
      </c>
      <c r="Q61" s="1841">
        <v>13188</v>
      </c>
      <c r="R61" s="1939">
        <f>+P61-Q61</f>
        <v>608552</v>
      </c>
      <c r="S61" s="2000">
        <v>194685</v>
      </c>
      <c r="T61" s="1841">
        <v>229</v>
      </c>
      <c r="U61" s="1939">
        <f>+S61-T61</f>
        <v>194456</v>
      </c>
      <c r="V61" s="2000">
        <v>0</v>
      </c>
      <c r="W61" s="1841">
        <v>0</v>
      </c>
      <c r="X61" s="1939">
        <f>+V61-W61</f>
        <v>0</v>
      </c>
      <c r="Y61" s="2000">
        <v>0</v>
      </c>
      <c r="Z61" s="1841">
        <v>0</v>
      </c>
      <c r="AA61" s="171">
        <f>+Y61-Z61</f>
        <v>0</v>
      </c>
      <c r="AB61" s="2000">
        <v>0</v>
      </c>
      <c r="AC61" s="1841">
        <v>0</v>
      </c>
      <c r="AD61" s="171">
        <f>+AB61-AC61</f>
        <v>0</v>
      </c>
      <c r="AE61" s="2000">
        <v>0</v>
      </c>
      <c r="AF61" s="1841">
        <v>0</v>
      </c>
      <c r="AG61" s="171">
        <f>+AE61-AF61</f>
        <v>0</v>
      </c>
      <c r="AH61" s="2000">
        <v>0</v>
      </c>
      <c r="AI61" s="1841">
        <v>0</v>
      </c>
      <c r="AJ61" s="171">
        <f>+AH61-AI61</f>
        <v>0</v>
      </c>
      <c r="AK61" s="2000">
        <v>0</v>
      </c>
      <c r="AL61" s="1841">
        <v>0</v>
      </c>
      <c r="AM61" s="171">
        <f>+AK61-AL61</f>
        <v>0</v>
      </c>
    </row>
    <row r="62" spans="1:39">
      <c r="A62" s="120">
        <f t="shared" si="6"/>
        <v>22</v>
      </c>
      <c r="B62" s="139">
        <v>2009</v>
      </c>
      <c r="C62" s="773">
        <f>G62+J62+M62+P62+S62+V62+Y62</f>
        <v>10107236</v>
      </c>
      <c r="D62" s="773">
        <f>+H62+K62+N62+W62+Z62+Q62+T62</f>
        <v>473406</v>
      </c>
      <c r="E62" s="773">
        <f>+I62+L62+O62+R62+U62+X62+AA62</f>
        <v>9633830</v>
      </c>
      <c r="F62" s="139">
        <f t="shared" si="38"/>
        <v>2009</v>
      </c>
      <c r="G62" s="2000">
        <v>986452</v>
      </c>
      <c r="H62" s="1841">
        <v>44550</v>
      </c>
      <c r="I62" s="1939">
        <f t="shared" ref="I62:I84" si="39">+G62-H62</f>
        <v>941902</v>
      </c>
      <c r="J62" s="2000">
        <v>4845745</v>
      </c>
      <c r="K62" s="1841">
        <v>264524</v>
      </c>
      <c r="L62" s="1939">
        <f>+J62-K62</f>
        <v>4581221</v>
      </c>
      <c r="M62" s="2000">
        <v>2101509</v>
      </c>
      <c r="N62" s="1841">
        <v>109767</v>
      </c>
      <c r="O62" s="1939">
        <f t="shared" ref="O62:O84" si="40">+M62-N62</f>
        <v>1991742</v>
      </c>
      <c r="P62" s="2000">
        <v>621740</v>
      </c>
      <c r="Q62" s="1841">
        <v>31009</v>
      </c>
      <c r="R62" s="1939">
        <f>+P62-Q62</f>
        <v>590731</v>
      </c>
      <c r="S62" s="2000">
        <v>1341250</v>
      </c>
      <c r="T62" s="1841">
        <v>22185</v>
      </c>
      <c r="U62" s="1939">
        <f t="shared" ref="U62:U84" si="41">+S62-T62</f>
        <v>1319065</v>
      </c>
      <c r="V62" s="2000">
        <v>210540</v>
      </c>
      <c r="W62" s="1841">
        <v>1371</v>
      </c>
      <c r="X62" s="1939">
        <f t="shared" ref="X62:X84" si="42">+V62-W62</f>
        <v>209169</v>
      </c>
      <c r="Y62" s="2000">
        <v>0</v>
      </c>
      <c r="Z62" s="1841">
        <v>0</v>
      </c>
      <c r="AA62" s="171">
        <f t="shared" ref="AA62:AA84" si="43">+Y62-Z62</f>
        <v>0</v>
      </c>
      <c r="AB62" s="2000">
        <v>0</v>
      </c>
      <c r="AC62" s="1841">
        <v>0</v>
      </c>
      <c r="AD62" s="171">
        <f t="shared" ref="AD62:AD84" si="44">+AB62-AC62</f>
        <v>0</v>
      </c>
      <c r="AE62" s="2000">
        <v>0</v>
      </c>
      <c r="AF62" s="1841">
        <v>0</v>
      </c>
      <c r="AG62" s="171">
        <f t="shared" ref="AG62:AG84" si="45">+AE62-AF62</f>
        <v>0</v>
      </c>
      <c r="AH62" s="2000">
        <v>0</v>
      </c>
      <c r="AI62" s="1841">
        <v>0</v>
      </c>
      <c r="AJ62" s="171">
        <f t="shared" ref="AJ62:AJ84" si="46">+AH62-AI62</f>
        <v>0</v>
      </c>
      <c r="AK62" s="2000">
        <v>0</v>
      </c>
      <c r="AL62" s="1841">
        <v>0</v>
      </c>
      <c r="AM62" s="171">
        <f t="shared" ref="AM62:AM84" si="47">+AK62-AL62</f>
        <v>0</v>
      </c>
    </row>
    <row r="63" spans="1:39">
      <c r="A63" s="120">
        <f t="shared" si="6"/>
        <v>23</v>
      </c>
      <c r="B63" s="139">
        <f t="shared" ref="B63:B84" si="48">+B62+1</f>
        <v>2010</v>
      </c>
      <c r="C63" s="773">
        <f>+G63+J63+M63+P63+S63+V63+Y63</f>
        <v>10359854</v>
      </c>
      <c r="D63" s="773">
        <f>+H63+K63+N63+Q63+T63+W63+Z63</f>
        <v>771138</v>
      </c>
      <c r="E63" s="773">
        <f>+I63+L63+O63+R63+U63+X63+AA63</f>
        <v>9588716</v>
      </c>
      <c r="F63" s="139">
        <f t="shared" si="38"/>
        <v>2010</v>
      </c>
      <c r="G63" s="2000">
        <v>986206</v>
      </c>
      <c r="H63" s="1841">
        <v>73145</v>
      </c>
      <c r="I63" s="171">
        <f t="shared" si="39"/>
        <v>913061</v>
      </c>
      <c r="J63" s="2000">
        <v>4845745</v>
      </c>
      <c r="K63" s="1841">
        <v>404989</v>
      </c>
      <c r="L63" s="171">
        <f t="shared" ref="L63:L84" si="49">+J63-K63</f>
        <v>4440756</v>
      </c>
      <c r="M63" s="2000">
        <v>2111802</v>
      </c>
      <c r="N63" s="1841">
        <v>170753</v>
      </c>
      <c r="O63" s="171">
        <f t="shared" si="40"/>
        <v>1941049</v>
      </c>
      <c r="P63" s="2000">
        <v>632341</v>
      </c>
      <c r="Q63" s="1841">
        <v>49107</v>
      </c>
      <c r="R63" s="171">
        <f t="shared" ref="R63:R84" si="50">+P63-Q63</f>
        <v>583234</v>
      </c>
      <c r="S63" s="2000">
        <v>1367511</v>
      </c>
      <c r="T63" s="1841">
        <v>61639</v>
      </c>
      <c r="U63" s="171">
        <f t="shared" si="41"/>
        <v>1305872</v>
      </c>
      <c r="V63" s="2000">
        <v>416249</v>
      </c>
      <c r="W63" s="1841">
        <v>11505</v>
      </c>
      <c r="X63" s="171">
        <f t="shared" si="42"/>
        <v>404744</v>
      </c>
      <c r="Y63" s="2000">
        <v>0</v>
      </c>
      <c r="Z63" s="1841">
        <v>0</v>
      </c>
      <c r="AA63" s="171">
        <f t="shared" si="43"/>
        <v>0</v>
      </c>
      <c r="AB63" s="2000">
        <v>0</v>
      </c>
      <c r="AC63" s="1841">
        <v>0</v>
      </c>
      <c r="AD63" s="171">
        <f t="shared" si="44"/>
        <v>0</v>
      </c>
      <c r="AE63" s="2000">
        <v>0</v>
      </c>
      <c r="AF63" s="1841">
        <v>0</v>
      </c>
      <c r="AG63" s="171">
        <f t="shared" si="45"/>
        <v>0</v>
      </c>
      <c r="AH63" s="2000">
        <v>0</v>
      </c>
      <c r="AI63" s="1841">
        <v>0</v>
      </c>
      <c r="AJ63" s="171">
        <f t="shared" si="46"/>
        <v>0</v>
      </c>
      <c r="AK63" s="2000">
        <v>0</v>
      </c>
      <c r="AL63" s="1841">
        <v>0</v>
      </c>
      <c r="AM63" s="171">
        <f t="shared" si="47"/>
        <v>0</v>
      </c>
    </row>
    <row r="64" spans="1:39">
      <c r="A64" s="120">
        <f t="shared" si="6"/>
        <v>24</v>
      </c>
      <c r="B64" s="139">
        <f t="shared" si="48"/>
        <v>2011</v>
      </c>
      <c r="C64" s="1001">
        <f>+G64+J64+M64+P64+S64+V64+Y64+AB64+AE64</f>
        <v>11891113</v>
      </c>
      <c r="D64" s="1001">
        <f>+H64+K64+N64+Q64+T64+W64+Z64+AC64+AF64</f>
        <v>1020889</v>
      </c>
      <c r="E64" s="1001">
        <f>+I64+L64+O64+R64+U64+X64+AA64+AD64+AG64</f>
        <v>10870224</v>
      </c>
      <c r="F64" s="139">
        <f t="shared" si="38"/>
        <v>2011</v>
      </c>
      <c r="G64" s="2000">
        <v>983252</v>
      </c>
      <c r="H64" s="1841">
        <v>96740</v>
      </c>
      <c r="I64" s="171">
        <f t="shared" si="39"/>
        <v>886512</v>
      </c>
      <c r="J64" s="2000">
        <v>4845745</v>
      </c>
      <c r="K64" s="1841">
        <v>521049</v>
      </c>
      <c r="L64" s="171">
        <f t="shared" si="49"/>
        <v>4324696</v>
      </c>
      <c r="M64" s="2000">
        <v>2122148</v>
      </c>
      <c r="N64" s="1841">
        <v>221485</v>
      </c>
      <c r="O64" s="171">
        <f t="shared" si="40"/>
        <v>1900663</v>
      </c>
      <c r="P64" s="2000">
        <v>641927</v>
      </c>
      <c r="Q64" s="1841">
        <v>64399</v>
      </c>
      <c r="R64" s="171">
        <f t="shared" si="50"/>
        <v>577528</v>
      </c>
      <c r="S64" s="2000">
        <v>1370530</v>
      </c>
      <c r="T64" s="1841">
        <v>94439</v>
      </c>
      <c r="U64" s="171">
        <f t="shared" si="41"/>
        <v>1276091</v>
      </c>
      <c r="V64" s="2000">
        <v>416249</v>
      </c>
      <c r="W64" s="1841">
        <v>21475</v>
      </c>
      <c r="X64" s="171">
        <f t="shared" si="42"/>
        <v>394774</v>
      </c>
      <c r="Y64" s="2000">
        <v>42111</v>
      </c>
      <c r="Z64" s="1841">
        <v>230</v>
      </c>
      <c r="AA64" s="171">
        <f t="shared" si="43"/>
        <v>41881</v>
      </c>
      <c r="AB64" s="2000">
        <v>1469151</v>
      </c>
      <c r="AC64" s="1841">
        <v>1072</v>
      </c>
      <c r="AD64" s="171">
        <f t="shared" si="44"/>
        <v>1468079</v>
      </c>
      <c r="AE64" s="2000">
        <v>0</v>
      </c>
      <c r="AF64" s="1841">
        <f>ROUND($AF$58+SUM($AG$45*12,$AG$46*11,$AG$47*10,$AG$48*9,$AG$49*8,$AG$50*7,$AG$51*6,$AG$52*5,$AG$53*4,$AG$54*3,$AG$55*2,$AG$56)/13,0)</f>
        <v>0</v>
      </c>
      <c r="AG64" s="171">
        <f t="shared" si="45"/>
        <v>0</v>
      </c>
      <c r="AH64" s="2000">
        <v>0</v>
      </c>
      <c r="AI64" s="1841">
        <v>0</v>
      </c>
      <c r="AJ64" s="171">
        <f t="shared" si="46"/>
        <v>0</v>
      </c>
      <c r="AK64" s="2000">
        <v>0</v>
      </c>
      <c r="AL64" s="1841">
        <v>0</v>
      </c>
      <c r="AM64" s="171">
        <f t="shared" si="47"/>
        <v>0</v>
      </c>
    </row>
    <row r="65" spans="1:39">
      <c r="A65" s="120">
        <f t="shared" si="6"/>
        <v>25</v>
      </c>
      <c r="B65" s="139">
        <f t="shared" si="48"/>
        <v>2012</v>
      </c>
      <c r="C65" s="1001">
        <f>+G65+J65+M65+P65+S65+V65+Y65+AB65+AE65+AH65</f>
        <v>11939878</v>
      </c>
      <c r="D65" s="1001">
        <f>+H65+K65+N65+Q65+T65+W65+Z65+AC65+AF65+AI65</f>
        <v>1232185</v>
      </c>
      <c r="E65" s="1001">
        <f>+I65+L65+O65+R65+U65+X65+AA65+AD65+AG65+AJ65</f>
        <v>10707693</v>
      </c>
      <c r="F65" s="139">
        <f t="shared" si="38"/>
        <v>2012</v>
      </c>
      <c r="G65" s="2000">
        <f>SUM($G$44:$G$56)/13</f>
        <v>983252</v>
      </c>
      <c r="H65" s="1841">
        <f>ROUND($H$58+SUM($I$45*12,$I$46*11,$I$47*10,$I$48*9,$I$49*8,$I$50*7,$I$51*6,$I$52*5,$I$53*4,$I$54*3,$I$55*2,$I$56)/13,0)</f>
        <v>114880</v>
      </c>
      <c r="I65" s="171">
        <f t="shared" ref="I65" si="51">+G65-H65</f>
        <v>868372</v>
      </c>
      <c r="J65" s="2000">
        <f>SUM($J$44:$J$56)/13</f>
        <v>4845745</v>
      </c>
      <c r="K65" s="1841">
        <f>ROUND($K$58+SUM($L$45*12,$L$46*11,$L$47*10,$L$48*9,$L$49*8,$L$50*7,$L$51*6,$L$52*5,$L$53*4,$L$54*3,$L$55*2,$L$56)/13,0)</f>
        <v>610443</v>
      </c>
      <c r="L65" s="171">
        <f t="shared" ref="L65" si="52">+J65-K65</f>
        <v>4235302</v>
      </c>
      <c r="M65" s="2000">
        <f>SUM($M$44:$M$56)/13</f>
        <v>2122148</v>
      </c>
      <c r="N65" s="1841">
        <f>ROUND($N$58+SUM($O$45*12,$O$46*11,$O$47*10,$O$48*9,$O$49*8,$O$50*7,$O$51*6,$O$52*5,$O$53*4,$O$54*3,$O$55*2,$O$56)/13,0)</f>
        <v>260635</v>
      </c>
      <c r="O65" s="171">
        <f t="shared" ref="O65" si="53">+M65-N65</f>
        <v>1861513</v>
      </c>
      <c r="P65" s="2000">
        <f>SUM($P$44:$P$56)/13</f>
        <v>641927</v>
      </c>
      <c r="Q65" s="1841">
        <f>ROUND($Q$58+SUM($R$45*12,$R$46*11,$R$47*10,$R$48*9,$R$49*8,$R$50*7,$R$51*6,$R$52*5,$R$53*4,$R$54*3,$R$55*2,$R$56)/13,0)</f>
        <v>76241</v>
      </c>
      <c r="R65" s="171">
        <f t="shared" ref="R65" si="54">+P65-Q65</f>
        <v>565686</v>
      </c>
      <c r="S65" s="2000">
        <f>SUM($S$44:$S$56)/13</f>
        <v>1370530</v>
      </c>
      <c r="T65" s="1841">
        <f>ROUND($T$58+SUM($U$45*12,$U$46*11,$U$47*10,$U$48*9,$U$49*8,$U$50*7,$U$51*6,$U$52*5,$U$53*4,$U$54*3,$U$55*2,$U$56)/13,0)</f>
        <v>119723</v>
      </c>
      <c r="U65" s="171">
        <f t="shared" ref="U65" si="55">+S65-T65</f>
        <v>1250807</v>
      </c>
      <c r="V65" s="2000">
        <f>SUM($V$44:$V$56)/13</f>
        <v>416249</v>
      </c>
      <c r="W65" s="1841">
        <f>ROUND($W$58+SUM($X$45*12,$X$46*11,$X$47*10,$X$48*9,$X$49*8,$X$50*7,$X$51*6,$X$52*5,$X$53*4,$X$54*3,$X$55*2,$X$56)/13,0)</f>
        <v>29153</v>
      </c>
      <c r="X65" s="171">
        <f t="shared" ref="X65" si="56">+V65-W65</f>
        <v>387096</v>
      </c>
      <c r="Y65" s="2000">
        <f>SUM($Y$44:$Y$56)/13</f>
        <v>42111</v>
      </c>
      <c r="Z65" s="1841">
        <f>ROUND($Z$58+SUM($AA$45*12,$AA$46*11,$AA$47*10,$AA$48*9,$AA$49*8,$AA$50*7,$AA$51*6,$AA$52*5,$AA$53*4,$AA$54*3,$AA$55*2,$AA$56)/13,0)</f>
        <v>976</v>
      </c>
      <c r="AA65" s="171">
        <f t="shared" ref="AA65" si="57">+Y65-Z65</f>
        <v>41135</v>
      </c>
      <c r="AB65" s="2000">
        <f>ROUND((SUM($AB$44:$AB$56)/13),0)</f>
        <v>1469151</v>
      </c>
      <c r="AC65" s="1841">
        <f>ROUND($AC$58+SUM($AD$45*12,$AD$46*11,$AD$47*10,$AD$48*9,$AD$49*8,$AD$50*7,$AD$51*6,$AD$52*5,$AD$53*4,$AD$54*3,$AD$55*2,$AD$56)/13,0)</f>
        <v>20134</v>
      </c>
      <c r="AD65" s="171">
        <f t="shared" ref="AD65" si="58">+AB65-AC65</f>
        <v>1449017</v>
      </c>
      <c r="AE65" s="2000">
        <f>ROUND((SUM($AE$44:$AE$56)/13),0)</f>
        <v>13548</v>
      </c>
      <c r="AF65" s="1841">
        <f>ROUND($AF$58+SUM($AG$45*12,$AG$46*11,$AG$47*10,$AG$48*9,$AG$49*8,$AG$50*7,$AG$51*6,$AG$52*5,$AG$53*4,$AG$54*3,$AG$55*2,$AG$56)/13,0)</f>
        <v>0</v>
      </c>
      <c r="AG65" s="171">
        <f t="shared" ref="AG65" si="59">+AE65-AF65</f>
        <v>13548</v>
      </c>
      <c r="AH65" s="2000">
        <f>ROUND((SUM($AH$44:$AH$56)/13),0)</f>
        <v>35217</v>
      </c>
      <c r="AI65" s="1841">
        <f>ROUND($AF$58+SUM($AG$45*12,$AG$46*11,$AG$47*10,$AG$48*9,$AG$49*8,$AG$50*7,$AG$51*6,$AG$52*5,$AG$53*4,$AG$54*3,$AG$55*2,$AG$56)/13,0)</f>
        <v>0</v>
      </c>
      <c r="AJ65" s="171">
        <f t="shared" si="46"/>
        <v>35217</v>
      </c>
      <c r="AK65" s="2000">
        <f>ROUND((SUM($AK$44:$AK$56)/13),0)</f>
        <v>0</v>
      </c>
      <c r="AL65" s="1841">
        <f>ROUND($AF$58+SUM($AG$45*12,$AG$46*11,$AG$47*10,$AG$48*9,$AG$49*8,$AG$50*7,$AG$51*6,$AG$52*5,$AG$53*4,$AG$54*3,$AG$55*2,$AG$56)/13,0)</f>
        <v>0</v>
      </c>
      <c r="AM65" s="171">
        <f t="shared" si="47"/>
        <v>0</v>
      </c>
    </row>
    <row r="66" spans="1:39">
      <c r="A66" s="120">
        <f t="shared" si="6"/>
        <v>26</v>
      </c>
      <c r="B66" s="127">
        <f t="shared" si="48"/>
        <v>2013</v>
      </c>
      <c r="C66" s="773">
        <f t="shared" ref="C66:C84" si="60">+G66+J66+M66</f>
        <v>0</v>
      </c>
      <c r="D66" s="773">
        <f t="shared" ref="D66:D84" si="61">+H66+K66+N66</f>
        <v>0</v>
      </c>
      <c r="E66" s="773">
        <f t="shared" ref="E66:E84" si="62">+I66+L66+O66</f>
        <v>0</v>
      </c>
      <c r="F66" s="139">
        <f t="shared" si="38"/>
        <v>2013</v>
      </c>
      <c r="G66" s="168"/>
      <c r="H66" s="133">
        <v>0</v>
      </c>
      <c r="I66" s="171">
        <f t="shared" si="39"/>
        <v>0</v>
      </c>
      <c r="J66" s="168"/>
      <c r="K66" s="133">
        <v>0</v>
      </c>
      <c r="L66" s="171">
        <f t="shared" si="49"/>
        <v>0</v>
      </c>
      <c r="M66" s="168"/>
      <c r="N66" s="133">
        <v>0</v>
      </c>
      <c r="O66" s="171">
        <f t="shared" si="40"/>
        <v>0</v>
      </c>
      <c r="P66" s="168"/>
      <c r="Q66" s="133">
        <v>0</v>
      </c>
      <c r="R66" s="171">
        <f t="shared" si="50"/>
        <v>0</v>
      </c>
      <c r="S66" s="168"/>
      <c r="T66" s="133">
        <v>0</v>
      </c>
      <c r="U66" s="171">
        <f t="shared" si="41"/>
        <v>0</v>
      </c>
      <c r="V66" s="168"/>
      <c r="W66" s="133">
        <v>0</v>
      </c>
      <c r="X66" s="171">
        <f t="shared" si="42"/>
        <v>0</v>
      </c>
      <c r="Y66" s="168"/>
      <c r="Z66" s="133">
        <v>0</v>
      </c>
      <c r="AA66" s="171">
        <f t="shared" si="43"/>
        <v>0</v>
      </c>
      <c r="AB66" s="168"/>
      <c r="AC66" s="133">
        <v>0</v>
      </c>
      <c r="AD66" s="171">
        <f t="shared" si="44"/>
        <v>0</v>
      </c>
      <c r="AE66" s="168"/>
      <c r="AF66" s="133">
        <v>0</v>
      </c>
      <c r="AG66" s="171">
        <f t="shared" si="45"/>
        <v>0</v>
      </c>
      <c r="AH66" s="168"/>
      <c r="AI66" s="133">
        <v>0</v>
      </c>
      <c r="AJ66" s="171">
        <f t="shared" si="46"/>
        <v>0</v>
      </c>
      <c r="AK66" s="168"/>
      <c r="AL66" s="133">
        <v>0</v>
      </c>
      <c r="AM66" s="171">
        <f t="shared" si="47"/>
        <v>0</v>
      </c>
    </row>
    <row r="67" spans="1:39">
      <c r="A67" s="120">
        <f t="shared" si="6"/>
        <v>27</v>
      </c>
      <c r="B67" s="127">
        <f t="shared" si="48"/>
        <v>2014</v>
      </c>
      <c r="C67" s="773">
        <f t="shared" si="60"/>
        <v>0</v>
      </c>
      <c r="D67" s="773">
        <f t="shared" si="61"/>
        <v>0</v>
      </c>
      <c r="E67" s="773">
        <f t="shared" si="62"/>
        <v>0</v>
      </c>
      <c r="F67" s="139">
        <f t="shared" si="38"/>
        <v>2014</v>
      </c>
      <c r="G67" s="168"/>
      <c r="H67" s="133">
        <v>0</v>
      </c>
      <c r="I67" s="171">
        <f t="shared" si="39"/>
        <v>0</v>
      </c>
      <c r="J67" s="168"/>
      <c r="K67" s="133">
        <v>0</v>
      </c>
      <c r="L67" s="171">
        <f t="shared" si="49"/>
        <v>0</v>
      </c>
      <c r="M67" s="168"/>
      <c r="N67" s="133">
        <v>0</v>
      </c>
      <c r="O67" s="171">
        <f t="shared" si="40"/>
        <v>0</v>
      </c>
      <c r="P67" s="168"/>
      <c r="Q67" s="133">
        <v>0</v>
      </c>
      <c r="R67" s="171">
        <f t="shared" si="50"/>
        <v>0</v>
      </c>
      <c r="S67" s="168"/>
      <c r="T67" s="133">
        <v>0</v>
      </c>
      <c r="U67" s="171">
        <f t="shared" si="41"/>
        <v>0</v>
      </c>
      <c r="V67" s="168"/>
      <c r="W67" s="133">
        <v>0</v>
      </c>
      <c r="X67" s="171">
        <f t="shared" si="42"/>
        <v>0</v>
      </c>
      <c r="Y67" s="168"/>
      <c r="Z67" s="133">
        <v>0</v>
      </c>
      <c r="AA67" s="171">
        <f t="shared" si="43"/>
        <v>0</v>
      </c>
      <c r="AB67" s="168"/>
      <c r="AC67" s="133">
        <v>0</v>
      </c>
      <c r="AD67" s="171">
        <f t="shared" si="44"/>
        <v>0</v>
      </c>
      <c r="AE67" s="168"/>
      <c r="AF67" s="133">
        <v>0</v>
      </c>
      <c r="AG67" s="171">
        <f t="shared" si="45"/>
        <v>0</v>
      </c>
      <c r="AH67" s="168"/>
      <c r="AI67" s="133">
        <v>0</v>
      </c>
      <c r="AJ67" s="171">
        <f t="shared" si="46"/>
        <v>0</v>
      </c>
      <c r="AK67" s="168"/>
      <c r="AL67" s="133">
        <v>0</v>
      </c>
      <c r="AM67" s="171">
        <f t="shared" si="47"/>
        <v>0</v>
      </c>
    </row>
    <row r="68" spans="1:39">
      <c r="A68" s="120">
        <f t="shared" si="6"/>
        <v>28</v>
      </c>
      <c r="B68" s="127">
        <f t="shared" si="48"/>
        <v>2015</v>
      </c>
      <c r="C68" s="773">
        <f t="shared" si="60"/>
        <v>0</v>
      </c>
      <c r="D68" s="773">
        <f t="shared" si="61"/>
        <v>0</v>
      </c>
      <c r="E68" s="773">
        <f t="shared" si="62"/>
        <v>0</v>
      </c>
      <c r="F68" s="139">
        <f t="shared" si="38"/>
        <v>2015</v>
      </c>
      <c r="G68" s="168"/>
      <c r="H68" s="133">
        <v>0</v>
      </c>
      <c r="I68" s="171">
        <f t="shared" si="39"/>
        <v>0</v>
      </c>
      <c r="J68" s="168"/>
      <c r="K68" s="133">
        <v>0</v>
      </c>
      <c r="L68" s="171">
        <f t="shared" si="49"/>
        <v>0</v>
      </c>
      <c r="M68" s="168"/>
      <c r="N68" s="133">
        <v>0</v>
      </c>
      <c r="O68" s="171">
        <f t="shared" si="40"/>
        <v>0</v>
      </c>
      <c r="P68" s="168"/>
      <c r="Q68" s="133">
        <v>0</v>
      </c>
      <c r="R68" s="171">
        <f t="shared" si="50"/>
        <v>0</v>
      </c>
      <c r="S68" s="168"/>
      <c r="T68" s="133">
        <v>0</v>
      </c>
      <c r="U68" s="171">
        <f t="shared" si="41"/>
        <v>0</v>
      </c>
      <c r="V68" s="168"/>
      <c r="W68" s="133">
        <v>0</v>
      </c>
      <c r="X68" s="171">
        <f t="shared" si="42"/>
        <v>0</v>
      </c>
      <c r="Y68" s="168"/>
      <c r="Z68" s="133">
        <v>0</v>
      </c>
      <c r="AA68" s="171">
        <f t="shared" si="43"/>
        <v>0</v>
      </c>
      <c r="AB68" s="168"/>
      <c r="AC68" s="133">
        <v>0</v>
      </c>
      <c r="AD68" s="171">
        <f t="shared" si="44"/>
        <v>0</v>
      </c>
      <c r="AE68" s="168"/>
      <c r="AF68" s="133">
        <v>0</v>
      </c>
      <c r="AG68" s="171">
        <f t="shared" si="45"/>
        <v>0</v>
      </c>
      <c r="AH68" s="168"/>
      <c r="AI68" s="133">
        <v>0</v>
      </c>
      <c r="AJ68" s="171">
        <f t="shared" si="46"/>
        <v>0</v>
      </c>
      <c r="AK68" s="168"/>
      <c r="AL68" s="133">
        <v>0</v>
      </c>
      <c r="AM68" s="171">
        <f t="shared" si="47"/>
        <v>0</v>
      </c>
    </row>
    <row r="69" spans="1:39">
      <c r="A69" s="120">
        <f t="shared" si="6"/>
        <v>29</v>
      </c>
      <c r="B69" s="127">
        <f t="shared" si="48"/>
        <v>2016</v>
      </c>
      <c r="C69" s="773">
        <f t="shared" si="60"/>
        <v>0</v>
      </c>
      <c r="D69" s="773">
        <f t="shared" si="61"/>
        <v>0</v>
      </c>
      <c r="E69" s="773">
        <f t="shared" si="62"/>
        <v>0</v>
      </c>
      <c r="F69" s="139">
        <f t="shared" si="38"/>
        <v>2016</v>
      </c>
      <c r="G69" s="168"/>
      <c r="H69" s="133">
        <v>0</v>
      </c>
      <c r="I69" s="171">
        <f t="shared" si="39"/>
        <v>0</v>
      </c>
      <c r="J69" s="168"/>
      <c r="K69" s="133">
        <v>0</v>
      </c>
      <c r="L69" s="171">
        <f t="shared" si="49"/>
        <v>0</v>
      </c>
      <c r="M69" s="168"/>
      <c r="N69" s="133">
        <v>0</v>
      </c>
      <c r="O69" s="171">
        <f t="shared" si="40"/>
        <v>0</v>
      </c>
      <c r="P69" s="168"/>
      <c r="Q69" s="133">
        <v>0</v>
      </c>
      <c r="R69" s="171">
        <f t="shared" si="50"/>
        <v>0</v>
      </c>
      <c r="S69" s="168"/>
      <c r="T69" s="133">
        <v>0</v>
      </c>
      <c r="U69" s="171">
        <f t="shared" si="41"/>
        <v>0</v>
      </c>
      <c r="V69" s="168"/>
      <c r="W69" s="133">
        <v>0</v>
      </c>
      <c r="X69" s="171">
        <f t="shared" si="42"/>
        <v>0</v>
      </c>
      <c r="Y69" s="168"/>
      <c r="Z69" s="133">
        <v>0</v>
      </c>
      <c r="AA69" s="171">
        <f t="shared" si="43"/>
        <v>0</v>
      </c>
      <c r="AB69" s="168"/>
      <c r="AC69" s="133">
        <v>0</v>
      </c>
      <c r="AD69" s="171">
        <f t="shared" si="44"/>
        <v>0</v>
      </c>
      <c r="AE69" s="168"/>
      <c r="AF69" s="133">
        <v>0</v>
      </c>
      <c r="AG69" s="171">
        <f t="shared" si="45"/>
        <v>0</v>
      </c>
      <c r="AH69" s="168"/>
      <c r="AI69" s="133">
        <v>0</v>
      </c>
      <c r="AJ69" s="171">
        <f t="shared" si="46"/>
        <v>0</v>
      </c>
      <c r="AK69" s="168"/>
      <c r="AL69" s="133">
        <v>0</v>
      </c>
      <c r="AM69" s="171">
        <f t="shared" si="47"/>
        <v>0</v>
      </c>
    </row>
    <row r="70" spans="1:39">
      <c r="A70" s="120">
        <f t="shared" si="6"/>
        <v>30</v>
      </c>
      <c r="B70" s="127">
        <f t="shared" si="48"/>
        <v>2017</v>
      </c>
      <c r="C70" s="773">
        <f t="shared" si="60"/>
        <v>0</v>
      </c>
      <c r="D70" s="773">
        <f t="shared" si="61"/>
        <v>0</v>
      </c>
      <c r="E70" s="773">
        <f t="shared" si="62"/>
        <v>0</v>
      </c>
      <c r="F70" s="139">
        <f t="shared" si="38"/>
        <v>2017</v>
      </c>
      <c r="G70" s="168"/>
      <c r="H70" s="133">
        <v>0</v>
      </c>
      <c r="I70" s="171">
        <f t="shared" si="39"/>
        <v>0</v>
      </c>
      <c r="J70" s="168"/>
      <c r="K70" s="133">
        <v>0</v>
      </c>
      <c r="L70" s="171">
        <f t="shared" si="49"/>
        <v>0</v>
      </c>
      <c r="M70" s="168"/>
      <c r="N70" s="133">
        <v>0</v>
      </c>
      <c r="O70" s="171">
        <f t="shared" si="40"/>
        <v>0</v>
      </c>
      <c r="P70" s="168"/>
      <c r="Q70" s="133">
        <v>0</v>
      </c>
      <c r="R70" s="171">
        <f t="shared" si="50"/>
        <v>0</v>
      </c>
      <c r="S70" s="168"/>
      <c r="T70" s="133">
        <v>0</v>
      </c>
      <c r="U70" s="171">
        <f t="shared" si="41"/>
        <v>0</v>
      </c>
      <c r="V70" s="168"/>
      <c r="W70" s="133">
        <v>0</v>
      </c>
      <c r="X70" s="171">
        <f t="shared" si="42"/>
        <v>0</v>
      </c>
      <c r="Y70" s="168"/>
      <c r="Z70" s="133">
        <v>0</v>
      </c>
      <c r="AA70" s="171">
        <f t="shared" si="43"/>
        <v>0</v>
      </c>
      <c r="AB70" s="168"/>
      <c r="AC70" s="133">
        <v>0</v>
      </c>
      <c r="AD70" s="171">
        <f t="shared" si="44"/>
        <v>0</v>
      </c>
      <c r="AE70" s="168"/>
      <c r="AF70" s="133">
        <v>0</v>
      </c>
      <c r="AG70" s="171">
        <f t="shared" si="45"/>
        <v>0</v>
      </c>
      <c r="AH70" s="168"/>
      <c r="AI70" s="133">
        <v>0</v>
      </c>
      <c r="AJ70" s="171">
        <f t="shared" si="46"/>
        <v>0</v>
      </c>
      <c r="AK70" s="168"/>
      <c r="AL70" s="133">
        <v>0</v>
      </c>
      <c r="AM70" s="171">
        <f t="shared" si="47"/>
        <v>0</v>
      </c>
    </row>
    <row r="71" spans="1:39">
      <c r="A71" s="120">
        <f t="shared" si="6"/>
        <v>31</v>
      </c>
      <c r="B71" s="127">
        <f t="shared" si="48"/>
        <v>2018</v>
      </c>
      <c r="C71" s="773">
        <f t="shared" si="60"/>
        <v>0</v>
      </c>
      <c r="D71" s="773">
        <f t="shared" si="61"/>
        <v>0</v>
      </c>
      <c r="E71" s="773">
        <f t="shared" si="62"/>
        <v>0</v>
      </c>
      <c r="F71" s="139">
        <f t="shared" si="38"/>
        <v>2018</v>
      </c>
      <c r="G71" s="168"/>
      <c r="H71" s="133">
        <v>0</v>
      </c>
      <c r="I71" s="171">
        <f t="shared" si="39"/>
        <v>0</v>
      </c>
      <c r="J71" s="168"/>
      <c r="K71" s="133">
        <v>0</v>
      </c>
      <c r="L71" s="171">
        <f t="shared" si="49"/>
        <v>0</v>
      </c>
      <c r="M71" s="168"/>
      <c r="N71" s="133">
        <v>0</v>
      </c>
      <c r="O71" s="171">
        <f t="shared" si="40"/>
        <v>0</v>
      </c>
      <c r="P71" s="168"/>
      <c r="Q71" s="133">
        <v>0</v>
      </c>
      <c r="R71" s="171">
        <f t="shared" si="50"/>
        <v>0</v>
      </c>
      <c r="S71" s="168"/>
      <c r="T71" s="133">
        <v>0</v>
      </c>
      <c r="U71" s="171">
        <f t="shared" si="41"/>
        <v>0</v>
      </c>
      <c r="V71" s="168"/>
      <c r="W71" s="133">
        <v>0</v>
      </c>
      <c r="X71" s="171">
        <f t="shared" si="42"/>
        <v>0</v>
      </c>
      <c r="Y71" s="168"/>
      <c r="Z71" s="133">
        <v>0</v>
      </c>
      <c r="AA71" s="171">
        <f t="shared" si="43"/>
        <v>0</v>
      </c>
      <c r="AB71" s="168"/>
      <c r="AC71" s="133">
        <v>0</v>
      </c>
      <c r="AD71" s="171">
        <f t="shared" si="44"/>
        <v>0</v>
      </c>
      <c r="AE71" s="168"/>
      <c r="AF71" s="133">
        <v>0</v>
      </c>
      <c r="AG71" s="171">
        <f t="shared" si="45"/>
        <v>0</v>
      </c>
      <c r="AH71" s="168"/>
      <c r="AI71" s="133">
        <v>0</v>
      </c>
      <c r="AJ71" s="171">
        <f t="shared" si="46"/>
        <v>0</v>
      </c>
      <c r="AK71" s="168"/>
      <c r="AL71" s="133">
        <v>0</v>
      </c>
      <c r="AM71" s="171">
        <f t="shared" si="47"/>
        <v>0</v>
      </c>
    </row>
    <row r="72" spans="1:39">
      <c r="A72" s="120">
        <f t="shared" si="6"/>
        <v>32</v>
      </c>
      <c r="B72" s="127">
        <f t="shared" si="48"/>
        <v>2019</v>
      </c>
      <c r="C72" s="773">
        <f t="shared" si="60"/>
        <v>0</v>
      </c>
      <c r="D72" s="773">
        <f t="shared" si="61"/>
        <v>0</v>
      </c>
      <c r="E72" s="773">
        <f t="shared" si="62"/>
        <v>0</v>
      </c>
      <c r="F72" s="139">
        <f t="shared" si="38"/>
        <v>2019</v>
      </c>
      <c r="G72" s="168"/>
      <c r="H72" s="133">
        <v>0</v>
      </c>
      <c r="I72" s="171">
        <f t="shared" si="39"/>
        <v>0</v>
      </c>
      <c r="J72" s="168"/>
      <c r="K72" s="133">
        <v>0</v>
      </c>
      <c r="L72" s="171">
        <f t="shared" si="49"/>
        <v>0</v>
      </c>
      <c r="M72" s="168"/>
      <c r="N72" s="133">
        <v>0</v>
      </c>
      <c r="O72" s="171">
        <f t="shared" si="40"/>
        <v>0</v>
      </c>
      <c r="P72" s="168"/>
      <c r="Q72" s="133">
        <v>0</v>
      </c>
      <c r="R72" s="171">
        <f t="shared" si="50"/>
        <v>0</v>
      </c>
      <c r="S72" s="168"/>
      <c r="T72" s="133">
        <v>0</v>
      </c>
      <c r="U72" s="171">
        <f t="shared" si="41"/>
        <v>0</v>
      </c>
      <c r="V72" s="168"/>
      <c r="W72" s="133">
        <v>0</v>
      </c>
      <c r="X72" s="171">
        <f t="shared" si="42"/>
        <v>0</v>
      </c>
      <c r="Y72" s="168"/>
      <c r="Z72" s="133">
        <v>0</v>
      </c>
      <c r="AA72" s="171">
        <f t="shared" si="43"/>
        <v>0</v>
      </c>
      <c r="AB72" s="168"/>
      <c r="AC72" s="133">
        <v>0</v>
      </c>
      <c r="AD72" s="171">
        <f t="shared" si="44"/>
        <v>0</v>
      </c>
      <c r="AE72" s="168"/>
      <c r="AF72" s="133">
        <v>0</v>
      </c>
      <c r="AG72" s="171">
        <f t="shared" si="45"/>
        <v>0</v>
      </c>
      <c r="AH72" s="168"/>
      <c r="AI72" s="133">
        <v>0</v>
      </c>
      <c r="AJ72" s="171">
        <f t="shared" si="46"/>
        <v>0</v>
      </c>
      <c r="AK72" s="168"/>
      <c r="AL72" s="133">
        <v>0</v>
      </c>
      <c r="AM72" s="171">
        <f t="shared" si="47"/>
        <v>0</v>
      </c>
    </row>
    <row r="73" spans="1:39">
      <c r="A73" s="120">
        <f t="shared" si="6"/>
        <v>33</v>
      </c>
      <c r="B73" s="127">
        <f t="shared" si="48"/>
        <v>2020</v>
      </c>
      <c r="C73" s="773">
        <f t="shared" si="60"/>
        <v>0</v>
      </c>
      <c r="D73" s="773">
        <f t="shared" si="61"/>
        <v>0</v>
      </c>
      <c r="E73" s="773">
        <f t="shared" si="62"/>
        <v>0</v>
      </c>
      <c r="F73" s="139">
        <f t="shared" si="38"/>
        <v>2020</v>
      </c>
      <c r="G73" s="168"/>
      <c r="H73" s="133">
        <v>0</v>
      </c>
      <c r="I73" s="171">
        <f t="shared" si="39"/>
        <v>0</v>
      </c>
      <c r="J73" s="168"/>
      <c r="K73" s="133">
        <v>0</v>
      </c>
      <c r="L73" s="171">
        <f t="shared" si="49"/>
        <v>0</v>
      </c>
      <c r="M73" s="168"/>
      <c r="N73" s="133">
        <v>0</v>
      </c>
      <c r="O73" s="171">
        <f t="shared" si="40"/>
        <v>0</v>
      </c>
      <c r="P73" s="168"/>
      <c r="Q73" s="133">
        <v>0</v>
      </c>
      <c r="R73" s="171">
        <f t="shared" si="50"/>
        <v>0</v>
      </c>
      <c r="S73" s="168"/>
      <c r="T73" s="133">
        <v>0</v>
      </c>
      <c r="U73" s="171">
        <f t="shared" si="41"/>
        <v>0</v>
      </c>
      <c r="V73" s="168"/>
      <c r="W73" s="133">
        <v>0</v>
      </c>
      <c r="X73" s="171">
        <f t="shared" si="42"/>
        <v>0</v>
      </c>
      <c r="Y73" s="168"/>
      <c r="Z73" s="133">
        <v>0</v>
      </c>
      <c r="AA73" s="171">
        <f t="shared" si="43"/>
        <v>0</v>
      </c>
      <c r="AB73" s="168"/>
      <c r="AC73" s="133">
        <v>0</v>
      </c>
      <c r="AD73" s="171">
        <f t="shared" si="44"/>
        <v>0</v>
      </c>
      <c r="AE73" s="168"/>
      <c r="AF73" s="133">
        <v>0</v>
      </c>
      <c r="AG73" s="171">
        <f t="shared" si="45"/>
        <v>0</v>
      </c>
      <c r="AH73" s="168"/>
      <c r="AI73" s="133">
        <v>0</v>
      </c>
      <c r="AJ73" s="171">
        <f t="shared" si="46"/>
        <v>0</v>
      </c>
      <c r="AK73" s="168"/>
      <c r="AL73" s="133">
        <v>0</v>
      </c>
      <c r="AM73" s="171">
        <f t="shared" si="47"/>
        <v>0</v>
      </c>
    </row>
    <row r="74" spans="1:39">
      <c r="A74" s="120">
        <f t="shared" si="6"/>
        <v>34</v>
      </c>
      <c r="B74" s="127">
        <f t="shared" si="48"/>
        <v>2021</v>
      </c>
      <c r="C74" s="773">
        <f t="shared" si="60"/>
        <v>0</v>
      </c>
      <c r="D74" s="773">
        <f t="shared" si="61"/>
        <v>0</v>
      </c>
      <c r="E74" s="773">
        <f t="shared" si="62"/>
        <v>0</v>
      </c>
      <c r="F74" s="139">
        <f t="shared" si="38"/>
        <v>2021</v>
      </c>
      <c r="G74" s="168"/>
      <c r="H74" s="133">
        <v>0</v>
      </c>
      <c r="I74" s="171">
        <f t="shared" si="39"/>
        <v>0</v>
      </c>
      <c r="J74" s="168"/>
      <c r="K74" s="133">
        <v>0</v>
      </c>
      <c r="L74" s="171">
        <f t="shared" si="49"/>
        <v>0</v>
      </c>
      <c r="M74" s="168"/>
      <c r="N74" s="133">
        <v>0</v>
      </c>
      <c r="O74" s="171">
        <f t="shared" si="40"/>
        <v>0</v>
      </c>
      <c r="P74" s="168"/>
      <c r="Q74" s="133">
        <v>0</v>
      </c>
      <c r="R74" s="171">
        <f t="shared" si="50"/>
        <v>0</v>
      </c>
      <c r="S74" s="168"/>
      <c r="T74" s="133">
        <v>0</v>
      </c>
      <c r="U74" s="171">
        <f t="shared" si="41"/>
        <v>0</v>
      </c>
      <c r="V74" s="168"/>
      <c r="W74" s="133">
        <v>0</v>
      </c>
      <c r="X74" s="171">
        <f t="shared" si="42"/>
        <v>0</v>
      </c>
      <c r="Y74" s="168"/>
      <c r="Z74" s="133">
        <v>0</v>
      </c>
      <c r="AA74" s="171">
        <f t="shared" si="43"/>
        <v>0</v>
      </c>
      <c r="AB74" s="168"/>
      <c r="AC74" s="133">
        <v>0</v>
      </c>
      <c r="AD74" s="171">
        <f t="shared" si="44"/>
        <v>0</v>
      </c>
      <c r="AE74" s="168"/>
      <c r="AF74" s="133">
        <v>0</v>
      </c>
      <c r="AG74" s="171">
        <f t="shared" si="45"/>
        <v>0</v>
      </c>
      <c r="AH74" s="168"/>
      <c r="AI74" s="133">
        <v>0</v>
      </c>
      <c r="AJ74" s="171">
        <f t="shared" si="46"/>
        <v>0</v>
      </c>
      <c r="AK74" s="168"/>
      <c r="AL74" s="133">
        <v>0</v>
      </c>
      <c r="AM74" s="171">
        <f t="shared" si="47"/>
        <v>0</v>
      </c>
    </row>
    <row r="75" spans="1:39">
      <c r="A75" s="120">
        <f t="shared" si="6"/>
        <v>35</v>
      </c>
      <c r="B75" s="127">
        <f t="shared" si="48"/>
        <v>2022</v>
      </c>
      <c r="C75" s="773">
        <f t="shared" si="60"/>
        <v>0</v>
      </c>
      <c r="D75" s="773">
        <f t="shared" si="61"/>
        <v>0</v>
      </c>
      <c r="E75" s="773">
        <f t="shared" si="62"/>
        <v>0</v>
      </c>
      <c r="F75" s="139">
        <f t="shared" si="38"/>
        <v>2022</v>
      </c>
      <c r="G75" s="168"/>
      <c r="H75" s="133">
        <v>0</v>
      </c>
      <c r="I75" s="171">
        <f t="shared" si="39"/>
        <v>0</v>
      </c>
      <c r="J75" s="168"/>
      <c r="K75" s="133">
        <v>0</v>
      </c>
      <c r="L75" s="171">
        <f t="shared" si="49"/>
        <v>0</v>
      </c>
      <c r="M75" s="168"/>
      <c r="N75" s="133">
        <v>0</v>
      </c>
      <c r="O75" s="171">
        <f t="shared" si="40"/>
        <v>0</v>
      </c>
      <c r="P75" s="168"/>
      <c r="Q75" s="133">
        <v>0</v>
      </c>
      <c r="R75" s="171">
        <f t="shared" si="50"/>
        <v>0</v>
      </c>
      <c r="S75" s="168"/>
      <c r="T75" s="133">
        <v>0</v>
      </c>
      <c r="U75" s="171">
        <f t="shared" si="41"/>
        <v>0</v>
      </c>
      <c r="V75" s="168"/>
      <c r="W75" s="133">
        <v>0</v>
      </c>
      <c r="X75" s="171">
        <f t="shared" si="42"/>
        <v>0</v>
      </c>
      <c r="Y75" s="168"/>
      <c r="Z75" s="133">
        <v>0</v>
      </c>
      <c r="AA75" s="171">
        <f t="shared" si="43"/>
        <v>0</v>
      </c>
      <c r="AB75" s="168"/>
      <c r="AC75" s="133">
        <v>0</v>
      </c>
      <c r="AD75" s="171">
        <f t="shared" si="44"/>
        <v>0</v>
      </c>
      <c r="AE75" s="168"/>
      <c r="AF75" s="133">
        <v>0</v>
      </c>
      <c r="AG75" s="171">
        <f t="shared" si="45"/>
        <v>0</v>
      </c>
      <c r="AH75" s="168"/>
      <c r="AI75" s="133">
        <v>0</v>
      </c>
      <c r="AJ75" s="171">
        <f t="shared" si="46"/>
        <v>0</v>
      </c>
      <c r="AK75" s="168"/>
      <c r="AL75" s="133">
        <v>0</v>
      </c>
      <c r="AM75" s="171">
        <f t="shared" si="47"/>
        <v>0</v>
      </c>
    </row>
    <row r="76" spans="1:39">
      <c r="A76" s="120">
        <f t="shared" si="6"/>
        <v>36</v>
      </c>
      <c r="B76" s="127">
        <f t="shared" si="48"/>
        <v>2023</v>
      </c>
      <c r="C76" s="773">
        <f t="shared" si="60"/>
        <v>0</v>
      </c>
      <c r="D76" s="773">
        <f t="shared" si="61"/>
        <v>0</v>
      </c>
      <c r="E76" s="773">
        <f t="shared" si="62"/>
        <v>0</v>
      </c>
      <c r="F76" s="139">
        <f t="shared" si="38"/>
        <v>2023</v>
      </c>
      <c r="G76" s="168"/>
      <c r="H76" s="133">
        <v>0</v>
      </c>
      <c r="I76" s="171">
        <f t="shared" si="39"/>
        <v>0</v>
      </c>
      <c r="J76" s="168"/>
      <c r="K76" s="133">
        <v>0</v>
      </c>
      <c r="L76" s="171">
        <f t="shared" si="49"/>
        <v>0</v>
      </c>
      <c r="M76" s="168"/>
      <c r="N76" s="133">
        <v>0</v>
      </c>
      <c r="O76" s="171">
        <f t="shared" si="40"/>
        <v>0</v>
      </c>
      <c r="P76" s="168"/>
      <c r="Q76" s="133">
        <v>0</v>
      </c>
      <c r="R76" s="171">
        <f t="shared" si="50"/>
        <v>0</v>
      </c>
      <c r="S76" s="168"/>
      <c r="T76" s="133">
        <v>0</v>
      </c>
      <c r="U76" s="171">
        <f t="shared" si="41"/>
        <v>0</v>
      </c>
      <c r="V76" s="168"/>
      <c r="W76" s="133">
        <v>0</v>
      </c>
      <c r="X76" s="171">
        <f t="shared" si="42"/>
        <v>0</v>
      </c>
      <c r="Y76" s="168"/>
      <c r="Z76" s="133">
        <v>0</v>
      </c>
      <c r="AA76" s="171">
        <f t="shared" si="43"/>
        <v>0</v>
      </c>
      <c r="AB76" s="168"/>
      <c r="AC76" s="133">
        <v>0</v>
      </c>
      <c r="AD76" s="171">
        <f t="shared" si="44"/>
        <v>0</v>
      </c>
      <c r="AE76" s="168"/>
      <c r="AF76" s="133">
        <v>0</v>
      </c>
      <c r="AG76" s="171">
        <f t="shared" si="45"/>
        <v>0</v>
      </c>
      <c r="AH76" s="168"/>
      <c r="AI76" s="133">
        <v>0</v>
      </c>
      <c r="AJ76" s="171">
        <f t="shared" si="46"/>
        <v>0</v>
      </c>
      <c r="AK76" s="168"/>
      <c r="AL76" s="133">
        <v>0</v>
      </c>
      <c r="AM76" s="171">
        <f t="shared" si="47"/>
        <v>0</v>
      </c>
    </row>
    <row r="77" spans="1:39">
      <c r="A77" s="120">
        <f t="shared" si="6"/>
        <v>37</v>
      </c>
      <c r="B77" s="127">
        <f t="shared" si="48"/>
        <v>2024</v>
      </c>
      <c r="C77" s="773">
        <f t="shared" si="60"/>
        <v>0</v>
      </c>
      <c r="D77" s="773">
        <f t="shared" si="61"/>
        <v>0</v>
      </c>
      <c r="E77" s="773">
        <f t="shared" si="62"/>
        <v>0</v>
      </c>
      <c r="F77" s="139">
        <f t="shared" si="38"/>
        <v>2024</v>
      </c>
      <c r="G77" s="168"/>
      <c r="H77" s="133">
        <v>0</v>
      </c>
      <c r="I77" s="171">
        <f t="shared" si="39"/>
        <v>0</v>
      </c>
      <c r="J77" s="168"/>
      <c r="K77" s="133">
        <v>0</v>
      </c>
      <c r="L77" s="171">
        <f t="shared" si="49"/>
        <v>0</v>
      </c>
      <c r="M77" s="168"/>
      <c r="N77" s="133">
        <v>0</v>
      </c>
      <c r="O77" s="171">
        <f t="shared" si="40"/>
        <v>0</v>
      </c>
      <c r="P77" s="168"/>
      <c r="Q77" s="133">
        <v>0</v>
      </c>
      <c r="R77" s="171">
        <f t="shared" si="50"/>
        <v>0</v>
      </c>
      <c r="S77" s="168"/>
      <c r="T77" s="133">
        <v>0</v>
      </c>
      <c r="U77" s="171">
        <f t="shared" si="41"/>
        <v>0</v>
      </c>
      <c r="V77" s="168"/>
      <c r="W77" s="133">
        <v>0</v>
      </c>
      <c r="X77" s="171">
        <f t="shared" si="42"/>
        <v>0</v>
      </c>
      <c r="Y77" s="168"/>
      <c r="Z77" s="133">
        <v>0</v>
      </c>
      <c r="AA77" s="171">
        <f t="shared" si="43"/>
        <v>0</v>
      </c>
      <c r="AB77" s="168"/>
      <c r="AC77" s="133">
        <v>0</v>
      </c>
      <c r="AD77" s="171">
        <f t="shared" si="44"/>
        <v>0</v>
      </c>
      <c r="AE77" s="168"/>
      <c r="AF77" s="133">
        <v>0</v>
      </c>
      <c r="AG77" s="171">
        <f t="shared" si="45"/>
        <v>0</v>
      </c>
      <c r="AH77" s="168"/>
      <c r="AI77" s="133">
        <v>0</v>
      </c>
      <c r="AJ77" s="171">
        <f t="shared" si="46"/>
        <v>0</v>
      </c>
      <c r="AK77" s="168"/>
      <c r="AL77" s="133">
        <v>0</v>
      </c>
      <c r="AM77" s="171">
        <f t="shared" si="47"/>
        <v>0</v>
      </c>
    </row>
    <row r="78" spans="1:39">
      <c r="A78" s="120">
        <f t="shared" si="6"/>
        <v>38</v>
      </c>
      <c r="B78" s="127">
        <f t="shared" si="48"/>
        <v>2025</v>
      </c>
      <c r="C78" s="773">
        <f t="shared" si="60"/>
        <v>0</v>
      </c>
      <c r="D78" s="773">
        <f t="shared" si="61"/>
        <v>0</v>
      </c>
      <c r="E78" s="773">
        <f t="shared" si="62"/>
        <v>0</v>
      </c>
      <c r="F78" s="139">
        <f t="shared" si="38"/>
        <v>2025</v>
      </c>
      <c r="G78" s="168"/>
      <c r="H78" s="133">
        <v>0</v>
      </c>
      <c r="I78" s="171">
        <f t="shared" si="39"/>
        <v>0</v>
      </c>
      <c r="J78" s="168"/>
      <c r="K78" s="133">
        <v>0</v>
      </c>
      <c r="L78" s="171">
        <f t="shared" si="49"/>
        <v>0</v>
      </c>
      <c r="M78" s="168"/>
      <c r="N78" s="133">
        <v>0</v>
      </c>
      <c r="O78" s="171">
        <f t="shared" si="40"/>
        <v>0</v>
      </c>
      <c r="P78" s="168"/>
      <c r="Q78" s="133">
        <v>0</v>
      </c>
      <c r="R78" s="171">
        <f t="shared" si="50"/>
        <v>0</v>
      </c>
      <c r="S78" s="168"/>
      <c r="T78" s="133">
        <v>0</v>
      </c>
      <c r="U78" s="171">
        <f t="shared" si="41"/>
        <v>0</v>
      </c>
      <c r="V78" s="168"/>
      <c r="W78" s="133">
        <v>0</v>
      </c>
      <c r="X78" s="171">
        <f t="shared" si="42"/>
        <v>0</v>
      </c>
      <c r="Y78" s="168"/>
      <c r="Z78" s="133">
        <v>0</v>
      </c>
      <c r="AA78" s="171">
        <f t="shared" si="43"/>
        <v>0</v>
      </c>
      <c r="AB78" s="168"/>
      <c r="AC78" s="133">
        <v>0</v>
      </c>
      <c r="AD78" s="171">
        <f t="shared" si="44"/>
        <v>0</v>
      </c>
      <c r="AE78" s="168"/>
      <c r="AF78" s="133">
        <v>0</v>
      </c>
      <c r="AG78" s="171">
        <f t="shared" si="45"/>
        <v>0</v>
      </c>
      <c r="AH78" s="168"/>
      <c r="AI78" s="133">
        <v>0</v>
      </c>
      <c r="AJ78" s="171">
        <f t="shared" si="46"/>
        <v>0</v>
      </c>
      <c r="AK78" s="168"/>
      <c r="AL78" s="133">
        <v>0</v>
      </c>
      <c r="AM78" s="171">
        <f t="shared" si="47"/>
        <v>0</v>
      </c>
    </row>
    <row r="79" spans="1:39">
      <c r="A79" s="120">
        <f t="shared" si="6"/>
        <v>39</v>
      </c>
      <c r="B79" s="127">
        <f t="shared" si="48"/>
        <v>2026</v>
      </c>
      <c r="C79" s="773">
        <f t="shared" si="60"/>
        <v>0</v>
      </c>
      <c r="D79" s="773">
        <f t="shared" si="61"/>
        <v>0</v>
      </c>
      <c r="E79" s="773">
        <f t="shared" si="62"/>
        <v>0</v>
      </c>
      <c r="F79" s="139">
        <f t="shared" si="38"/>
        <v>2026</v>
      </c>
      <c r="G79" s="168"/>
      <c r="H79" s="133">
        <v>0</v>
      </c>
      <c r="I79" s="171">
        <f t="shared" si="39"/>
        <v>0</v>
      </c>
      <c r="J79" s="168"/>
      <c r="K79" s="133">
        <v>0</v>
      </c>
      <c r="L79" s="171">
        <f t="shared" si="49"/>
        <v>0</v>
      </c>
      <c r="M79" s="168"/>
      <c r="N79" s="133">
        <v>0</v>
      </c>
      <c r="O79" s="171">
        <f t="shared" si="40"/>
        <v>0</v>
      </c>
      <c r="P79" s="168"/>
      <c r="Q79" s="133">
        <v>0</v>
      </c>
      <c r="R79" s="171">
        <f t="shared" si="50"/>
        <v>0</v>
      </c>
      <c r="S79" s="168"/>
      <c r="T79" s="133">
        <v>0</v>
      </c>
      <c r="U79" s="171">
        <f t="shared" si="41"/>
        <v>0</v>
      </c>
      <c r="V79" s="168"/>
      <c r="W79" s="133">
        <v>0</v>
      </c>
      <c r="X79" s="171">
        <f t="shared" si="42"/>
        <v>0</v>
      </c>
      <c r="Y79" s="168"/>
      <c r="Z79" s="133">
        <v>0</v>
      </c>
      <c r="AA79" s="171">
        <f t="shared" si="43"/>
        <v>0</v>
      </c>
      <c r="AB79" s="168"/>
      <c r="AC79" s="133">
        <v>0</v>
      </c>
      <c r="AD79" s="171">
        <f t="shared" si="44"/>
        <v>0</v>
      </c>
      <c r="AE79" s="168"/>
      <c r="AF79" s="133">
        <v>0</v>
      </c>
      <c r="AG79" s="171">
        <f t="shared" si="45"/>
        <v>0</v>
      </c>
      <c r="AH79" s="168"/>
      <c r="AI79" s="133">
        <v>0</v>
      </c>
      <c r="AJ79" s="171">
        <f t="shared" si="46"/>
        <v>0</v>
      </c>
      <c r="AK79" s="168"/>
      <c r="AL79" s="133">
        <v>0</v>
      </c>
      <c r="AM79" s="171">
        <f t="shared" si="47"/>
        <v>0</v>
      </c>
    </row>
    <row r="80" spans="1:39">
      <c r="A80" s="120">
        <f t="shared" si="6"/>
        <v>40</v>
      </c>
      <c r="B80" s="127">
        <f t="shared" si="48"/>
        <v>2027</v>
      </c>
      <c r="C80" s="773">
        <f t="shared" si="60"/>
        <v>0</v>
      </c>
      <c r="D80" s="773">
        <f t="shared" si="61"/>
        <v>0</v>
      </c>
      <c r="E80" s="773">
        <f t="shared" si="62"/>
        <v>0</v>
      </c>
      <c r="F80" s="139">
        <f t="shared" si="38"/>
        <v>2027</v>
      </c>
      <c r="G80" s="168"/>
      <c r="H80" s="133">
        <v>0</v>
      </c>
      <c r="I80" s="171">
        <f t="shared" si="39"/>
        <v>0</v>
      </c>
      <c r="J80" s="168"/>
      <c r="K80" s="133">
        <v>0</v>
      </c>
      <c r="L80" s="171">
        <f t="shared" si="49"/>
        <v>0</v>
      </c>
      <c r="M80" s="168"/>
      <c r="N80" s="133">
        <v>0</v>
      </c>
      <c r="O80" s="171">
        <f t="shared" si="40"/>
        <v>0</v>
      </c>
      <c r="P80" s="168"/>
      <c r="Q80" s="133">
        <v>0</v>
      </c>
      <c r="R80" s="171">
        <f t="shared" si="50"/>
        <v>0</v>
      </c>
      <c r="S80" s="168"/>
      <c r="T80" s="133">
        <v>0</v>
      </c>
      <c r="U80" s="171">
        <f t="shared" si="41"/>
        <v>0</v>
      </c>
      <c r="V80" s="168"/>
      <c r="W80" s="133">
        <v>0</v>
      </c>
      <c r="X80" s="171">
        <f t="shared" si="42"/>
        <v>0</v>
      </c>
      <c r="Y80" s="168"/>
      <c r="Z80" s="133">
        <v>0</v>
      </c>
      <c r="AA80" s="171">
        <f t="shared" si="43"/>
        <v>0</v>
      </c>
      <c r="AB80" s="168"/>
      <c r="AC80" s="133">
        <v>0</v>
      </c>
      <c r="AD80" s="171">
        <f t="shared" si="44"/>
        <v>0</v>
      </c>
      <c r="AE80" s="168"/>
      <c r="AF80" s="133">
        <v>0</v>
      </c>
      <c r="AG80" s="171">
        <f t="shared" si="45"/>
        <v>0</v>
      </c>
      <c r="AH80" s="168"/>
      <c r="AI80" s="133">
        <v>0</v>
      </c>
      <c r="AJ80" s="171">
        <f t="shared" si="46"/>
        <v>0</v>
      </c>
      <c r="AK80" s="168"/>
      <c r="AL80" s="133">
        <v>0</v>
      </c>
      <c r="AM80" s="171">
        <f t="shared" si="47"/>
        <v>0</v>
      </c>
    </row>
    <row r="81" spans="1:39">
      <c r="A81" s="120">
        <f t="shared" si="6"/>
        <v>41</v>
      </c>
      <c r="B81" s="127">
        <f t="shared" si="48"/>
        <v>2028</v>
      </c>
      <c r="C81" s="773">
        <f t="shared" si="60"/>
        <v>0</v>
      </c>
      <c r="D81" s="773">
        <f t="shared" si="61"/>
        <v>0</v>
      </c>
      <c r="E81" s="773">
        <f t="shared" si="62"/>
        <v>0</v>
      </c>
      <c r="F81" s="139">
        <f t="shared" si="38"/>
        <v>2028</v>
      </c>
      <c r="G81" s="168"/>
      <c r="H81" s="133">
        <v>0</v>
      </c>
      <c r="I81" s="171">
        <f t="shared" si="39"/>
        <v>0</v>
      </c>
      <c r="J81" s="168"/>
      <c r="K81" s="133">
        <v>0</v>
      </c>
      <c r="L81" s="171">
        <f t="shared" si="49"/>
        <v>0</v>
      </c>
      <c r="M81" s="168"/>
      <c r="N81" s="133">
        <v>0</v>
      </c>
      <c r="O81" s="171">
        <f t="shared" si="40"/>
        <v>0</v>
      </c>
      <c r="P81" s="168"/>
      <c r="Q81" s="133">
        <v>0</v>
      </c>
      <c r="R81" s="171">
        <f t="shared" si="50"/>
        <v>0</v>
      </c>
      <c r="S81" s="168"/>
      <c r="T81" s="133">
        <v>0</v>
      </c>
      <c r="U81" s="171">
        <f t="shared" si="41"/>
        <v>0</v>
      </c>
      <c r="V81" s="168"/>
      <c r="W81" s="133">
        <v>0</v>
      </c>
      <c r="X81" s="171">
        <f t="shared" si="42"/>
        <v>0</v>
      </c>
      <c r="Y81" s="168"/>
      <c r="Z81" s="133">
        <v>0</v>
      </c>
      <c r="AA81" s="171">
        <f t="shared" si="43"/>
        <v>0</v>
      </c>
      <c r="AB81" s="168"/>
      <c r="AC81" s="133">
        <v>0</v>
      </c>
      <c r="AD81" s="171">
        <f t="shared" si="44"/>
        <v>0</v>
      </c>
      <c r="AE81" s="168"/>
      <c r="AF81" s="133">
        <v>0</v>
      </c>
      <c r="AG81" s="171">
        <f t="shared" si="45"/>
        <v>0</v>
      </c>
      <c r="AH81" s="168"/>
      <c r="AI81" s="133">
        <v>0</v>
      </c>
      <c r="AJ81" s="171">
        <f t="shared" si="46"/>
        <v>0</v>
      </c>
      <c r="AK81" s="168"/>
      <c r="AL81" s="133">
        <v>0</v>
      </c>
      <c r="AM81" s="171">
        <f t="shared" si="47"/>
        <v>0</v>
      </c>
    </row>
    <row r="82" spans="1:39">
      <c r="A82" s="120">
        <f t="shared" si="6"/>
        <v>42</v>
      </c>
      <c r="B82" s="127">
        <f t="shared" si="48"/>
        <v>2029</v>
      </c>
      <c r="C82" s="773">
        <f t="shared" si="60"/>
        <v>0</v>
      </c>
      <c r="D82" s="773">
        <f t="shared" si="61"/>
        <v>0</v>
      </c>
      <c r="E82" s="773">
        <f t="shared" si="62"/>
        <v>0</v>
      </c>
      <c r="F82" s="139">
        <f t="shared" si="38"/>
        <v>2029</v>
      </c>
      <c r="G82" s="168"/>
      <c r="H82" s="133">
        <v>0</v>
      </c>
      <c r="I82" s="171">
        <f t="shared" si="39"/>
        <v>0</v>
      </c>
      <c r="J82" s="168"/>
      <c r="K82" s="133">
        <v>0</v>
      </c>
      <c r="L82" s="171">
        <f t="shared" si="49"/>
        <v>0</v>
      </c>
      <c r="M82" s="168"/>
      <c r="N82" s="133">
        <v>0</v>
      </c>
      <c r="O82" s="171">
        <f t="shared" si="40"/>
        <v>0</v>
      </c>
      <c r="P82" s="168"/>
      <c r="Q82" s="133">
        <v>0</v>
      </c>
      <c r="R82" s="171">
        <f t="shared" si="50"/>
        <v>0</v>
      </c>
      <c r="S82" s="168"/>
      <c r="T82" s="133">
        <v>0</v>
      </c>
      <c r="U82" s="171">
        <f t="shared" si="41"/>
        <v>0</v>
      </c>
      <c r="V82" s="168"/>
      <c r="W82" s="133">
        <v>0</v>
      </c>
      <c r="X82" s="171">
        <f t="shared" si="42"/>
        <v>0</v>
      </c>
      <c r="Y82" s="168"/>
      <c r="Z82" s="133">
        <v>0</v>
      </c>
      <c r="AA82" s="171">
        <f t="shared" si="43"/>
        <v>0</v>
      </c>
      <c r="AB82" s="168"/>
      <c r="AC82" s="133">
        <v>0</v>
      </c>
      <c r="AD82" s="171">
        <f t="shared" si="44"/>
        <v>0</v>
      </c>
      <c r="AE82" s="168"/>
      <c r="AF82" s="133">
        <v>0</v>
      </c>
      <c r="AG82" s="171">
        <f t="shared" si="45"/>
        <v>0</v>
      </c>
      <c r="AH82" s="168"/>
      <c r="AI82" s="133">
        <v>0</v>
      </c>
      <c r="AJ82" s="171">
        <f t="shared" si="46"/>
        <v>0</v>
      </c>
      <c r="AK82" s="168"/>
      <c r="AL82" s="133">
        <v>0</v>
      </c>
      <c r="AM82" s="171">
        <f t="shared" si="47"/>
        <v>0</v>
      </c>
    </row>
    <row r="83" spans="1:39">
      <c r="A83" s="120">
        <f t="shared" si="6"/>
        <v>43</v>
      </c>
      <c r="B83" s="127">
        <f t="shared" si="48"/>
        <v>2030</v>
      </c>
      <c r="C83" s="773">
        <f t="shared" si="60"/>
        <v>0</v>
      </c>
      <c r="D83" s="773">
        <f t="shared" si="61"/>
        <v>0</v>
      </c>
      <c r="E83" s="773">
        <f t="shared" si="62"/>
        <v>0</v>
      </c>
      <c r="F83" s="139">
        <f t="shared" si="38"/>
        <v>2030</v>
      </c>
      <c r="G83" s="168"/>
      <c r="H83" s="133">
        <v>0</v>
      </c>
      <c r="I83" s="171">
        <f t="shared" si="39"/>
        <v>0</v>
      </c>
      <c r="J83" s="168"/>
      <c r="K83" s="133">
        <v>0</v>
      </c>
      <c r="L83" s="171">
        <f t="shared" si="49"/>
        <v>0</v>
      </c>
      <c r="M83" s="168"/>
      <c r="N83" s="133">
        <v>0</v>
      </c>
      <c r="O83" s="171">
        <f t="shared" si="40"/>
        <v>0</v>
      </c>
      <c r="P83" s="168"/>
      <c r="Q83" s="133">
        <v>0</v>
      </c>
      <c r="R83" s="171">
        <f t="shared" si="50"/>
        <v>0</v>
      </c>
      <c r="S83" s="168"/>
      <c r="T83" s="133">
        <v>0</v>
      </c>
      <c r="U83" s="171">
        <f t="shared" si="41"/>
        <v>0</v>
      </c>
      <c r="V83" s="168"/>
      <c r="W83" s="133">
        <v>0</v>
      </c>
      <c r="X83" s="171">
        <f t="shared" si="42"/>
        <v>0</v>
      </c>
      <c r="Y83" s="168"/>
      <c r="Z83" s="133">
        <v>0</v>
      </c>
      <c r="AA83" s="171">
        <f t="shared" si="43"/>
        <v>0</v>
      </c>
      <c r="AB83" s="168"/>
      <c r="AC83" s="133">
        <v>0</v>
      </c>
      <c r="AD83" s="171">
        <f t="shared" si="44"/>
        <v>0</v>
      </c>
      <c r="AE83" s="168"/>
      <c r="AF83" s="133">
        <v>0</v>
      </c>
      <c r="AG83" s="171">
        <f t="shared" si="45"/>
        <v>0</v>
      </c>
      <c r="AH83" s="168"/>
      <c r="AI83" s="133">
        <v>0</v>
      </c>
      <c r="AJ83" s="171">
        <f t="shared" si="46"/>
        <v>0</v>
      </c>
      <c r="AK83" s="168"/>
      <c r="AL83" s="133">
        <v>0</v>
      </c>
      <c r="AM83" s="171">
        <f t="shared" si="47"/>
        <v>0</v>
      </c>
    </row>
    <row r="84" spans="1:39">
      <c r="A84" s="120">
        <f t="shared" si="6"/>
        <v>44</v>
      </c>
      <c r="B84" s="127">
        <f t="shared" si="48"/>
        <v>2031</v>
      </c>
      <c r="C84" s="773">
        <f t="shared" si="60"/>
        <v>0</v>
      </c>
      <c r="D84" s="773">
        <f t="shared" si="61"/>
        <v>0</v>
      </c>
      <c r="E84" s="773">
        <f t="shared" si="62"/>
        <v>0</v>
      </c>
      <c r="F84" s="139">
        <f t="shared" si="38"/>
        <v>2031</v>
      </c>
      <c r="G84" s="920"/>
      <c r="H84" s="922">
        <v>0</v>
      </c>
      <c r="I84" s="929">
        <f t="shared" si="39"/>
        <v>0</v>
      </c>
      <c r="J84" s="920"/>
      <c r="K84" s="922">
        <v>0</v>
      </c>
      <c r="L84" s="929">
        <f t="shared" si="49"/>
        <v>0</v>
      </c>
      <c r="M84" s="920"/>
      <c r="N84" s="922">
        <v>0</v>
      </c>
      <c r="O84" s="929">
        <f t="shared" si="40"/>
        <v>0</v>
      </c>
      <c r="P84" s="920"/>
      <c r="Q84" s="922">
        <v>0</v>
      </c>
      <c r="R84" s="929">
        <f t="shared" si="50"/>
        <v>0</v>
      </c>
      <c r="S84" s="920"/>
      <c r="T84" s="922">
        <v>0</v>
      </c>
      <c r="U84" s="929">
        <f t="shared" si="41"/>
        <v>0</v>
      </c>
      <c r="V84" s="920"/>
      <c r="W84" s="922">
        <v>0</v>
      </c>
      <c r="X84" s="929">
        <f t="shared" si="42"/>
        <v>0</v>
      </c>
      <c r="Y84" s="920"/>
      <c r="Z84" s="922">
        <v>0</v>
      </c>
      <c r="AA84" s="929">
        <f t="shared" si="43"/>
        <v>0</v>
      </c>
      <c r="AB84" s="920"/>
      <c r="AC84" s="922">
        <v>0</v>
      </c>
      <c r="AD84" s="929">
        <f t="shared" si="44"/>
        <v>0</v>
      </c>
      <c r="AE84" s="920"/>
      <c r="AF84" s="922">
        <v>0</v>
      </c>
      <c r="AG84" s="929">
        <f t="shared" si="45"/>
        <v>0</v>
      </c>
      <c r="AH84" s="920"/>
      <c r="AI84" s="922">
        <v>0</v>
      </c>
      <c r="AJ84" s="929">
        <f t="shared" si="46"/>
        <v>0</v>
      </c>
      <c r="AK84" s="920"/>
      <c r="AL84" s="922">
        <v>0</v>
      </c>
      <c r="AM84" s="929">
        <f t="shared" si="47"/>
        <v>0</v>
      </c>
    </row>
    <row r="85" spans="1:39" ht="15">
      <c r="A85" s="120">
        <f>A84+1</f>
        <v>45</v>
      </c>
      <c r="B85" s="1771" t="s">
        <v>844</v>
      </c>
      <c r="C85" s="773"/>
      <c r="D85" s="773"/>
      <c r="E85" s="773"/>
      <c r="F85" s="139"/>
      <c r="G85" s="560"/>
      <c r="H85" s="90"/>
      <c r="I85" s="90"/>
      <c r="J85" s="560"/>
      <c r="K85" s="90"/>
      <c r="L85" s="90"/>
      <c r="M85" s="560"/>
      <c r="N85" s="90"/>
      <c r="O85" s="90"/>
      <c r="P85" s="560"/>
      <c r="Q85" s="90"/>
      <c r="R85" s="90"/>
      <c r="S85" s="560"/>
      <c r="T85" s="90"/>
      <c r="U85" s="90"/>
      <c r="V85" s="560"/>
      <c r="W85" s="90"/>
      <c r="X85" s="90"/>
      <c r="Y85" s="560"/>
      <c r="Z85" s="90"/>
      <c r="AA85" s="90"/>
    </row>
    <row r="86" spans="1:39" ht="14.25">
      <c r="A86" s="120">
        <f>A85+1</f>
        <v>46</v>
      </c>
      <c r="B86" s="179" t="s">
        <v>1137</v>
      </c>
      <c r="C86" s="1772" t="s">
        <v>424</v>
      </c>
      <c r="D86" s="1772"/>
      <c r="E86" s="1772"/>
      <c r="F86" s="127"/>
      <c r="G86" s="1773"/>
      <c r="H86" s="1773"/>
      <c r="I86" s="1773"/>
      <c r="J86" s="1773"/>
      <c r="K86" s="1772"/>
      <c r="L86" s="1772"/>
      <c r="M86" s="126"/>
      <c r="N86" s="126"/>
      <c r="O86" s="126"/>
    </row>
    <row r="87" spans="1:39" ht="14.25">
      <c r="A87" s="120">
        <f t="shared" si="6"/>
        <v>47</v>
      </c>
      <c r="B87" s="1604" t="s">
        <v>731</v>
      </c>
      <c r="C87" s="1772" t="s">
        <v>1178</v>
      </c>
      <c r="D87" s="1772"/>
      <c r="E87" s="1772"/>
      <c r="F87" s="127"/>
      <c r="G87" s="1773"/>
      <c r="H87" s="1773"/>
      <c r="I87" s="1773"/>
      <c r="J87" s="1773"/>
      <c r="K87" s="1772"/>
      <c r="L87" s="1772"/>
      <c r="M87" s="126"/>
      <c r="N87" s="126"/>
      <c r="O87" s="126"/>
    </row>
    <row r="88" spans="1:39" ht="25.5" customHeight="1">
      <c r="A88" s="120">
        <f t="shared" si="6"/>
        <v>48</v>
      </c>
      <c r="B88" s="1605" t="s">
        <v>732</v>
      </c>
      <c r="C88" s="2212" t="s">
        <v>8</v>
      </c>
      <c r="D88" s="2213"/>
      <c r="E88" s="2213"/>
      <c r="F88" s="2213"/>
      <c r="G88" s="2213"/>
      <c r="H88" s="2213"/>
      <c r="I88" s="2213"/>
      <c r="J88" s="2213"/>
      <c r="K88" s="2213"/>
      <c r="L88" s="2213"/>
      <c r="M88" s="2213"/>
      <c r="N88" s="2213"/>
      <c r="O88" s="2213"/>
    </row>
    <row r="89" spans="1:39" ht="15" customHeight="1">
      <c r="A89" s="120">
        <f t="shared" si="6"/>
        <v>49</v>
      </c>
      <c r="B89" s="1604" t="s">
        <v>1644</v>
      </c>
      <c r="C89" s="1772" t="s">
        <v>419</v>
      </c>
      <c r="D89" s="1772"/>
      <c r="E89" s="1772"/>
      <c r="F89" s="127"/>
      <c r="G89" s="1773"/>
      <c r="H89" s="1773"/>
      <c r="I89" s="1773"/>
      <c r="J89" s="1773"/>
      <c r="K89" s="1772"/>
      <c r="L89" s="1772"/>
      <c r="M89" s="126"/>
      <c r="N89" s="126"/>
      <c r="O89" s="126"/>
    </row>
    <row r="90" spans="1:39" ht="14.25">
      <c r="A90" s="120">
        <f t="shared" si="6"/>
        <v>50</v>
      </c>
      <c r="B90" s="1604" t="s">
        <v>1727</v>
      </c>
      <c r="C90" s="1296" t="s">
        <v>514</v>
      </c>
      <c r="D90" s="1296"/>
      <c r="E90" s="1296"/>
      <c r="F90" s="119"/>
      <c r="G90" s="120"/>
      <c r="H90" s="120"/>
      <c r="I90" s="120"/>
      <c r="J90" s="120"/>
      <c r="K90" s="1296"/>
      <c r="L90" s="1296"/>
      <c r="M90" s="648"/>
      <c r="N90" s="648"/>
      <c r="O90" s="155"/>
    </row>
    <row r="91" spans="1:39">
      <c r="A91" s="120"/>
      <c r="F91" s="119"/>
      <c r="G91" s="120"/>
      <c r="H91" s="120"/>
      <c r="I91" s="120"/>
    </row>
    <row r="92" spans="1:39" ht="15.75">
      <c r="E92" s="1974"/>
      <c r="O92" s="1098"/>
    </row>
    <row r="93" spans="1:39" ht="18">
      <c r="A93" s="727" t="s">
        <v>114</v>
      </c>
      <c r="B93" s="135"/>
      <c r="C93" s="135"/>
      <c r="D93" s="135"/>
      <c r="E93" s="961"/>
      <c r="J93" s="2193" t="s">
        <v>171</v>
      </c>
      <c r="K93" s="2193"/>
      <c r="M93" s="1590"/>
      <c r="N93" s="248"/>
      <c r="O93" s="248" t="s">
        <v>1239</v>
      </c>
    </row>
    <row r="94" spans="1:39">
      <c r="A94" s="120">
        <v>1</v>
      </c>
      <c r="B94" s="135"/>
      <c r="C94" s="135"/>
      <c r="D94" s="135"/>
      <c r="E94" s="135"/>
      <c r="G94" s="565" t="s">
        <v>623</v>
      </c>
      <c r="H94" s="794" t="s">
        <v>838</v>
      </c>
      <c r="I94" s="530"/>
      <c r="J94" s="565" t="s">
        <v>623</v>
      </c>
      <c r="K94" s="794" t="s">
        <v>839</v>
      </c>
      <c r="L94" s="523"/>
      <c r="M94" s="2021" t="s">
        <v>623</v>
      </c>
      <c r="O94" s="2022"/>
    </row>
    <row r="95" spans="1:39">
      <c r="A95" s="120">
        <f t="shared" ref="A95:A143" si="63">A94+1</f>
        <v>2</v>
      </c>
      <c r="G95" s="134" t="s">
        <v>632</v>
      </c>
      <c r="H95" s="524"/>
      <c r="I95" s="526"/>
      <c r="J95" s="134" t="s">
        <v>632</v>
      </c>
      <c r="K95" s="524"/>
      <c r="L95" s="525"/>
      <c r="M95" s="134" t="s">
        <v>632</v>
      </c>
      <c r="N95" s="524"/>
      <c r="O95" s="526"/>
    </row>
    <row r="96" spans="1:39" ht="40.5" customHeight="1">
      <c r="A96" s="120">
        <f t="shared" si="63"/>
        <v>3</v>
      </c>
      <c r="C96" s="88"/>
      <c r="D96" s="1761"/>
      <c r="E96" s="1761"/>
      <c r="F96" s="88"/>
      <c r="G96" s="1762" t="s">
        <v>1351</v>
      </c>
      <c r="H96" s="1763" t="s">
        <v>1370</v>
      </c>
      <c r="I96" s="1764" t="s">
        <v>1353</v>
      </c>
      <c r="J96" s="1762" t="s">
        <v>1351</v>
      </c>
      <c r="K96" s="1763" t="s">
        <v>1370</v>
      </c>
      <c r="L96" s="1764" t="s">
        <v>1353</v>
      </c>
      <c r="M96" s="1762" t="s">
        <v>1351</v>
      </c>
      <c r="N96" s="1763" t="s">
        <v>1513</v>
      </c>
      <c r="O96" s="1764" t="s">
        <v>1353</v>
      </c>
    </row>
    <row r="97" spans="1:15">
      <c r="A97" s="120">
        <f t="shared" si="63"/>
        <v>4</v>
      </c>
      <c r="C97" s="88"/>
      <c r="D97" s="88" t="s">
        <v>1354</v>
      </c>
      <c r="E97" s="88" t="s">
        <v>1355</v>
      </c>
      <c r="F97" s="344"/>
      <c r="G97" s="1768">
        <v>0</v>
      </c>
      <c r="H97" s="88"/>
      <c r="I97" s="88"/>
      <c r="J97" s="1768">
        <v>0</v>
      </c>
      <c r="K97" s="88"/>
      <c r="L97" s="88"/>
      <c r="M97" s="1768">
        <v>0</v>
      </c>
      <c r="N97" s="88"/>
      <c r="O97" s="88"/>
    </row>
    <row r="98" spans="1:15">
      <c r="A98" s="120">
        <f t="shared" si="63"/>
        <v>5</v>
      </c>
      <c r="C98" s="88"/>
      <c r="D98" s="88" t="s">
        <v>1356</v>
      </c>
      <c r="E98" s="88" t="s">
        <v>674</v>
      </c>
      <c r="F98" s="344"/>
      <c r="G98" s="1768">
        <f>+G97</f>
        <v>0</v>
      </c>
      <c r="H98" s="177">
        <f>(IF('Actual Gross Rev Req'!$H$16=0,0,'Actual Gross Rev Req'!$H$92/'Actual Gross Rev Req'!$H$16)/12)</f>
        <v>1.4936180092078701E-3</v>
      </c>
      <c r="I98" s="171">
        <f t="shared" ref="I98:I109" si="64">+H98*G97</f>
        <v>0</v>
      </c>
      <c r="J98" s="1768">
        <f>+J97</f>
        <v>0</v>
      </c>
      <c r="K98" s="177">
        <f>(IF('Actual Gross Rev Req'!$H$16=0,0,'Actual Gross Rev Req'!$H$92/'Actual Gross Rev Req'!$H$16)/12)</f>
        <v>1.4936180092078701E-3</v>
      </c>
      <c r="L98" s="171">
        <f t="shared" ref="L98:L109" si="65">+K98*J97</f>
        <v>0</v>
      </c>
      <c r="M98" s="1768">
        <f>+M97</f>
        <v>0</v>
      </c>
      <c r="N98" s="177">
        <f>(IF('Actual Gross Rev Req'!$H$16=0,0,'Actual Gross Rev Req'!$H$92/'Actual Gross Rev Req'!$H$16)/12)</f>
        <v>1.4936180092078701E-3</v>
      </c>
      <c r="O98" s="171">
        <f t="shared" ref="O98:O109" si="66">+N98*M97</f>
        <v>0</v>
      </c>
    </row>
    <row r="99" spans="1:15">
      <c r="A99" s="120">
        <f t="shared" si="63"/>
        <v>6</v>
      </c>
      <c r="C99" s="88"/>
      <c r="D99" s="88" t="s">
        <v>1356</v>
      </c>
      <c r="E99" s="88" t="s">
        <v>1357</v>
      </c>
      <c r="F99" s="344"/>
      <c r="G99" s="1768">
        <f t="shared" ref="G99:G109" si="67">+G98</f>
        <v>0</v>
      </c>
      <c r="H99" s="177">
        <f>H98</f>
        <v>1.4936180092078701E-3</v>
      </c>
      <c r="I99" s="171">
        <f t="shared" si="64"/>
        <v>0</v>
      </c>
      <c r="J99" s="1768">
        <f t="shared" ref="J99:J109" si="68">+J98</f>
        <v>0</v>
      </c>
      <c r="K99" s="177">
        <f>K98</f>
        <v>1.4936180092078701E-3</v>
      </c>
      <c r="L99" s="171">
        <f t="shared" si="65"/>
        <v>0</v>
      </c>
      <c r="M99" s="1768">
        <f t="shared" ref="M99:M109" si="69">+M98</f>
        <v>0</v>
      </c>
      <c r="N99" s="177">
        <f>N98</f>
        <v>1.4936180092078701E-3</v>
      </c>
      <c r="O99" s="171">
        <f t="shared" si="66"/>
        <v>0</v>
      </c>
    </row>
    <row r="100" spans="1:15">
      <c r="A100" s="120">
        <f t="shared" si="63"/>
        <v>7</v>
      </c>
      <c r="C100" s="88"/>
      <c r="D100" s="88" t="s">
        <v>1356</v>
      </c>
      <c r="E100" s="88" t="s">
        <v>1358</v>
      </c>
      <c r="F100" s="344"/>
      <c r="G100" s="1768">
        <f t="shared" si="67"/>
        <v>0</v>
      </c>
      <c r="H100" s="177">
        <f t="shared" ref="H100:H109" si="70">H99</f>
        <v>1.4936180092078701E-3</v>
      </c>
      <c r="I100" s="171">
        <f t="shared" si="64"/>
        <v>0</v>
      </c>
      <c r="J100" s="1768">
        <f t="shared" si="68"/>
        <v>0</v>
      </c>
      <c r="K100" s="177">
        <f t="shared" ref="K100:K109" si="71">K99</f>
        <v>1.4936180092078701E-3</v>
      </c>
      <c r="L100" s="171">
        <f t="shared" si="65"/>
        <v>0</v>
      </c>
      <c r="M100" s="1768">
        <f t="shared" si="69"/>
        <v>0</v>
      </c>
      <c r="N100" s="177">
        <f t="shared" ref="N100:N109" si="72">N99</f>
        <v>1.4936180092078701E-3</v>
      </c>
      <c r="O100" s="171">
        <f t="shared" si="66"/>
        <v>0</v>
      </c>
    </row>
    <row r="101" spans="1:15">
      <c r="A101" s="120">
        <f t="shared" si="63"/>
        <v>8</v>
      </c>
      <c r="C101" s="88"/>
      <c r="D101" s="88" t="s">
        <v>1356</v>
      </c>
      <c r="E101" s="88" t="s">
        <v>1359</v>
      </c>
      <c r="F101" s="344"/>
      <c r="G101" s="1768">
        <f t="shared" si="67"/>
        <v>0</v>
      </c>
      <c r="H101" s="177">
        <f t="shared" si="70"/>
        <v>1.4936180092078701E-3</v>
      </c>
      <c r="I101" s="171">
        <f t="shared" si="64"/>
        <v>0</v>
      </c>
      <c r="J101" s="1768">
        <f t="shared" si="68"/>
        <v>0</v>
      </c>
      <c r="K101" s="177">
        <f t="shared" si="71"/>
        <v>1.4936180092078701E-3</v>
      </c>
      <c r="L101" s="171">
        <f t="shared" si="65"/>
        <v>0</v>
      </c>
      <c r="M101" s="1768">
        <f t="shared" si="69"/>
        <v>0</v>
      </c>
      <c r="N101" s="177">
        <f t="shared" si="72"/>
        <v>1.4936180092078701E-3</v>
      </c>
      <c r="O101" s="171">
        <f t="shared" si="66"/>
        <v>0</v>
      </c>
    </row>
    <row r="102" spans="1:15">
      <c r="A102" s="120">
        <f t="shared" si="63"/>
        <v>9</v>
      </c>
      <c r="C102" s="88"/>
      <c r="D102" s="88" t="s">
        <v>1356</v>
      </c>
      <c r="E102" s="88" t="s">
        <v>1125</v>
      </c>
      <c r="F102" s="344"/>
      <c r="G102" s="1768">
        <f t="shared" si="67"/>
        <v>0</v>
      </c>
      <c r="H102" s="177">
        <f t="shared" si="70"/>
        <v>1.4936180092078701E-3</v>
      </c>
      <c r="I102" s="171">
        <f t="shared" si="64"/>
        <v>0</v>
      </c>
      <c r="J102" s="1768">
        <f t="shared" si="68"/>
        <v>0</v>
      </c>
      <c r="K102" s="177">
        <f t="shared" si="71"/>
        <v>1.4936180092078701E-3</v>
      </c>
      <c r="L102" s="171">
        <f t="shared" si="65"/>
        <v>0</v>
      </c>
      <c r="M102" s="1768">
        <f t="shared" si="69"/>
        <v>0</v>
      </c>
      <c r="N102" s="177">
        <f t="shared" si="72"/>
        <v>1.4936180092078701E-3</v>
      </c>
      <c r="O102" s="171">
        <f t="shared" si="66"/>
        <v>0</v>
      </c>
    </row>
    <row r="103" spans="1:15">
      <c r="A103" s="120">
        <f t="shared" si="63"/>
        <v>10</v>
      </c>
      <c r="C103" s="88"/>
      <c r="D103" s="88" t="s">
        <v>1356</v>
      </c>
      <c r="E103" s="88" t="s">
        <v>675</v>
      </c>
      <c r="F103" s="344"/>
      <c r="G103" s="1768">
        <f t="shared" si="67"/>
        <v>0</v>
      </c>
      <c r="H103" s="177">
        <f t="shared" si="70"/>
        <v>1.4936180092078701E-3</v>
      </c>
      <c r="I103" s="171">
        <f t="shared" si="64"/>
        <v>0</v>
      </c>
      <c r="J103" s="1768">
        <f t="shared" si="68"/>
        <v>0</v>
      </c>
      <c r="K103" s="177">
        <f t="shared" si="71"/>
        <v>1.4936180092078701E-3</v>
      </c>
      <c r="L103" s="171">
        <f t="shared" si="65"/>
        <v>0</v>
      </c>
      <c r="M103" s="1768">
        <f t="shared" si="69"/>
        <v>0</v>
      </c>
      <c r="N103" s="177">
        <f t="shared" si="72"/>
        <v>1.4936180092078701E-3</v>
      </c>
      <c r="O103" s="171">
        <f t="shared" si="66"/>
        <v>0</v>
      </c>
    </row>
    <row r="104" spans="1:15">
      <c r="A104" s="120">
        <f t="shared" si="63"/>
        <v>11</v>
      </c>
      <c r="C104" s="88"/>
      <c r="D104" s="88" t="s">
        <v>1356</v>
      </c>
      <c r="E104" s="88" t="s">
        <v>1360</v>
      </c>
      <c r="F104" s="344"/>
      <c r="G104" s="1768">
        <f t="shared" si="67"/>
        <v>0</v>
      </c>
      <c r="H104" s="177">
        <f t="shared" si="70"/>
        <v>1.4936180092078701E-3</v>
      </c>
      <c r="I104" s="171">
        <f t="shared" si="64"/>
        <v>0</v>
      </c>
      <c r="J104" s="1768">
        <f t="shared" si="68"/>
        <v>0</v>
      </c>
      <c r="K104" s="177">
        <f t="shared" si="71"/>
        <v>1.4936180092078701E-3</v>
      </c>
      <c r="L104" s="171">
        <f t="shared" si="65"/>
        <v>0</v>
      </c>
      <c r="M104" s="1768">
        <f t="shared" si="69"/>
        <v>0</v>
      </c>
      <c r="N104" s="177">
        <f t="shared" si="72"/>
        <v>1.4936180092078701E-3</v>
      </c>
      <c r="O104" s="171">
        <f t="shared" si="66"/>
        <v>0</v>
      </c>
    </row>
    <row r="105" spans="1:15">
      <c r="A105" s="120">
        <f t="shared" si="63"/>
        <v>12</v>
      </c>
      <c r="C105" s="88"/>
      <c r="D105" s="88" t="s">
        <v>1356</v>
      </c>
      <c r="E105" s="88" t="s">
        <v>1361</v>
      </c>
      <c r="F105" s="344"/>
      <c r="G105" s="1768">
        <f t="shared" si="67"/>
        <v>0</v>
      </c>
      <c r="H105" s="177">
        <f t="shared" si="70"/>
        <v>1.4936180092078701E-3</v>
      </c>
      <c r="I105" s="171">
        <f t="shared" si="64"/>
        <v>0</v>
      </c>
      <c r="J105" s="1768">
        <f t="shared" si="68"/>
        <v>0</v>
      </c>
      <c r="K105" s="177">
        <f t="shared" si="71"/>
        <v>1.4936180092078701E-3</v>
      </c>
      <c r="L105" s="171">
        <f t="shared" si="65"/>
        <v>0</v>
      </c>
      <c r="M105" s="1768">
        <f t="shared" si="69"/>
        <v>0</v>
      </c>
      <c r="N105" s="177">
        <f t="shared" si="72"/>
        <v>1.4936180092078701E-3</v>
      </c>
      <c r="O105" s="171">
        <f t="shared" si="66"/>
        <v>0</v>
      </c>
    </row>
    <row r="106" spans="1:15">
      <c r="A106" s="120">
        <f t="shared" si="63"/>
        <v>13</v>
      </c>
      <c r="C106" s="88"/>
      <c r="D106" s="88" t="s">
        <v>1356</v>
      </c>
      <c r="E106" s="88" t="s">
        <v>1362</v>
      </c>
      <c r="F106" s="344"/>
      <c r="G106" s="1768">
        <f t="shared" si="67"/>
        <v>0</v>
      </c>
      <c r="H106" s="177">
        <f t="shared" si="70"/>
        <v>1.4936180092078701E-3</v>
      </c>
      <c r="I106" s="171">
        <f t="shared" si="64"/>
        <v>0</v>
      </c>
      <c r="J106" s="1768">
        <f t="shared" si="68"/>
        <v>0</v>
      </c>
      <c r="K106" s="177">
        <f t="shared" si="71"/>
        <v>1.4936180092078701E-3</v>
      </c>
      <c r="L106" s="171">
        <f t="shared" si="65"/>
        <v>0</v>
      </c>
      <c r="M106" s="1768">
        <f t="shared" si="69"/>
        <v>0</v>
      </c>
      <c r="N106" s="177">
        <f t="shared" si="72"/>
        <v>1.4936180092078701E-3</v>
      </c>
      <c r="O106" s="171">
        <f t="shared" si="66"/>
        <v>0</v>
      </c>
    </row>
    <row r="107" spans="1:15">
      <c r="A107" s="120">
        <f t="shared" si="63"/>
        <v>14</v>
      </c>
      <c r="C107" s="88"/>
      <c r="D107" s="88" t="s">
        <v>1356</v>
      </c>
      <c r="E107" s="88" t="s">
        <v>676</v>
      </c>
      <c r="F107" s="344"/>
      <c r="G107" s="1768">
        <f t="shared" si="67"/>
        <v>0</v>
      </c>
      <c r="H107" s="177">
        <f t="shared" si="70"/>
        <v>1.4936180092078701E-3</v>
      </c>
      <c r="I107" s="171">
        <f t="shared" si="64"/>
        <v>0</v>
      </c>
      <c r="J107" s="1768">
        <f t="shared" si="68"/>
        <v>0</v>
      </c>
      <c r="K107" s="177">
        <f t="shared" si="71"/>
        <v>1.4936180092078701E-3</v>
      </c>
      <c r="L107" s="171">
        <f t="shared" si="65"/>
        <v>0</v>
      </c>
      <c r="M107" s="1768">
        <f t="shared" si="69"/>
        <v>0</v>
      </c>
      <c r="N107" s="177">
        <f t="shared" si="72"/>
        <v>1.4936180092078701E-3</v>
      </c>
      <c r="O107" s="171">
        <f t="shared" si="66"/>
        <v>0</v>
      </c>
    </row>
    <row r="108" spans="1:15">
      <c r="A108" s="120">
        <f t="shared" si="63"/>
        <v>15</v>
      </c>
      <c r="C108" s="88"/>
      <c r="D108" s="88" t="s">
        <v>1356</v>
      </c>
      <c r="E108" s="88" t="s">
        <v>1363</v>
      </c>
      <c r="F108" s="344"/>
      <c r="G108" s="1768">
        <f t="shared" si="67"/>
        <v>0</v>
      </c>
      <c r="H108" s="177">
        <f t="shared" si="70"/>
        <v>1.4936180092078701E-3</v>
      </c>
      <c r="I108" s="171">
        <f t="shared" si="64"/>
        <v>0</v>
      </c>
      <c r="J108" s="1768">
        <f t="shared" si="68"/>
        <v>0</v>
      </c>
      <c r="K108" s="177">
        <f t="shared" si="71"/>
        <v>1.4936180092078701E-3</v>
      </c>
      <c r="L108" s="171">
        <f t="shared" si="65"/>
        <v>0</v>
      </c>
      <c r="M108" s="1768">
        <f t="shared" si="69"/>
        <v>0</v>
      </c>
      <c r="N108" s="177">
        <f t="shared" si="72"/>
        <v>1.4936180092078701E-3</v>
      </c>
      <c r="O108" s="171">
        <f t="shared" si="66"/>
        <v>0</v>
      </c>
    </row>
    <row r="109" spans="1:15">
      <c r="A109" s="120">
        <f t="shared" si="63"/>
        <v>16</v>
      </c>
      <c r="C109" s="88"/>
      <c r="D109" s="88" t="s">
        <v>1356</v>
      </c>
      <c r="E109" s="88" t="s">
        <v>1355</v>
      </c>
      <c r="F109" s="344"/>
      <c r="G109" s="1768">
        <f t="shared" si="67"/>
        <v>0</v>
      </c>
      <c r="H109" s="177">
        <f t="shared" si="70"/>
        <v>1.4936180092078701E-3</v>
      </c>
      <c r="I109" s="929">
        <f t="shared" si="64"/>
        <v>0</v>
      </c>
      <c r="J109" s="1768">
        <f t="shared" si="68"/>
        <v>0</v>
      </c>
      <c r="K109" s="177">
        <f t="shared" si="71"/>
        <v>1.4936180092078701E-3</v>
      </c>
      <c r="L109" s="929">
        <f t="shared" si="65"/>
        <v>0</v>
      </c>
      <c r="M109" s="1768">
        <f t="shared" si="69"/>
        <v>0</v>
      </c>
      <c r="N109" s="177">
        <f t="shared" si="72"/>
        <v>1.4936180092078701E-3</v>
      </c>
      <c r="O109" s="929">
        <f t="shared" si="66"/>
        <v>0</v>
      </c>
    </row>
    <row r="110" spans="1:15">
      <c r="A110" s="120">
        <f t="shared" si="63"/>
        <v>17</v>
      </c>
      <c r="C110" s="88"/>
      <c r="D110" s="88"/>
      <c r="E110" s="88"/>
      <c r="F110" s="88"/>
      <c r="G110" s="134"/>
      <c r="H110" s="1765" t="str">
        <f>"Sum lines "&amp;$A98&amp;" - "&amp;$A109&amp;""</f>
        <v>Sum lines 5 - 16</v>
      </c>
      <c r="I110" s="171">
        <f>SUM(I98:I109)</f>
        <v>0</v>
      </c>
      <c r="J110" s="134"/>
      <c r="K110" s="1765" t="str">
        <f>"Sum lines "&amp;$A98&amp;" - "&amp;$A109&amp;""</f>
        <v>Sum lines 5 - 16</v>
      </c>
      <c r="L110" s="171">
        <f>SUM(L98:L109)</f>
        <v>0</v>
      </c>
      <c r="M110" s="134"/>
      <c r="N110" s="1765" t="str">
        <f>"Sum lines "&amp;$A98&amp;" - "&amp;$A109&amp;""</f>
        <v>Sum lines 5 - 16</v>
      </c>
      <c r="O110" s="171">
        <f>SUM(O98:O109)</f>
        <v>0</v>
      </c>
    </row>
    <row r="111" spans="1:15">
      <c r="A111" s="120">
        <f t="shared" si="63"/>
        <v>18</v>
      </c>
      <c r="C111" s="2211" t="s">
        <v>54</v>
      </c>
      <c r="D111" s="2211"/>
      <c r="E111" s="2211"/>
      <c r="F111" s="135"/>
      <c r="G111" s="134" t="s">
        <v>1512</v>
      </c>
      <c r="H111" s="126">
        <v>0</v>
      </c>
      <c r="I111" s="1766"/>
      <c r="J111" s="134" t="s">
        <v>1512</v>
      </c>
      <c r="K111" s="126">
        <v>0</v>
      </c>
      <c r="L111" s="1766"/>
      <c r="M111" s="134" t="s">
        <v>1512</v>
      </c>
      <c r="N111" s="126">
        <v>0</v>
      </c>
      <c r="O111" s="1766"/>
    </row>
    <row r="112" spans="1:15">
      <c r="A112" s="120">
        <f t="shared" si="63"/>
        <v>19</v>
      </c>
      <c r="B112" s="141" t="s">
        <v>394</v>
      </c>
      <c r="C112" s="117" t="s">
        <v>1045</v>
      </c>
      <c r="D112" s="117" t="s">
        <v>634</v>
      </c>
      <c r="E112" s="117" t="s">
        <v>265</v>
      </c>
      <c r="F112" s="141" t="s">
        <v>394</v>
      </c>
      <c r="G112" s="568" t="s">
        <v>1045</v>
      </c>
      <c r="H112" s="568" t="s">
        <v>634</v>
      </c>
      <c r="I112" s="568" t="s">
        <v>265</v>
      </c>
      <c r="J112" s="568" t="s">
        <v>1045</v>
      </c>
      <c r="K112" s="568" t="s">
        <v>634</v>
      </c>
      <c r="L112" s="568" t="s">
        <v>265</v>
      </c>
      <c r="M112" s="568" t="s">
        <v>1045</v>
      </c>
      <c r="N112" s="568" t="s">
        <v>634</v>
      </c>
      <c r="O112" s="568" t="s">
        <v>265</v>
      </c>
    </row>
    <row r="113" spans="1:15">
      <c r="A113" s="120">
        <f t="shared" si="63"/>
        <v>20</v>
      </c>
      <c r="B113" s="521"/>
      <c r="C113" s="521"/>
      <c r="D113" s="521"/>
      <c r="E113" s="521"/>
      <c r="F113" s="521"/>
      <c r="G113" s="131"/>
      <c r="H113" s="131"/>
      <c r="I113" s="148"/>
      <c r="J113" s="131"/>
      <c r="K113" s="131"/>
      <c r="L113" s="131"/>
      <c r="M113" s="131"/>
      <c r="N113" s="131"/>
      <c r="O113" s="148"/>
    </row>
    <row r="114" spans="1:15">
      <c r="A114" s="120">
        <f t="shared" si="63"/>
        <v>21</v>
      </c>
      <c r="B114" s="127">
        <v>2008</v>
      </c>
      <c r="C114" s="773">
        <f>+G114+J114+M114</f>
        <v>0</v>
      </c>
      <c r="D114" s="773">
        <f>+H114+K114+N114</f>
        <v>0</v>
      </c>
      <c r="E114" s="773">
        <f>+I114+L114+O114</f>
        <v>0</v>
      </c>
      <c r="F114" s="139">
        <f t="shared" ref="F114:F137" si="73">+B114</f>
        <v>2008</v>
      </c>
      <c r="G114" s="168">
        <v>0</v>
      </c>
      <c r="H114" s="1937">
        <v>0</v>
      </c>
      <c r="I114" s="89">
        <f>+G114-H114</f>
        <v>0</v>
      </c>
      <c r="J114" s="1938">
        <v>0</v>
      </c>
      <c r="K114" s="1937">
        <v>0</v>
      </c>
      <c r="L114" s="89">
        <f>+J114-K114</f>
        <v>0</v>
      </c>
      <c r="M114" s="1938">
        <v>0</v>
      </c>
      <c r="N114" s="1937">
        <v>0</v>
      </c>
      <c r="O114" s="89">
        <f>+M114-N114</f>
        <v>0</v>
      </c>
    </row>
    <row r="115" spans="1:15">
      <c r="A115" s="120">
        <f t="shared" si="63"/>
        <v>22</v>
      </c>
      <c r="B115" s="127">
        <v>2009</v>
      </c>
      <c r="C115" s="773">
        <f t="shared" ref="C115:C137" si="74">+G115+J115+M115</f>
        <v>0</v>
      </c>
      <c r="D115" s="773">
        <f t="shared" ref="D115:D137" si="75">+H115+K115+N115</f>
        <v>0</v>
      </c>
      <c r="E115" s="773">
        <f>+I115+L115+O115</f>
        <v>0</v>
      </c>
      <c r="F115" s="139">
        <f t="shared" si="73"/>
        <v>2009</v>
      </c>
      <c r="G115" s="168">
        <f>SUM($G$97:$G$109)/13</f>
        <v>0</v>
      </c>
      <c r="H115" s="1937">
        <f>$H$111+SUM($I$98*12,I$99*11,I$100*10,I$101*9,I$102*8,I$103*7,I$104*6,I$105*5,I$106*4,I$107*3,I$108*2,I$109)/13</f>
        <v>0</v>
      </c>
      <c r="I115" s="89">
        <f t="shared" ref="I115:I137" si="76">+G115-H115</f>
        <v>0</v>
      </c>
      <c r="J115" s="1938">
        <f>SUM($J$97:$J$109)/13</f>
        <v>0</v>
      </c>
      <c r="K115" s="1937">
        <f>K$111+SUM(L$98*12,L$99*11,L$100*10,L$101*9,L$102*8,L$103*7,L$104*6,L$105*5,L$106*4,L$107*3,L$108*2,L$109)/13</f>
        <v>0</v>
      </c>
      <c r="L115" s="89">
        <f t="shared" ref="L115:L137" si="77">+J115-K115</f>
        <v>0</v>
      </c>
      <c r="M115" s="1938">
        <f>SUM($M$97:$M$109)/13</f>
        <v>0</v>
      </c>
      <c r="N115" s="1937">
        <f>$N$111+SUM(O$98*12,O$99*11,O$100*10,O$101*9,O$102*8,O$103*7,O$104*6,O$105*5,O$106*4,O$107*3,O$108*2,O$109)/13</f>
        <v>0</v>
      </c>
      <c r="O115" s="89">
        <f t="shared" ref="O115:O137" si="78">+M115-N115</f>
        <v>0</v>
      </c>
    </row>
    <row r="116" spans="1:15">
      <c r="A116" s="120">
        <f t="shared" si="63"/>
        <v>23</v>
      </c>
      <c r="B116" s="127">
        <f t="shared" ref="B116:B137" si="79">+B115+1</f>
        <v>2010</v>
      </c>
      <c r="C116" s="773">
        <f t="shared" si="74"/>
        <v>0</v>
      </c>
      <c r="D116" s="773">
        <f t="shared" si="75"/>
        <v>0</v>
      </c>
      <c r="E116" s="773">
        <f t="shared" ref="E116:E137" si="80">+I116+L116+O116</f>
        <v>0</v>
      </c>
      <c r="F116" s="139">
        <f t="shared" si="73"/>
        <v>2010</v>
      </c>
      <c r="G116" s="168"/>
      <c r="H116" s="133">
        <v>0</v>
      </c>
      <c r="I116" s="89">
        <f t="shared" si="76"/>
        <v>0</v>
      </c>
      <c r="J116" s="168"/>
      <c r="K116" s="133">
        <v>0</v>
      </c>
      <c r="L116" s="89">
        <f t="shared" si="77"/>
        <v>0</v>
      </c>
      <c r="M116" s="168"/>
      <c r="N116" s="133">
        <v>0</v>
      </c>
      <c r="O116" s="89">
        <f t="shared" si="78"/>
        <v>0</v>
      </c>
    </row>
    <row r="117" spans="1:15">
      <c r="A117" s="120">
        <f t="shared" si="63"/>
        <v>24</v>
      </c>
      <c r="B117" s="127">
        <f t="shared" si="79"/>
        <v>2011</v>
      </c>
      <c r="C117" s="773">
        <f t="shared" si="74"/>
        <v>0</v>
      </c>
      <c r="D117" s="773">
        <f t="shared" si="75"/>
        <v>0</v>
      </c>
      <c r="E117" s="773">
        <f t="shared" si="80"/>
        <v>0</v>
      </c>
      <c r="F117" s="139">
        <f t="shared" si="73"/>
        <v>2011</v>
      </c>
      <c r="G117" s="168"/>
      <c r="H117" s="133">
        <v>0</v>
      </c>
      <c r="I117" s="89">
        <f t="shared" si="76"/>
        <v>0</v>
      </c>
      <c r="J117" s="168"/>
      <c r="K117" s="133">
        <v>0</v>
      </c>
      <c r="L117" s="89">
        <f t="shared" si="77"/>
        <v>0</v>
      </c>
      <c r="M117" s="168"/>
      <c r="N117" s="133">
        <v>0</v>
      </c>
      <c r="O117" s="89">
        <f t="shared" si="78"/>
        <v>0</v>
      </c>
    </row>
    <row r="118" spans="1:15">
      <c r="A118" s="120">
        <f t="shared" si="63"/>
        <v>25</v>
      </c>
      <c r="B118" s="127">
        <f t="shared" si="79"/>
        <v>2012</v>
      </c>
      <c r="C118" s="773">
        <f t="shared" si="74"/>
        <v>0</v>
      </c>
      <c r="D118" s="773">
        <f t="shared" si="75"/>
        <v>0</v>
      </c>
      <c r="E118" s="773">
        <f t="shared" si="80"/>
        <v>0</v>
      </c>
      <c r="F118" s="139">
        <f t="shared" si="73"/>
        <v>2012</v>
      </c>
      <c r="G118" s="168"/>
      <c r="H118" s="133">
        <v>0</v>
      </c>
      <c r="I118" s="89">
        <f t="shared" si="76"/>
        <v>0</v>
      </c>
      <c r="J118" s="168"/>
      <c r="K118" s="133">
        <v>0</v>
      </c>
      <c r="L118" s="89">
        <f t="shared" si="77"/>
        <v>0</v>
      </c>
      <c r="M118" s="168"/>
      <c r="N118" s="133">
        <v>0</v>
      </c>
      <c r="O118" s="89">
        <f t="shared" si="78"/>
        <v>0</v>
      </c>
    </row>
    <row r="119" spans="1:15">
      <c r="A119" s="120">
        <f t="shared" si="63"/>
        <v>26</v>
      </c>
      <c r="B119" s="127">
        <f t="shared" si="79"/>
        <v>2013</v>
      </c>
      <c r="C119" s="773">
        <f t="shared" si="74"/>
        <v>0</v>
      </c>
      <c r="D119" s="773">
        <f t="shared" si="75"/>
        <v>0</v>
      </c>
      <c r="E119" s="773">
        <f t="shared" si="80"/>
        <v>0</v>
      </c>
      <c r="F119" s="139">
        <f t="shared" si="73"/>
        <v>2013</v>
      </c>
      <c r="G119" s="168"/>
      <c r="H119" s="133">
        <v>0</v>
      </c>
      <c r="I119" s="89">
        <f t="shared" si="76"/>
        <v>0</v>
      </c>
      <c r="J119" s="168"/>
      <c r="K119" s="133">
        <v>0</v>
      </c>
      <c r="L119" s="89">
        <f t="shared" si="77"/>
        <v>0</v>
      </c>
      <c r="M119" s="168"/>
      <c r="N119" s="133">
        <v>0</v>
      </c>
      <c r="O119" s="89">
        <f t="shared" si="78"/>
        <v>0</v>
      </c>
    </row>
    <row r="120" spans="1:15">
      <c r="A120" s="120">
        <f t="shared" si="63"/>
        <v>27</v>
      </c>
      <c r="B120" s="127">
        <f t="shared" si="79"/>
        <v>2014</v>
      </c>
      <c r="C120" s="773">
        <f t="shared" si="74"/>
        <v>0</v>
      </c>
      <c r="D120" s="773">
        <f t="shared" si="75"/>
        <v>0</v>
      </c>
      <c r="E120" s="773">
        <f t="shared" si="80"/>
        <v>0</v>
      </c>
      <c r="F120" s="139">
        <f t="shared" si="73"/>
        <v>2014</v>
      </c>
      <c r="G120" s="168"/>
      <c r="H120" s="133">
        <v>0</v>
      </c>
      <c r="I120" s="89">
        <f t="shared" si="76"/>
        <v>0</v>
      </c>
      <c r="J120" s="168"/>
      <c r="K120" s="133">
        <v>0</v>
      </c>
      <c r="L120" s="89">
        <f t="shared" si="77"/>
        <v>0</v>
      </c>
      <c r="M120" s="168"/>
      <c r="N120" s="133">
        <v>0</v>
      </c>
      <c r="O120" s="89">
        <f t="shared" si="78"/>
        <v>0</v>
      </c>
    </row>
    <row r="121" spans="1:15">
      <c r="A121" s="120">
        <f t="shared" si="63"/>
        <v>28</v>
      </c>
      <c r="B121" s="127">
        <f t="shared" si="79"/>
        <v>2015</v>
      </c>
      <c r="C121" s="773">
        <f t="shared" si="74"/>
        <v>0</v>
      </c>
      <c r="D121" s="773">
        <f t="shared" si="75"/>
        <v>0</v>
      </c>
      <c r="E121" s="773">
        <f t="shared" si="80"/>
        <v>0</v>
      </c>
      <c r="F121" s="139">
        <f t="shared" si="73"/>
        <v>2015</v>
      </c>
      <c r="G121" s="168"/>
      <c r="H121" s="133">
        <v>0</v>
      </c>
      <c r="I121" s="89">
        <f t="shared" si="76"/>
        <v>0</v>
      </c>
      <c r="J121" s="168"/>
      <c r="K121" s="133">
        <v>0</v>
      </c>
      <c r="L121" s="89">
        <f t="shared" si="77"/>
        <v>0</v>
      </c>
      <c r="M121" s="168"/>
      <c r="N121" s="133">
        <v>0</v>
      </c>
      <c r="O121" s="89">
        <f t="shared" si="78"/>
        <v>0</v>
      </c>
    </row>
    <row r="122" spans="1:15">
      <c r="A122" s="120">
        <f t="shared" si="63"/>
        <v>29</v>
      </c>
      <c r="B122" s="127">
        <f t="shared" si="79"/>
        <v>2016</v>
      </c>
      <c r="C122" s="773">
        <f t="shared" si="74"/>
        <v>0</v>
      </c>
      <c r="D122" s="773">
        <f t="shared" si="75"/>
        <v>0</v>
      </c>
      <c r="E122" s="773">
        <f t="shared" si="80"/>
        <v>0</v>
      </c>
      <c r="F122" s="139">
        <f t="shared" si="73"/>
        <v>2016</v>
      </c>
      <c r="G122" s="168"/>
      <c r="H122" s="133">
        <v>0</v>
      </c>
      <c r="I122" s="89">
        <f t="shared" si="76"/>
        <v>0</v>
      </c>
      <c r="J122" s="168"/>
      <c r="K122" s="133">
        <v>0</v>
      </c>
      <c r="L122" s="89">
        <f t="shared" si="77"/>
        <v>0</v>
      </c>
      <c r="M122" s="168"/>
      <c r="N122" s="133">
        <v>0</v>
      </c>
      <c r="O122" s="89">
        <f t="shared" si="78"/>
        <v>0</v>
      </c>
    </row>
    <row r="123" spans="1:15">
      <c r="A123" s="120">
        <f t="shared" si="63"/>
        <v>30</v>
      </c>
      <c r="B123" s="127">
        <f t="shared" si="79"/>
        <v>2017</v>
      </c>
      <c r="C123" s="773">
        <f t="shared" si="74"/>
        <v>0</v>
      </c>
      <c r="D123" s="773">
        <f t="shared" si="75"/>
        <v>0</v>
      </c>
      <c r="E123" s="773">
        <f t="shared" si="80"/>
        <v>0</v>
      </c>
      <c r="F123" s="139">
        <f t="shared" si="73"/>
        <v>2017</v>
      </c>
      <c r="G123" s="168"/>
      <c r="H123" s="133">
        <v>0</v>
      </c>
      <c r="I123" s="89">
        <f t="shared" si="76"/>
        <v>0</v>
      </c>
      <c r="J123" s="168"/>
      <c r="K123" s="133">
        <v>0</v>
      </c>
      <c r="L123" s="89">
        <f t="shared" si="77"/>
        <v>0</v>
      </c>
      <c r="M123" s="168"/>
      <c r="N123" s="133">
        <v>0</v>
      </c>
      <c r="O123" s="89">
        <f t="shared" si="78"/>
        <v>0</v>
      </c>
    </row>
    <row r="124" spans="1:15">
      <c r="A124" s="120">
        <f t="shared" si="63"/>
        <v>31</v>
      </c>
      <c r="B124" s="127">
        <f t="shared" si="79"/>
        <v>2018</v>
      </c>
      <c r="C124" s="773">
        <f t="shared" si="74"/>
        <v>0</v>
      </c>
      <c r="D124" s="773">
        <f t="shared" si="75"/>
        <v>0</v>
      </c>
      <c r="E124" s="773">
        <f t="shared" si="80"/>
        <v>0</v>
      </c>
      <c r="F124" s="139">
        <f t="shared" si="73"/>
        <v>2018</v>
      </c>
      <c r="G124" s="168"/>
      <c r="H124" s="133">
        <v>0</v>
      </c>
      <c r="I124" s="89">
        <f t="shared" si="76"/>
        <v>0</v>
      </c>
      <c r="J124" s="168"/>
      <c r="K124" s="133">
        <v>0</v>
      </c>
      <c r="L124" s="89">
        <f t="shared" si="77"/>
        <v>0</v>
      </c>
      <c r="M124" s="168"/>
      <c r="N124" s="133">
        <v>0</v>
      </c>
      <c r="O124" s="89">
        <f t="shared" si="78"/>
        <v>0</v>
      </c>
    </row>
    <row r="125" spans="1:15">
      <c r="A125" s="120">
        <f t="shared" si="63"/>
        <v>32</v>
      </c>
      <c r="B125" s="127">
        <f t="shared" si="79"/>
        <v>2019</v>
      </c>
      <c r="C125" s="773">
        <f t="shared" si="74"/>
        <v>0</v>
      </c>
      <c r="D125" s="773">
        <f t="shared" si="75"/>
        <v>0</v>
      </c>
      <c r="E125" s="773">
        <f t="shared" si="80"/>
        <v>0</v>
      </c>
      <c r="F125" s="139">
        <f t="shared" si="73"/>
        <v>2019</v>
      </c>
      <c r="G125" s="168"/>
      <c r="H125" s="133">
        <v>0</v>
      </c>
      <c r="I125" s="89">
        <f t="shared" si="76"/>
        <v>0</v>
      </c>
      <c r="J125" s="168"/>
      <c r="K125" s="133">
        <v>0</v>
      </c>
      <c r="L125" s="89">
        <f t="shared" si="77"/>
        <v>0</v>
      </c>
      <c r="M125" s="168"/>
      <c r="N125" s="133">
        <v>0</v>
      </c>
      <c r="O125" s="89">
        <f t="shared" si="78"/>
        <v>0</v>
      </c>
    </row>
    <row r="126" spans="1:15">
      <c r="A126" s="120">
        <f t="shared" si="63"/>
        <v>33</v>
      </c>
      <c r="B126" s="127">
        <f t="shared" si="79"/>
        <v>2020</v>
      </c>
      <c r="C126" s="773">
        <f t="shared" si="74"/>
        <v>0</v>
      </c>
      <c r="D126" s="773">
        <f t="shared" si="75"/>
        <v>0</v>
      </c>
      <c r="E126" s="773">
        <f t="shared" si="80"/>
        <v>0</v>
      </c>
      <c r="F126" s="139">
        <f t="shared" si="73"/>
        <v>2020</v>
      </c>
      <c r="G126" s="168"/>
      <c r="H126" s="133">
        <v>0</v>
      </c>
      <c r="I126" s="89">
        <f t="shared" si="76"/>
        <v>0</v>
      </c>
      <c r="J126" s="168"/>
      <c r="K126" s="133">
        <v>0</v>
      </c>
      <c r="L126" s="89">
        <f t="shared" si="77"/>
        <v>0</v>
      </c>
      <c r="M126" s="168"/>
      <c r="N126" s="133">
        <v>0</v>
      </c>
      <c r="O126" s="89">
        <f t="shared" si="78"/>
        <v>0</v>
      </c>
    </row>
    <row r="127" spans="1:15">
      <c r="A127" s="120">
        <f t="shared" si="63"/>
        <v>34</v>
      </c>
      <c r="B127" s="127">
        <f t="shared" si="79"/>
        <v>2021</v>
      </c>
      <c r="C127" s="773">
        <f t="shared" si="74"/>
        <v>0</v>
      </c>
      <c r="D127" s="773">
        <f t="shared" si="75"/>
        <v>0</v>
      </c>
      <c r="E127" s="773">
        <f t="shared" si="80"/>
        <v>0</v>
      </c>
      <c r="F127" s="139">
        <f t="shared" si="73"/>
        <v>2021</v>
      </c>
      <c r="G127" s="168"/>
      <c r="H127" s="133">
        <v>0</v>
      </c>
      <c r="I127" s="89">
        <f t="shared" si="76"/>
        <v>0</v>
      </c>
      <c r="J127" s="168"/>
      <c r="K127" s="133">
        <v>0</v>
      </c>
      <c r="L127" s="89">
        <f t="shared" si="77"/>
        <v>0</v>
      </c>
      <c r="M127" s="168"/>
      <c r="N127" s="133">
        <v>0</v>
      </c>
      <c r="O127" s="89">
        <f t="shared" si="78"/>
        <v>0</v>
      </c>
    </row>
    <row r="128" spans="1:15">
      <c r="A128" s="120">
        <f t="shared" si="63"/>
        <v>35</v>
      </c>
      <c r="B128" s="127">
        <f t="shared" si="79"/>
        <v>2022</v>
      </c>
      <c r="C128" s="773">
        <f t="shared" si="74"/>
        <v>0</v>
      </c>
      <c r="D128" s="773">
        <f t="shared" si="75"/>
        <v>0</v>
      </c>
      <c r="E128" s="773">
        <f t="shared" si="80"/>
        <v>0</v>
      </c>
      <c r="F128" s="139">
        <f t="shared" si="73"/>
        <v>2022</v>
      </c>
      <c r="G128" s="168"/>
      <c r="H128" s="133">
        <v>0</v>
      </c>
      <c r="I128" s="89">
        <f t="shared" si="76"/>
        <v>0</v>
      </c>
      <c r="J128" s="168"/>
      <c r="K128" s="133">
        <v>0</v>
      </c>
      <c r="L128" s="89">
        <f t="shared" si="77"/>
        <v>0</v>
      </c>
      <c r="M128" s="168"/>
      <c r="N128" s="133">
        <v>0</v>
      </c>
      <c r="O128" s="89">
        <f t="shared" si="78"/>
        <v>0</v>
      </c>
    </row>
    <row r="129" spans="1:15">
      <c r="A129" s="120">
        <f t="shared" si="63"/>
        <v>36</v>
      </c>
      <c r="B129" s="127">
        <f t="shared" si="79"/>
        <v>2023</v>
      </c>
      <c r="C129" s="773">
        <f t="shared" si="74"/>
        <v>0</v>
      </c>
      <c r="D129" s="773">
        <f t="shared" si="75"/>
        <v>0</v>
      </c>
      <c r="E129" s="773">
        <f t="shared" si="80"/>
        <v>0</v>
      </c>
      <c r="F129" s="139">
        <f t="shared" si="73"/>
        <v>2023</v>
      </c>
      <c r="G129" s="168"/>
      <c r="H129" s="133">
        <v>0</v>
      </c>
      <c r="I129" s="89">
        <f t="shared" si="76"/>
        <v>0</v>
      </c>
      <c r="J129" s="168"/>
      <c r="K129" s="133">
        <v>0</v>
      </c>
      <c r="L129" s="89">
        <f t="shared" si="77"/>
        <v>0</v>
      </c>
      <c r="M129" s="168"/>
      <c r="N129" s="133">
        <v>0</v>
      </c>
      <c r="O129" s="89">
        <f t="shared" si="78"/>
        <v>0</v>
      </c>
    </row>
    <row r="130" spans="1:15">
      <c r="A130" s="120">
        <f t="shared" si="63"/>
        <v>37</v>
      </c>
      <c r="B130" s="127">
        <f t="shared" si="79"/>
        <v>2024</v>
      </c>
      <c r="C130" s="773">
        <f t="shared" si="74"/>
        <v>0</v>
      </c>
      <c r="D130" s="773">
        <f t="shared" si="75"/>
        <v>0</v>
      </c>
      <c r="E130" s="773">
        <f t="shared" si="80"/>
        <v>0</v>
      </c>
      <c r="F130" s="139">
        <f t="shared" si="73"/>
        <v>2024</v>
      </c>
      <c r="G130" s="168"/>
      <c r="H130" s="133">
        <v>0</v>
      </c>
      <c r="I130" s="89">
        <f t="shared" si="76"/>
        <v>0</v>
      </c>
      <c r="J130" s="168"/>
      <c r="K130" s="133">
        <v>0</v>
      </c>
      <c r="L130" s="89">
        <f t="shared" si="77"/>
        <v>0</v>
      </c>
      <c r="M130" s="168"/>
      <c r="N130" s="133">
        <v>0</v>
      </c>
      <c r="O130" s="89">
        <f t="shared" si="78"/>
        <v>0</v>
      </c>
    </row>
    <row r="131" spans="1:15">
      <c r="A131" s="120">
        <f t="shared" si="63"/>
        <v>38</v>
      </c>
      <c r="B131" s="127">
        <f t="shared" si="79"/>
        <v>2025</v>
      </c>
      <c r="C131" s="773">
        <f t="shared" si="74"/>
        <v>0</v>
      </c>
      <c r="D131" s="773">
        <f t="shared" si="75"/>
        <v>0</v>
      </c>
      <c r="E131" s="773">
        <f t="shared" si="80"/>
        <v>0</v>
      </c>
      <c r="F131" s="139">
        <f t="shared" si="73"/>
        <v>2025</v>
      </c>
      <c r="G131" s="168"/>
      <c r="H131" s="133">
        <v>0</v>
      </c>
      <c r="I131" s="89">
        <f t="shared" si="76"/>
        <v>0</v>
      </c>
      <c r="J131" s="168"/>
      <c r="K131" s="133">
        <v>0</v>
      </c>
      <c r="L131" s="89">
        <f t="shared" si="77"/>
        <v>0</v>
      </c>
      <c r="M131" s="168"/>
      <c r="N131" s="133">
        <v>0</v>
      </c>
      <c r="O131" s="89">
        <f t="shared" si="78"/>
        <v>0</v>
      </c>
    </row>
    <row r="132" spans="1:15">
      <c r="A132" s="120">
        <f t="shared" si="63"/>
        <v>39</v>
      </c>
      <c r="B132" s="127">
        <f t="shared" si="79"/>
        <v>2026</v>
      </c>
      <c r="C132" s="773">
        <f t="shared" si="74"/>
        <v>0</v>
      </c>
      <c r="D132" s="773">
        <f t="shared" si="75"/>
        <v>0</v>
      </c>
      <c r="E132" s="773">
        <f t="shared" si="80"/>
        <v>0</v>
      </c>
      <c r="F132" s="139">
        <f t="shared" si="73"/>
        <v>2026</v>
      </c>
      <c r="G132" s="168"/>
      <c r="H132" s="133">
        <v>0</v>
      </c>
      <c r="I132" s="89">
        <f t="shared" si="76"/>
        <v>0</v>
      </c>
      <c r="J132" s="168"/>
      <c r="K132" s="133">
        <v>0</v>
      </c>
      <c r="L132" s="89">
        <f t="shared" si="77"/>
        <v>0</v>
      </c>
      <c r="M132" s="168"/>
      <c r="N132" s="133">
        <v>0</v>
      </c>
      <c r="O132" s="89">
        <f t="shared" si="78"/>
        <v>0</v>
      </c>
    </row>
    <row r="133" spans="1:15">
      <c r="A133" s="120">
        <f t="shared" si="63"/>
        <v>40</v>
      </c>
      <c r="B133" s="127">
        <f t="shared" si="79"/>
        <v>2027</v>
      </c>
      <c r="C133" s="773">
        <f t="shared" si="74"/>
        <v>0</v>
      </c>
      <c r="D133" s="773">
        <f t="shared" si="75"/>
        <v>0</v>
      </c>
      <c r="E133" s="773">
        <f t="shared" si="80"/>
        <v>0</v>
      </c>
      <c r="F133" s="139">
        <f t="shared" si="73"/>
        <v>2027</v>
      </c>
      <c r="G133" s="168"/>
      <c r="H133" s="133">
        <v>0</v>
      </c>
      <c r="I133" s="89">
        <f t="shared" si="76"/>
        <v>0</v>
      </c>
      <c r="J133" s="168"/>
      <c r="K133" s="133">
        <v>0</v>
      </c>
      <c r="L133" s="89">
        <f t="shared" si="77"/>
        <v>0</v>
      </c>
      <c r="M133" s="168"/>
      <c r="N133" s="133">
        <v>0</v>
      </c>
      <c r="O133" s="89">
        <f t="shared" si="78"/>
        <v>0</v>
      </c>
    </row>
    <row r="134" spans="1:15">
      <c r="A134" s="120">
        <f t="shared" si="63"/>
        <v>41</v>
      </c>
      <c r="B134" s="127">
        <f t="shared" si="79"/>
        <v>2028</v>
      </c>
      <c r="C134" s="773">
        <f t="shared" si="74"/>
        <v>0</v>
      </c>
      <c r="D134" s="773">
        <f t="shared" si="75"/>
        <v>0</v>
      </c>
      <c r="E134" s="773">
        <f t="shared" si="80"/>
        <v>0</v>
      </c>
      <c r="F134" s="139">
        <f t="shared" si="73"/>
        <v>2028</v>
      </c>
      <c r="G134" s="168"/>
      <c r="H134" s="133">
        <v>0</v>
      </c>
      <c r="I134" s="89">
        <f t="shared" si="76"/>
        <v>0</v>
      </c>
      <c r="J134" s="168"/>
      <c r="K134" s="133">
        <v>0</v>
      </c>
      <c r="L134" s="89">
        <f t="shared" si="77"/>
        <v>0</v>
      </c>
      <c r="M134" s="168"/>
      <c r="N134" s="133">
        <v>0</v>
      </c>
      <c r="O134" s="89">
        <f t="shared" si="78"/>
        <v>0</v>
      </c>
    </row>
    <row r="135" spans="1:15">
      <c r="A135" s="120">
        <f t="shared" si="63"/>
        <v>42</v>
      </c>
      <c r="B135" s="127">
        <f t="shared" si="79"/>
        <v>2029</v>
      </c>
      <c r="C135" s="773">
        <f t="shared" si="74"/>
        <v>0</v>
      </c>
      <c r="D135" s="773">
        <f t="shared" si="75"/>
        <v>0</v>
      </c>
      <c r="E135" s="773">
        <f t="shared" si="80"/>
        <v>0</v>
      </c>
      <c r="F135" s="139">
        <f t="shared" si="73"/>
        <v>2029</v>
      </c>
      <c r="G135" s="168"/>
      <c r="H135" s="133">
        <v>0</v>
      </c>
      <c r="I135" s="89">
        <f t="shared" si="76"/>
        <v>0</v>
      </c>
      <c r="J135" s="168"/>
      <c r="K135" s="133">
        <v>0</v>
      </c>
      <c r="L135" s="89">
        <f t="shared" si="77"/>
        <v>0</v>
      </c>
      <c r="M135" s="168"/>
      <c r="N135" s="133">
        <v>0</v>
      </c>
      <c r="O135" s="89">
        <f t="shared" si="78"/>
        <v>0</v>
      </c>
    </row>
    <row r="136" spans="1:15">
      <c r="A136" s="120">
        <f t="shared" si="63"/>
        <v>43</v>
      </c>
      <c r="B136" s="127">
        <f t="shared" si="79"/>
        <v>2030</v>
      </c>
      <c r="C136" s="773">
        <f t="shared" si="74"/>
        <v>0</v>
      </c>
      <c r="D136" s="773">
        <f t="shared" si="75"/>
        <v>0</v>
      </c>
      <c r="E136" s="773">
        <f t="shared" si="80"/>
        <v>0</v>
      </c>
      <c r="F136" s="139">
        <f t="shared" si="73"/>
        <v>2030</v>
      </c>
      <c r="G136" s="168"/>
      <c r="H136" s="133">
        <v>0</v>
      </c>
      <c r="I136" s="89">
        <f t="shared" si="76"/>
        <v>0</v>
      </c>
      <c r="J136" s="168"/>
      <c r="K136" s="133">
        <v>0</v>
      </c>
      <c r="L136" s="89">
        <f t="shared" si="77"/>
        <v>0</v>
      </c>
      <c r="M136" s="168"/>
      <c r="N136" s="133">
        <v>0</v>
      </c>
      <c r="O136" s="89">
        <f t="shared" si="78"/>
        <v>0</v>
      </c>
    </row>
    <row r="137" spans="1:15">
      <c r="A137" s="120">
        <f t="shared" si="63"/>
        <v>44</v>
      </c>
      <c r="B137" s="127">
        <f t="shared" si="79"/>
        <v>2031</v>
      </c>
      <c r="C137" s="773">
        <f t="shared" si="74"/>
        <v>0</v>
      </c>
      <c r="D137" s="773">
        <f t="shared" si="75"/>
        <v>0</v>
      </c>
      <c r="E137" s="773">
        <f t="shared" si="80"/>
        <v>0</v>
      </c>
      <c r="F137" s="139">
        <f t="shared" si="73"/>
        <v>2031</v>
      </c>
      <c r="G137" s="168"/>
      <c r="H137" s="133">
        <v>0</v>
      </c>
      <c r="I137" s="89">
        <f t="shared" si="76"/>
        <v>0</v>
      </c>
      <c r="J137" s="168"/>
      <c r="K137" s="133">
        <v>0</v>
      </c>
      <c r="L137" s="89">
        <f t="shared" si="77"/>
        <v>0</v>
      </c>
      <c r="M137" s="168"/>
      <c r="N137" s="133">
        <v>0</v>
      </c>
      <c r="O137" s="89">
        <f t="shared" si="78"/>
        <v>0</v>
      </c>
    </row>
    <row r="138" spans="1:15" ht="15">
      <c r="A138" s="120">
        <f t="shared" si="63"/>
        <v>45</v>
      </c>
      <c r="B138" s="1771" t="s">
        <v>1547</v>
      </c>
      <c r="F138" s="139"/>
      <c r="G138" s="124"/>
      <c r="H138" s="125"/>
      <c r="I138" s="125"/>
      <c r="J138" s="124"/>
      <c r="K138" s="125"/>
      <c r="L138" s="125"/>
      <c r="M138" s="124"/>
      <c r="N138" s="125"/>
      <c r="O138" s="172"/>
    </row>
    <row r="139" spans="1:15" ht="14.25">
      <c r="A139" s="120">
        <f t="shared" si="63"/>
        <v>46</v>
      </c>
      <c r="B139" s="1604" t="s">
        <v>1137</v>
      </c>
      <c r="C139" s="1772" t="s">
        <v>424</v>
      </c>
      <c r="D139" s="1772"/>
      <c r="E139" s="1772"/>
      <c r="F139" s="127"/>
      <c r="G139" s="1773"/>
      <c r="H139" s="1773"/>
      <c r="I139" s="1773"/>
      <c r="J139" s="1773"/>
      <c r="K139" s="1772"/>
      <c r="L139" s="1772"/>
      <c r="M139" s="155"/>
      <c r="N139" s="155"/>
      <c r="O139" s="155"/>
    </row>
    <row r="140" spans="1:15" ht="14.25">
      <c r="A140" s="120">
        <f t="shared" si="63"/>
        <v>47</v>
      </c>
      <c r="B140" s="1604" t="s">
        <v>731</v>
      </c>
      <c r="C140" s="1772" t="s">
        <v>1178</v>
      </c>
      <c r="D140" s="1772"/>
      <c r="E140" s="1772"/>
      <c r="F140" s="127"/>
      <c r="G140" s="1773"/>
      <c r="H140" s="1773"/>
      <c r="I140" s="1773"/>
      <c r="J140" s="1773"/>
      <c r="K140" s="1772"/>
      <c r="L140" s="1772"/>
      <c r="M140" s="155"/>
      <c r="N140" s="155"/>
      <c r="O140" s="155"/>
    </row>
    <row r="141" spans="1:15" ht="24" customHeight="1">
      <c r="A141" s="120">
        <f t="shared" si="63"/>
        <v>48</v>
      </c>
      <c r="B141" s="1605" t="s">
        <v>732</v>
      </c>
      <c r="C141" s="2212" t="s">
        <v>1063</v>
      </c>
      <c r="D141" s="2214"/>
      <c r="E141" s="2214"/>
      <c r="F141" s="2214"/>
      <c r="G141" s="2214"/>
      <c r="H141" s="2214"/>
      <c r="I141" s="2214"/>
      <c r="J141" s="2214"/>
      <c r="K141" s="2214"/>
      <c r="L141" s="2214"/>
      <c r="M141" s="155"/>
      <c r="N141" s="155"/>
      <c r="O141" s="155"/>
    </row>
    <row r="142" spans="1:15" ht="14.25">
      <c r="A142" s="120">
        <f t="shared" si="63"/>
        <v>49</v>
      </c>
      <c r="B142" s="1604" t="s">
        <v>1644</v>
      </c>
      <c r="C142" s="1772" t="s">
        <v>1064</v>
      </c>
      <c r="D142" s="1772"/>
      <c r="E142" s="1772"/>
      <c r="F142" s="127"/>
      <c r="G142" s="1773"/>
      <c r="H142" s="1773"/>
      <c r="I142" s="1773"/>
      <c r="J142" s="1773"/>
      <c r="K142" s="1772"/>
      <c r="L142" s="1772"/>
      <c r="M142" s="155"/>
      <c r="N142" s="155"/>
      <c r="O142" s="155"/>
    </row>
    <row r="143" spans="1:15" ht="14.25">
      <c r="A143" s="120">
        <f t="shared" si="63"/>
        <v>50</v>
      </c>
      <c r="B143" s="1604" t="s">
        <v>1727</v>
      </c>
      <c r="C143" s="1296" t="s">
        <v>514</v>
      </c>
      <c r="D143" s="1296"/>
      <c r="E143" s="1296"/>
      <c r="F143" s="119"/>
      <c r="G143" s="120"/>
      <c r="H143" s="120"/>
      <c r="I143" s="120"/>
      <c r="J143" s="120"/>
      <c r="K143" s="1296"/>
      <c r="L143" s="1296"/>
      <c r="M143" s="155"/>
      <c r="N143" s="155"/>
      <c r="O143" s="155"/>
    </row>
    <row r="144" spans="1:15" ht="7.5" customHeight="1"/>
    <row r="145" spans="1:15" ht="18">
      <c r="A145" s="727" t="s">
        <v>115</v>
      </c>
      <c r="B145" s="135"/>
      <c r="C145" s="135"/>
      <c r="D145" s="135"/>
      <c r="E145" s="961"/>
      <c r="J145" s="2193" t="s">
        <v>172</v>
      </c>
      <c r="K145" s="2193"/>
      <c r="M145" s="1100"/>
      <c r="O145" s="118" t="s">
        <v>1238</v>
      </c>
    </row>
    <row r="146" spans="1:15">
      <c r="A146" s="120">
        <v>1</v>
      </c>
      <c r="G146" s="565" t="s">
        <v>623</v>
      </c>
      <c r="H146" s="794" t="s">
        <v>838</v>
      </c>
      <c r="I146" s="530"/>
      <c r="J146" s="565" t="s">
        <v>623</v>
      </c>
      <c r="K146" s="794" t="s">
        <v>839</v>
      </c>
      <c r="L146" s="523"/>
      <c r="M146" s="565" t="s">
        <v>623</v>
      </c>
      <c r="N146" s="794"/>
      <c r="O146" s="527"/>
    </row>
    <row r="147" spans="1:15">
      <c r="A147" s="120">
        <f>A146+1</f>
        <v>2</v>
      </c>
      <c r="G147" s="134" t="s">
        <v>632</v>
      </c>
      <c r="H147" s="524"/>
      <c r="I147" s="526"/>
      <c r="J147" s="134" t="s">
        <v>632</v>
      </c>
      <c r="K147" s="524"/>
      <c r="L147" s="525"/>
      <c r="M147" s="134" t="s">
        <v>632</v>
      </c>
      <c r="N147" s="524"/>
      <c r="O147" s="526"/>
    </row>
    <row r="148" spans="1:15" ht="39" customHeight="1">
      <c r="A148" s="120">
        <f t="shared" ref="A148:A195" si="81">A147+1</f>
        <v>3</v>
      </c>
      <c r="C148" s="88"/>
      <c r="D148" s="1761"/>
      <c r="E148" s="1761"/>
      <c r="F148" s="88"/>
      <c r="G148" s="1762" t="s">
        <v>1351</v>
      </c>
      <c r="H148" s="1763" t="s">
        <v>897</v>
      </c>
      <c r="I148" s="1764" t="s">
        <v>1353</v>
      </c>
      <c r="J148" s="1762" t="s">
        <v>1351</v>
      </c>
      <c r="K148" s="1763" t="s">
        <v>897</v>
      </c>
      <c r="L148" s="1764" t="s">
        <v>1353</v>
      </c>
      <c r="M148" s="1762" t="s">
        <v>1351</v>
      </c>
      <c r="N148" s="1763" t="s">
        <v>1513</v>
      </c>
      <c r="O148" s="1764" t="s">
        <v>1353</v>
      </c>
    </row>
    <row r="149" spans="1:15">
      <c r="A149" s="120">
        <f t="shared" si="81"/>
        <v>4</v>
      </c>
      <c r="C149" s="88"/>
      <c r="D149" s="88" t="s">
        <v>1354</v>
      </c>
      <c r="E149" s="88" t="s">
        <v>1355</v>
      </c>
      <c r="F149" s="344"/>
      <c r="G149" s="1768">
        <v>0</v>
      </c>
      <c r="H149" s="88"/>
      <c r="I149" s="88"/>
      <c r="J149" s="1768">
        <v>0</v>
      </c>
      <c r="K149" s="88"/>
      <c r="L149" s="88"/>
      <c r="M149" s="1768">
        <v>0</v>
      </c>
      <c r="N149" s="88"/>
      <c r="O149" s="88"/>
    </row>
    <row r="150" spans="1:15">
      <c r="A150" s="120">
        <f t="shared" si="81"/>
        <v>5</v>
      </c>
      <c r="C150" s="88"/>
      <c r="D150" s="88" t="s">
        <v>1356</v>
      </c>
      <c r="E150" s="88" t="s">
        <v>674</v>
      </c>
      <c r="F150" s="344"/>
      <c r="G150" s="1768">
        <f>+G149</f>
        <v>0</v>
      </c>
      <c r="H150" s="177">
        <f>(IF('Actual Gross Rev Req'!$H$16=0,0,'Actual Gross Rev Req'!$H$92/'Actual Gross Rev Req'!$H$16)/12)</f>
        <v>1.4936180092078701E-3</v>
      </c>
      <c r="I150" s="171">
        <f t="shared" ref="I150:I161" si="82">+H150*G149</f>
        <v>0</v>
      </c>
      <c r="J150" s="1768">
        <f>+J149</f>
        <v>0</v>
      </c>
      <c r="K150" s="177">
        <f>(IF('Actual Gross Rev Req'!$H$16=0,0,'Actual Gross Rev Req'!$H$92/'Actual Gross Rev Req'!$H$16)/12)</f>
        <v>1.4936180092078701E-3</v>
      </c>
      <c r="L150" s="171">
        <f t="shared" ref="L150:L161" si="83">+K150*J149</f>
        <v>0</v>
      </c>
      <c r="M150" s="1768">
        <f>+M149</f>
        <v>0</v>
      </c>
      <c r="N150" s="177">
        <f>(IF('Actual Gross Rev Req'!$H$16=0,0,'Actual Gross Rev Req'!$H$92/'Actual Gross Rev Req'!$H$16)/12)</f>
        <v>1.4936180092078701E-3</v>
      </c>
      <c r="O150" s="171">
        <f t="shared" ref="O150:O161" si="84">+N150*M149</f>
        <v>0</v>
      </c>
    </row>
    <row r="151" spans="1:15">
      <c r="A151" s="120">
        <f t="shared" si="81"/>
        <v>6</v>
      </c>
      <c r="C151" s="88"/>
      <c r="D151" s="88" t="s">
        <v>1356</v>
      </c>
      <c r="E151" s="88" t="s">
        <v>1357</v>
      </c>
      <c r="F151" s="344"/>
      <c r="G151" s="1768">
        <f t="shared" ref="G151:G161" si="85">+G150</f>
        <v>0</v>
      </c>
      <c r="H151" s="177">
        <f>H150</f>
        <v>1.4936180092078701E-3</v>
      </c>
      <c r="I151" s="171">
        <f t="shared" si="82"/>
        <v>0</v>
      </c>
      <c r="J151" s="1768">
        <f t="shared" ref="J151:J161" si="86">+J150</f>
        <v>0</v>
      </c>
      <c r="K151" s="177">
        <f>K150</f>
        <v>1.4936180092078701E-3</v>
      </c>
      <c r="L151" s="171">
        <f t="shared" si="83"/>
        <v>0</v>
      </c>
      <c r="M151" s="1768">
        <f t="shared" ref="M151:M161" si="87">+M150</f>
        <v>0</v>
      </c>
      <c r="N151" s="177">
        <f>N150</f>
        <v>1.4936180092078701E-3</v>
      </c>
      <c r="O151" s="171">
        <f t="shared" si="84"/>
        <v>0</v>
      </c>
    </row>
    <row r="152" spans="1:15">
      <c r="A152" s="120">
        <f t="shared" si="81"/>
        <v>7</v>
      </c>
      <c r="C152" s="88"/>
      <c r="D152" s="88" t="s">
        <v>1356</v>
      </c>
      <c r="E152" s="88" t="s">
        <v>1358</v>
      </c>
      <c r="F152" s="344"/>
      <c r="G152" s="1768">
        <f t="shared" si="85"/>
        <v>0</v>
      </c>
      <c r="H152" s="177">
        <f t="shared" ref="H152:H161" si="88">H151</f>
        <v>1.4936180092078701E-3</v>
      </c>
      <c r="I152" s="171">
        <f t="shared" si="82"/>
        <v>0</v>
      </c>
      <c r="J152" s="1768">
        <f t="shared" si="86"/>
        <v>0</v>
      </c>
      <c r="K152" s="177">
        <f t="shared" ref="K152:K161" si="89">K151</f>
        <v>1.4936180092078701E-3</v>
      </c>
      <c r="L152" s="171">
        <f t="shared" si="83"/>
        <v>0</v>
      </c>
      <c r="M152" s="1768">
        <f t="shared" si="87"/>
        <v>0</v>
      </c>
      <c r="N152" s="177">
        <f t="shared" ref="N152:N161" si="90">N151</f>
        <v>1.4936180092078701E-3</v>
      </c>
      <c r="O152" s="171">
        <f t="shared" si="84"/>
        <v>0</v>
      </c>
    </row>
    <row r="153" spans="1:15">
      <c r="A153" s="120">
        <f t="shared" si="81"/>
        <v>8</v>
      </c>
      <c r="C153" s="88"/>
      <c r="D153" s="88" t="s">
        <v>1356</v>
      </c>
      <c r="E153" s="88" t="s">
        <v>1359</v>
      </c>
      <c r="F153" s="344"/>
      <c r="G153" s="1768">
        <f t="shared" si="85"/>
        <v>0</v>
      </c>
      <c r="H153" s="177">
        <f t="shared" si="88"/>
        <v>1.4936180092078701E-3</v>
      </c>
      <c r="I153" s="171">
        <f t="shared" si="82"/>
        <v>0</v>
      </c>
      <c r="J153" s="1768">
        <f t="shared" si="86"/>
        <v>0</v>
      </c>
      <c r="K153" s="177">
        <f t="shared" si="89"/>
        <v>1.4936180092078701E-3</v>
      </c>
      <c r="L153" s="171">
        <f t="shared" si="83"/>
        <v>0</v>
      </c>
      <c r="M153" s="1768">
        <f t="shared" si="87"/>
        <v>0</v>
      </c>
      <c r="N153" s="177">
        <f t="shared" si="90"/>
        <v>1.4936180092078701E-3</v>
      </c>
      <c r="O153" s="171">
        <f t="shared" si="84"/>
        <v>0</v>
      </c>
    </row>
    <row r="154" spans="1:15">
      <c r="A154" s="120">
        <f t="shared" si="81"/>
        <v>9</v>
      </c>
      <c r="C154" s="88"/>
      <c r="D154" s="88" t="s">
        <v>1356</v>
      </c>
      <c r="E154" s="88" t="s">
        <v>1125</v>
      </c>
      <c r="F154" s="344"/>
      <c r="G154" s="1768">
        <f t="shared" si="85"/>
        <v>0</v>
      </c>
      <c r="H154" s="177">
        <f t="shared" si="88"/>
        <v>1.4936180092078701E-3</v>
      </c>
      <c r="I154" s="171">
        <f t="shared" si="82"/>
        <v>0</v>
      </c>
      <c r="J154" s="1768">
        <f t="shared" si="86"/>
        <v>0</v>
      </c>
      <c r="K154" s="177">
        <f t="shared" si="89"/>
        <v>1.4936180092078701E-3</v>
      </c>
      <c r="L154" s="171">
        <f t="shared" si="83"/>
        <v>0</v>
      </c>
      <c r="M154" s="1768">
        <f t="shared" si="87"/>
        <v>0</v>
      </c>
      <c r="N154" s="177">
        <f t="shared" si="90"/>
        <v>1.4936180092078701E-3</v>
      </c>
      <c r="O154" s="171">
        <f t="shared" si="84"/>
        <v>0</v>
      </c>
    </row>
    <row r="155" spans="1:15">
      <c r="A155" s="120">
        <f t="shared" si="81"/>
        <v>10</v>
      </c>
      <c r="C155" s="88"/>
      <c r="D155" s="88" t="s">
        <v>1356</v>
      </c>
      <c r="E155" s="88" t="s">
        <v>675</v>
      </c>
      <c r="F155" s="344"/>
      <c r="G155" s="1768">
        <f t="shared" si="85"/>
        <v>0</v>
      </c>
      <c r="H155" s="177">
        <f t="shared" si="88"/>
        <v>1.4936180092078701E-3</v>
      </c>
      <c r="I155" s="171">
        <f t="shared" si="82"/>
        <v>0</v>
      </c>
      <c r="J155" s="1768">
        <f t="shared" si="86"/>
        <v>0</v>
      </c>
      <c r="K155" s="177">
        <f t="shared" si="89"/>
        <v>1.4936180092078701E-3</v>
      </c>
      <c r="L155" s="171">
        <f t="shared" si="83"/>
        <v>0</v>
      </c>
      <c r="M155" s="1768">
        <f t="shared" si="87"/>
        <v>0</v>
      </c>
      <c r="N155" s="177">
        <f t="shared" si="90"/>
        <v>1.4936180092078701E-3</v>
      </c>
      <c r="O155" s="171">
        <f t="shared" si="84"/>
        <v>0</v>
      </c>
    </row>
    <row r="156" spans="1:15">
      <c r="A156" s="120">
        <f t="shared" si="81"/>
        <v>11</v>
      </c>
      <c r="C156" s="88"/>
      <c r="D156" s="88" t="s">
        <v>1356</v>
      </c>
      <c r="E156" s="88" t="s">
        <v>1360</v>
      </c>
      <c r="F156" s="344"/>
      <c r="G156" s="1768">
        <f t="shared" si="85"/>
        <v>0</v>
      </c>
      <c r="H156" s="177">
        <f t="shared" si="88"/>
        <v>1.4936180092078701E-3</v>
      </c>
      <c r="I156" s="171">
        <f t="shared" si="82"/>
        <v>0</v>
      </c>
      <c r="J156" s="1768">
        <f t="shared" si="86"/>
        <v>0</v>
      </c>
      <c r="K156" s="177">
        <f t="shared" si="89"/>
        <v>1.4936180092078701E-3</v>
      </c>
      <c r="L156" s="171">
        <f t="shared" si="83"/>
        <v>0</v>
      </c>
      <c r="M156" s="1768">
        <f t="shared" si="87"/>
        <v>0</v>
      </c>
      <c r="N156" s="177">
        <f t="shared" si="90"/>
        <v>1.4936180092078701E-3</v>
      </c>
      <c r="O156" s="171">
        <f t="shared" si="84"/>
        <v>0</v>
      </c>
    </row>
    <row r="157" spans="1:15">
      <c r="A157" s="120">
        <f t="shared" si="81"/>
        <v>12</v>
      </c>
      <c r="C157" s="88"/>
      <c r="D157" s="88" t="s">
        <v>1356</v>
      </c>
      <c r="E157" s="88" t="s">
        <v>1361</v>
      </c>
      <c r="F157" s="344"/>
      <c r="G157" s="1768">
        <f t="shared" si="85"/>
        <v>0</v>
      </c>
      <c r="H157" s="177">
        <f t="shared" si="88"/>
        <v>1.4936180092078701E-3</v>
      </c>
      <c r="I157" s="171">
        <f t="shared" si="82"/>
        <v>0</v>
      </c>
      <c r="J157" s="1768">
        <f t="shared" si="86"/>
        <v>0</v>
      </c>
      <c r="K157" s="177">
        <f t="shared" si="89"/>
        <v>1.4936180092078701E-3</v>
      </c>
      <c r="L157" s="171">
        <f t="shared" si="83"/>
        <v>0</v>
      </c>
      <c r="M157" s="1768">
        <f t="shared" si="87"/>
        <v>0</v>
      </c>
      <c r="N157" s="177">
        <f t="shared" si="90"/>
        <v>1.4936180092078701E-3</v>
      </c>
      <c r="O157" s="171">
        <f t="shared" si="84"/>
        <v>0</v>
      </c>
    </row>
    <row r="158" spans="1:15">
      <c r="A158" s="120">
        <f t="shared" si="81"/>
        <v>13</v>
      </c>
      <c r="C158" s="88"/>
      <c r="D158" s="88" t="s">
        <v>1356</v>
      </c>
      <c r="E158" s="88" t="s">
        <v>1362</v>
      </c>
      <c r="F158" s="344"/>
      <c r="G158" s="1768">
        <f t="shared" si="85"/>
        <v>0</v>
      </c>
      <c r="H158" s="177">
        <f t="shared" si="88"/>
        <v>1.4936180092078701E-3</v>
      </c>
      <c r="I158" s="171">
        <f t="shared" si="82"/>
        <v>0</v>
      </c>
      <c r="J158" s="1768">
        <f t="shared" si="86"/>
        <v>0</v>
      </c>
      <c r="K158" s="177">
        <f t="shared" si="89"/>
        <v>1.4936180092078701E-3</v>
      </c>
      <c r="L158" s="171">
        <f t="shared" si="83"/>
        <v>0</v>
      </c>
      <c r="M158" s="1768">
        <f t="shared" si="87"/>
        <v>0</v>
      </c>
      <c r="N158" s="177">
        <f t="shared" si="90"/>
        <v>1.4936180092078701E-3</v>
      </c>
      <c r="O158" s="171">
        <f t="shared" si="84"/>
        <v>0</v>
      </c>
    </row>
    <row r="159" spans="1:15">
      <c r="A159" s="120">
        <f t="shared" si="81"/>
        <v>14</v>
      </c>
      <c r="C159" s="88"/>
      <c r="D159" s="88" t="s">
        <v>1356</v>
      </c>
      <c r="E159" s="88" t="s">
        <v>676</v>
      </c>
      <c r="F159" s="344"/>
      <c r="G159" s="1768">
        <f t="shared" si="85"/>
        <v>0</v>
      </c>
      <c r="H159" s="177">
        <f t="shared" si="88"/>
        <v>1.4936180092078701E-3</v>
      </c>
      <c r="I159" s="171">
        <f t="shared" si="82"/>
        <v>0</v>
      </c>
      <c r="J159" s="1768">
        <f t="shared" si="86"/>
        <v>0</v>
      </c>
      <c r="K159" s="177">
        <f t="shared" si="89"/>
        <v>1.4936180092078701E-3</v>
      </c>
      <c r="L159" s="171">
        <f t="shared" si="83"/>
        <v>0</v>
      </c>
      <c r="M159" s="1768">
        <f t="shared" si="87"/>
        <v>0</v>
      </c>
      <c r="N159" s="177">
        <f t="shared" si="90"/>
        <v>1.4936180092078701E-3</v>
      </c>
      <c r="O159" s="171">
        <f t="shared" si="84"/>
        <v>0</v>
      </c>
    </row>
    <row r="160" spans="1:15">
      <c r="A160" s="120">
        <f t="shared" si="81"/>
        <v>15</v>
      </c>
      <c r="C160" s="88"/>
      <c r="D160" s="88" t="s">
        <v>1356</v>
      </c>
      <c r="E160" s="88" t="s">
        <v>1363</v>
      </c>
      <c r="F160" s="344"/>
      <c r="G160" s="1768">
        <f t="shared" si="85"/>
        <v>0</v>
      </c>
      <c r="H160" s="177">
        <f t="shared" si="88"/>
        <v>1.4936180092078701E-3</v>
      </c>
      <c r="I160" s="171">
        <f t="shared" si="82"/>
        <v>0</v>
      </c>
      <c r="J160" s="1768">
        <f t="shared" si="86"/>
        <v>0</v>
      </c>
      <c r="K160" s="177">
        <f t="shared" si="89"/>
        <v>1.4936180092078701E-3</v>
      </c>
      <c r="L160" s="171">
        <f t="shared" si="83"/>
        <v>0</v>
      </c>
      <c r="M160" s="1768">
        <f t="shared" si="87"/>
        <v>0</v>
      </c>
      <c r="N160" s="177">
        <f t="shared" si="90"/>
        <v>1.4936180092078701E-3</v>
      </c>
      <c r="O160" s="171">
        <f t="shared" si="84"/>
        <v>0</v>
      </c>
    </row>
    <row r="161" spans="1:15">
      <c r="A161" s="120">
        <f t="shared" si="81"/>
        <v>16</v>
      </c>
      <c r="C161" s="88"/>
      <c r="D161" s="88" t="s">
        <v>1356</v>
      </c>
      <c r="E161" s="88" t="s">
        <v>1355</v>
      </c>
      <c r="F161" s="344"/>
      <c r="G161" s="1768">
        <f t="shared" si="85"/>
        <v>0</v>
      </c>
      <c r="H161" s="177">
        <f t="shared" si="88"/>
        <v>1.4936180092078701E-3</v>
      </c>
      <c r="I161" s="929">
        <f t="shared" si="82"/>
        <v>0</v>
      </c>
      <c r="J161" s="1768">
        <f t="shared" si="86"/>
        <v>0</v>
      </c>
      <c r="K161" s="177">
        <f t="shared" si="89"/>
        <v>1.4936180092078701E-3</v>
      </c>
      <c r="L161" s="929">
        <f t="shared" si="83"/>
        <v>0</v>
      </c>
      <c r="M161" s="1768">
        <f t="shared" si="87"/>
        <v>0</v>
      </c>
      <c r="N161" s="177">
        <f t="shared" si="90"/>
        <v>1.4936180092078701E-3</v>
      </c>
      <c r="O161" s="929">
        <f t="shared" si="84"/>
        <v>0</v>
      </c>
    </row>
    <row r="162" spans="1:15">
      <c r="A162" s="120">
        <f t="shared" si="81"/>
        <v>17</v>
      </c>
      <c r="C162" s="88"/>
      <c r="D162" s="88"/>
      <c r="E162" s="88"/>
      <c r="F162" s="88"/>
      <c r="G162" s="134"/>
      <c r="H162" s="1765" t="str">
        <f>"Sum lines "&amp;$A150&amp;" - "&amp;$A161&amp;""</f>
        <v>Sum lines 5 - 16</v>
      </c>
      <c r="I162" s="171">
        <f>SUM(I150:I161)</f>
        <v>0</v>
      </c>
      <c r="J162" s="134"/>
      <c r="K162" s="1765" t="str">
        <f>"Sum lines "&amp;$A150&amp;" - "&amp;$A161&amp;""</f>
        <v>Sum lines 5 - 16</v>
      </c>
      <c r="L162" s="171">
        <f>SUM(L150:L161)</f>
        <v>0</v>
      </c>
      <c r="M162" s="134"/>
      <c r="N162" s="1765" t="str">
        <f>"Sum lines "&amp;$A150&amp;" - "&amp;$A161&amp;""</f>
        <v>Sum lines 5 - 16</v>
      </c>
      <c r="O162" s="171">
        <f>SUM(O150:O161)</f>
        <v>0</v>
      </c>
    </row>
    <row r="163" spans="1:15">
      <c r="A163" s="120">
        <f t="shared" si="81"/>
        <v>18</v>
      </c>
      <c r="C163" s="2211" t="s">
        <v>54</v>
      </c>
      <c r="D163" s="2211"/>
      <c r="E163" s="2211"/>
      <c r="F163" s="135"/>
      <c r="G163" s="134" t="s">
        <v>1512</v>
      </c>
      <c r="H163" s="126">
        <v>0</v>
      </c>
      <c r="I163" s="1766"/>
      <c r="J163" s="134" t="s">
        <v>1512</v>
      </c>
      <c r="K163" s="126">
        <v>0</v>
      </c>
      <c r="L163" s="1766"/>
      <c r="M163" s="134" t="s">
        <v>1512</v>
      </c>
      <c r="N163" s="126">
        <v>0</v>
      </c>
      <c r="O163" s="1766"/>
    </row>
    <row r="164" spans="1:15">
      <c r="A164" s="120">
        <f t="shared" si="81"/>
        <v>19</v>
      </c>
      <c r="B164" s="141" t="s">
        <v>394</v>
      </c>
      <c r="C164" s="117" t="s">
        <v>1045</v>
      </c>
      <c r="D164" s="117" t="s">
        <v>634</v>
      </c>
      <c r="E164" s="117" t="s">
        <v>265</v>
      </c>
      <c r="F164" s="141" t="s">
        <v>394</v>
      </c>
      <c r="G164" s="568" t="s">
        <v>1045</v>
      </c>
      <c r="H164" s="568" t="s">
        <v>634</v>
      </c>
      <c r="I164" s="568" t="s">
        <v>265</v>
      </c>
      <c r="J164" s="568" t="s">
        <v>1045</v>
      </c>
      <c r="K164" s="568" t="s">
        <v>634</v>
      </c>
      <c r="L164" s="568" t="s">
        <v>265</v>
      </c>
      <c r="M164" s="568" t="s">
        <v>1045</v>
      </c>
      <c r="N164" s="568" t="s">
        <v>634</v>
      </c>
      <c r="O164" s="568" t="s">
        <v>265</v>
      </c>
    </row>
    <row r="165" spans="1:15">
      <c r="A165" s="120">
        <f t="shared" si="81"/>
        <v>20</v>
      </c>
      <c r="B165" s="521"/>
      <c r="C165" s="521"/>
      <c r="D165" s="521"/>
      <c r="E165" s="521"/>
      <c r="F165" s="521"/>
      <c r="G165" s="1603"/>
      <c r="H165" s="1321"/>
      <c r="I165" s="1322"/>
      <c r="J165" s="1769"/>
      <c r="K165" s="1770"/>
      <c r="L165" s="1322"/>
      <c r="M165" s="1769"/>
      <c r="N165" s="1770"/>
      <c r="O165" s="1322"/>
    </row>
    <row r="166" spans="1:15">
      <c r="A166" s="120">
        <f t="shared" si="81"/>
        <v>21</v>
      </c>
      <c r="B166" s="127">
        <v>2008</v>
      </c>
      <c r="C166" s="773">
        <f>+G166+J166+M166</f>
        <v>0</v>
      </c>
      <c r="D166" s="773">
        <f>+H166+K166+N166</f>
        <v>0</v>
      </c>
      <c r="E166" s="773">
        <f>+I166+L166+O166</f>
        <v>0</v>
      </c>
      <c r="F166" s="139">
        <f t="shared" ref="F166:F189" si="91">+B166</f>
        <v>2008</v>
      </c>
      <c r="G166" s="168">
        <f>SUM(G149:G161)/13</f>
        <v>0</v>
      </c>
      <c r="H166" s="1767">
        <f>H163+SUM(I150*12,I151*11,I152*10,I153*9,I154*8,I155*7,I156*6,I157*5,I158*4,I159*3,I160*2,I161)/13</f>
        <v>0</v>
      </c>
      <c r="I166" s="171">
        <f>+G166-H166</f>
        <v>0</v>
      </c>
      <c r="J166" s="168">
        <f>SUM(J149:J161)/13</f>
        <v>0</v>
      </c>
      <c r="K166" s="1767">
        <f>K163+SUM(L150*12,L151*11,L152*10,L153*9,L154*8,L155*7,L156*6,L157*5,L158*4,L159*3,L160*2,L161)/13</f>
        <v>0</v>
      </c>
      <c r="L166" s="171">
        <f>+J166-K166</f>
        <v>0</v>
      </c>
      <c r="M166" s="168">
        <f>SUM(M149:M161)/13</f>
        <v>0</v>
      </c>
      <c r="N166" s="1767">
        <f>N163+SUM(O150*12,O151*11,O152*10,O153*9,O154*8,O155*7,O156*6,O157*5,O158*4,O159*3,O160*2,O161)/13</f>
        <v>0</v>
      </c>
      <c r="O166" s="171">
        <f>+M166-N166</f>
        <v>0</v>
      </c>
    </row>
    <row r="167" spans="1:15">
      <c r="A167" s="120">
        <f t="shared" si="81"/>
        <v>22</v>
      </c>
      <c r="B167" s="127">
        <v>2009</v>
      </c>
      <c r="C167" s="773">
        <f t="shared" ref="C167:C189" si="92">+G167+J167+M167</f>
        <v>0</v>
      </c>
      <c r="D167" s="773">
        <f t="shared" ref="D167:D189" si="93">+H167+K167+N167</f>
        <v>0</v>
      </c>
      <c r="E167" s="773">
        <f t="shared" ref="E167:E189" si="94">+I167+L167+O167</f>
        <v>0</v>
      </c>
      <c r="F167" s="139">
        <f t="shared" si="91"/>
        <v>2009</v>
      </c>
      <c r="G167" s="168"/>
      <c r="H167" s="133">
        <v>0</v>
      </c>
      <c r="I167" s="171">
        <f t="shared" ref="I167:I189" si="95">+G167-H167</f>
        <v>0</v>
      </c>
      <c r="J167" s="168"/>
      <c r="K167" s="133">
        <v>0</v>
      </c>
      <c r="L167" s="171">
        <f t="shared" ref="L167:L189" si="96">+J167-K167</f>
        <v>0</v>
      </c>
      <c r="M167" s="168"/>
      <c r="N167" s="133">
        <v>0</v>
      </c>
      <c r="O167" s="171">
        <f t="shared" ref="O167:O189" si="97">+M167-N167</f>
        <v>0</v>
      </c>
    </row>
    <row r="168" spans="1:15">
      <c r="A168" s="120">
        <f t="shared" si="81"/>
        <v>23</v>
      </c>
      <c r="B168" s="127">
        <f t="shared" ref="B168:B189" si="98">+B167+1</f>
        <v>2010</v>
      </c>
      <c r="C168" s="773">
        <f t="shared" si="92"/>
        <v>0</v>
      </c>
      <c r="D168" s="773">
        <f t="shared" si="93"/>
        <v>0</v>
      </c>
      <c r="E168" s="773">
        <f t="shared" si="94"/>
        <v>0</v>
      </c>
      <c r="F168" s="139">
        <f t="shared" si="91"/>
        <v>2010</v>
      </c>
      <c r="G168" s="168"/>
      <c r="H168" s="133">
        <v>0</v>
      </c>
      <c r="I168" s="171">
        <f t="shared" si="95"/>
        <v>0</v>
      </c>
      <c r="J168" s="168"/>
      <c r="K168" s="133">
        <v>0</v>
      </c>
      <c r="L168" s="171">
        <f t="shared" si="96"/>
        <v>0</v>
      </c>
      <c r="M168" s="168"/>
      <c r="N168" s="133">
        <v>0</v>
      </c>
      <c r="O168" s="171">
        <f t="shared" si="97"/>
        <v>0</v>
      </c>
    </row>
    <row r="169" spans="1:15">
      <c r="A169" s="120">
        <f t="shared" si="81"/>
        <v>24</v>
      </c>
      <c r="B169" s="127">
        <f t="shared" si="98"/>
        <v>2011</v>
      </c>
      <c r="C169" s="773">
        <f t="shared" si="92"/>
        <v>0</v>
      </c>
      <c r="D169" s="773">
        <f t="shared" si="93"/>
        <v>0</v>
      </c>
      <c r="E169" s="773">
        <f t="shared" si="94"/>
        <v>0</v>
      </c>
      <c r="F169" s="139">
        <f t="shared" si="91"/>
        <v>2011</v>
      </c>
      <c r="G169" s="168"/>
      <c r="H169" s="133">
        <v>0</v>
      </c>
      <c r="I169" s="171">
        <f t="shared" si="95"/>
        <v>0</v>
      </c>
      <c r="J169" s="168"/>
      <c r="K169" s="133">
        <v>0</v>
      </c>
      <c r="L169" s="171">
        <f t="shared" si="96"/>
        <v>0</v>
      </c>
      <c r="M169" s="168"/>
      <c r="N169" s="133">
        <v>0</v>
      </c>
      <c r="O169" s="171">
        <f t="shared" si="97"/>
        <v>0</v>
      </c>
    </row>
    <row r="170" spans="1:15">
      <c r="A170" s="120">
        <f t="shared" si="81"/>
        <v>25</v>
      </c>
      <c r="B170" s="127">
        <f t="shared" si="98"/>
        <v>2012</v>
      </c>
      <c r="C170" s="773">
        <f t="shared" si="92"/>
        <v>0</v>
      </c>
      <c r="D170" s="773">
        <f t="shared" si="93"/>
        <v>0</v>
      </c>
      <c r="E170" s="773">
        <f t="shared" si="94"/>
        <v>0</v>
      </c>
      <c r="F170" s="139">
        <f t="shared" si="91"/>
        <v>2012</v>
      </c>
      <c r="G170" s="168"/>
      <c r="H170" s="133">
        <v>0</v>
      </c>
      <c r="I170" s="171">
        <f t="shared" si="95"/>
        <v>0</v>
      </c>
      <c r="J170" s="168"/>
      <c r="K170" s="133">
        <v>0</v>
      </c>
      <c r="L170" s="171">
        <f t="shared" si="96"/>
        <v>0</v>
      </c>
      <c r="M170" s="168"/>
      <c r="N170" s="133">
        <v>0</v>
      </c>
      <c r="O170" s="171">
        <f t="shared" si="97"/>
        <v>0</v>
      </c>
    </row>
    <row r="171" spans="1:15">
      <c r="A171" s="120">
        <f t="shared" si="81"/>
        <v>26</v>
      </c>
      <c r="B171" s="127">
        <f t="shared" si="98"/>
        <v>2013</v>
      </c>
      <c r="C171" s="773">
        <f t="shared" si="92"/>
        <v>0</v>
      </c>
      <c r="D171" s="773">
        <f t="shared" si="93"/>
        <v>0</v>
      </c>
      <c r="E171" s="773">
        <f t="shared" si="94"/>
        <v>0</v>
      </c>
      <c r="F171" s="139">
        <f t="shared" si="91"/>
        <v>2013</v>
      </c>
      <c r="G171" s="168"/>
      <c r="H171" s="133">
        <v>0</v>
      </c>
      <c r="I171" s="171">
        <f t="shared" si="95"/>
        <v>0</v>
      </c>
      <c r="J171" s="168"/>
      <c r="K171" s="133">
        <v>0</v>
      </c>
      <c r="L171" s="171">
        <f t="shared" si="96"/>
        <v>0</v>
      </c>
      <c r="M171" s="168"/>
      <c r="N171" s="133">
        <v>0</v>
      </c>
      <c r="O171" s="171">
        <f t="shared" si="97"/>
        <v>0</v>
      </c>
    </row>
    <row r="172" spans="1:15">
      <c r="A172" s="120">
        <f t="shared" si="81"/>
        <v>27</v>
      </c>
      <c r="B172" s="127">
        <f t="shared" si="98"/>
        <v>2014</v>
      </c>
      <c r="C172" s="773">
        <f t="shared" si="92"/>
        <v>0</v>
      </c>
      <c r="D172" s="773">
        <f t="shared" si="93"/>
        <v>0</v>
      </c>
      <c r="E172" s="773">
        <f t="shared" si="94"/>
        <v>0</v>
      </c>
      <c r="F172" s="139">
        <f t="shared" si="91"/>
        <v>2014</v>
      </c>
      <c r="G172" s="168"/>
      <c r="H172" s="133">
        <v>0</v>
      </c>
      <c r="I172" s="171">
        <f t="shared" si="95"/>
        <v>0</v>
      </c>
      <c r="J172" s="168"/>
      <c r="K172" s="133">
        <v>0</v>
      </c>
      <c r="L172" s="171">
        <f t="shared" si="96"/>
        <v>0</v>
      </c>
      <c r="M172" s="168"/>
      <c r="N172" s="133">
        <v>0</v>
      </c>
      <c r="O172" s="171">
        <f t="shared" si="97"/>
        <v>0</v>
      </c>
    </row>
    <row r="173" spans="1:15">
      <c r="A173" s="120">
        <f t="shared" si="81"/>
        <v>28</v>
      </c>
      <c r="B173" s="127">
        <f t="shared" si="98"/>
        <v>2015</v>
      </c>
      <c r="C173" s="773">
        <f t="shared" si="92"/>
        <v>0</v>
      </c>
      <c r="D173" s="773">
        <f t="shared" si="93"/>
        <v>0</v>
      </c>
      <c r="E173" s="773">
        <f t="shared" si="94"/>
        <v>0</v>
      </c>
      <c r="F173" s="139">
        <f t="shared" si="91"/>
        <v>2015</v>
      </c>
      <c r="G173" s="168"/>
      <c r="H173" s="133">
        <v>0</v>
      </c>
      <c r="I173" s="171">
        <f t="shared" si="95"/>
        <v>0</v>
      </c>
      <c r="J173" s="168"/>
      <c r="K173" s="133">
        <v>0</v>
      </c>
      <c r="L173" s="171">
        <f t="shared" si="96"/>
        <v>0</v>
      </c>
      <c r="M173" s="168"/>
      <c r="N173" s="133">
        <v>0</v>
      </c>
      <c r="O173" s="171">
        <f t="shared" si="97"/>
        <v>0</v>
      </c>
    </row>
    <row r="174" spans="1:15">
      <c r="A174" s="120">
        <f t="shared" si="81"/>
        <v>29</v>
      </c>
      <c r="B174" s="127">
        <f t="shared" si="98"/>
        <v>2016</v>
      </c>
      <c r="C174" s="773">
        <f t="shared" si="92"/>
        <v>0</v>
      </c>
      <c r="D174" s="773">
        <f t="shared" si="93"/>
        <v>0</v>
      </c>
      <c r="E174" s="773">
        <f t="shared" si="94"/>
        <v>0</v>
      </c>
      <c r="F174" s="139">
        <f t="shared" si="91"/>
        <v>2016</v>
      </c>
      <c r="G174" s="168"/>
      <c r="H174" s="133">
        <v>0</v>
      </c>
      <c r="I174" s="171">
        <f t="shared" si="95"/>
        <v>0</v>
      </c>
      <c r="J174" s="168"/>
      <c r="K174" s="133">
        <v>0</v>
      </c>
      <c r="L174" s="171">
        <f t="shared" si="96"/>
        <v>0</v>
      </c>
      <c r="M174" s="168"/>
      <c r="N174" s="133">
        <v>0</v>
      </c>
      <c r="O174" s="171">
        <f t="shared" si="97"/>
        <v>0</v>
      </c>
    </row>
    <row r="175" spans="1:15">
      <c r="A175" s="120">
        <f t="shared" si="81"/>
        <v>30</v>
      </c>
      <c r="B175" s="127">
        <f t="shared" si="98"/>
        <v>2017</v>
      </c>
      <c r="C175" s="773">
        <f t="shared" si="92"/>
        <v>0</v>
      </c>
      <c r="D175" s="773">
        <f t="shared" si="93"/>
        <v>0</v>
      </c>
      <c r="E175" s="773">
        <f t="shared" si="94"/>
        <v>0</v>
      </c>
      <c r="F175" s="139">
        <f t="shared" si="91"/>
        <v>2017</v>
      </c>
      <c r="G175" s="168"/>
      <c r="H175" s="133">
        <v>0</v>
      </c>
      <c r="I175" s="171">
        <f t="shared" si="95"/>
        <v>0</v>
      </c>
      <c r="J175" s="168"/>
      <c r="K175" s="133">
        <v>0</v>
      </c>
      <c r="L175" s="171">
        <f t="shared" si="96"/>
        <v>0</v>
      </c>
      <c r="M175" s="168"/>
      <c r="N175" s="133">
        <v>0</v>
      </c>
      <c r="O175" s="171">
        <f t="shared" si="97"/>
        <v>0</v>
      </c>
    </row>
    <row r="176" spans="1:15">
      <c r="A176" s="120">
        <f t="shared" si="81"/>
        <v>31</v>
      </c>
      <c r="B176" s="127">
        <f t="shared" si="98"/>
        <v>2018</v>
      </c>
      <c r="C176" s="773">
        <f t="shared" si="92"/>
        <v>0</v>
      </c>
      <c r="D176" s="773">
        <f t="shared" si="93"/>
        <v>0</v>
      </c>
      <c r="E176" s="773">
        <f t="shared" si="94"/>
        <v>0</v>
      </c>
      <c r="F176" s="139">
        <f t="shared" si="91"/>
        <v>2018</v>
      </c>
      <c r="G176" s="168"/>
      <c r="H176" s="133">
        <v>0</v>
      </c>
      <c r="I176" s="171">
        <f t="shared" si="95"/>
        <v>0</v>
      </c>
      <c r="J176" s="168"/>
      <c r="K176" s="133">
        <v>0</v>
      </c>
      <c r="L176" s="171">
        <f t="shared" si="96"/>
        <v>0</v>
      </c>
      <c r="M176" s="168"/>
      <c r="N176" s="133">
        <v>0</v>
      </c>
      <c r="O176" s="171">
        <f t="shared" si="97"/>
        <v>0</v>
      </c>
    </row>
    <row r="177" spans="1:15">
      <c r="A177" s="120">
        <f t="shared" si="81"/>
        <v>32</v>
      </c>
      <c r="B177" s="127">
        <f t="shared" si="98"/>
        <v>2019</v>
      </c>
      <c r="C177" s="773">
        <f t="shared" si="92"/>
        <v>0</v>
      </c>
      <c r="D177" s="773">
        <f t="shared" si="93"/>
        <v>0</v>
      </c>
      <c r="E177" s="773">
        <f t="shared" si="94"/>
        <v>0</v>
      </c>
      <c r="F177" s="139">
        <f t="shared" si="91"/>
        <v>2019</v>
      </c>
      <c r="G177" s="168"/>
      <c r="H177" s="133">
        <v>0</v>
      </c>
      <c r="I177" s="171">
        <f t="shared" si="95"/>
        <v>0</v>
      </c>
      <c r="J177" s="168"/>
      <c r="K177" s="133">
        <v>0</v>
      </c>
      <c r="L177" s="171">
        <f t="shared" si="96"/>
        <v>0</v>
      </c>
      <c r="M177" s="168"/>
      <c r="N177" s="133">
        <v>0</v>
      </c>
      <c r="O177" s="171">
        <f t="shared" si="97"/>
        <v>0</v>
      </c>
    </row>
    <row r="178" spans="1:15">
      <c r="A178" s="120">
        <f t="shared" si="81"/>
        <v>33</v>
      </c>
      <c r="B178" s="127">
        <f t="shared" si="98"/>
        <v>2020</v>
      </c>
      <c r="C178" s="773">
        <f t="shared" si="92"/>
        <v>0</v>
      </c>
      <c r="D178" s="773">
        <f t="shared" si="93"/>
        <v>0</v>
      </c>
      <c r="E178" s="773">
        <f t="shared" si="94"/>
        <v>0</v>
      </c>
      <c r="F178" s="139">
        <f t="shared" si="91"/>
        <v>2020</v>
      </c>
      <c r="G178" s="168"/>
      <c r="H178" s="133">
        <v>0</v>
      </c>
      <c r="I178" s="171">
        <f t="shared" si="95"/>
        <v>0</v>
      </c>
      <c r="J178" s="168"/>
      <c r="K178" s="133">
        <v>0</v>
      </c>
      <c r="L178" s="171">
        <f t="shared" si="96"/>
        <v>0</v>
      </c>
      <c r="M178" s="168"/>
      <c r="N178" s="133">
        <v>0</v>
      </c>
      <c r="O178" s="171">
        <f t="shared" si="97"/>
        <v>0</v>
      </c>
    </row>
    <row r="179" spans="1:15">
      <c r="A179" s="120">
        <f t="shared" si="81"/>
        <v>34</v>
      </c>
      <c r="B179" s="127">
        <f t="shared" si="98"/>
        <v>2021</v>
      </c>
      <c r="C179" s="773">
        <f t="shared" si="92"/>
        <v>0</v>
      </c>
      <c r="D179" s="773">
        <f t="shared" si="93"/>
        <v>0</v>
      </c>
      <c r="E179" s="773">
        <f t="shared" si="94"/>
        <v>0</v>
      </c>
      <c r="F179" s="139">
        <f t="shared" si="91"/>
        <v>2021</v>
      </c>
      <c r="G179" s="168"/>
      <c r="H179" s="133">
        <v>0</v>
      </c>
      <c r="I179" s="171">
        <f t="shared" si="95"/>
        <v>0</v>
      </c>
      <c r="J179" s="168"/>
      <c r="K179" s="133">
        <v>0</v>
      </c>
      <c r="L179" s="171">
        <f t="shared" si="96"/>
        <v>0</v>
      </c>
      <c r="M179" s="168"/>
      <c r="N179" s="133">
        <v>0</v>
      </c>
      <c r="O179" s="171">
        <f t="shared" si="97"/>
        <v>0</v>
      </c>
    </row>
    <row r="180" spans="1:15">
      <c r="A180" s="120">
        <f t="shared" si="81"/>
        <v>35</v>
      </c>
      <c r="B180" s="127">
        <f t="shared" si="98"/>
        <v>2022</v>
      </c>
      <c r="C180" s="773">
        <f t="shared" si="92"/>
        <v>0</v>
      </c>
      <c r="D180" s="773">
        <f t="shared" si="93"/>
        <v>0</v>
      </c>
      <c r="E180" s="773">
        <f t="shared" si="94"/>
        <v>0</v>
      </c>
      <c r="F180" s="139">
        <f t="shared" si="91"/>
        <v>2022</v>
      </c>
      <c r="G180" s="168"/>
      <c r="H180" s="133">
        <v>0</v>
      </c>
      <c r="I180" s="171">
        <f t="shared" si="95"/>
        <v>0</v>
      </c>
      <c r="J180" s="168"/>
      <c r="K180" s="133">
        <v>0</v>
      </c>
      <c r="L180" s="171">
        <f t="shared" si="96"/>
        <v>0</v>
      </c>
      <c r="M180" s="168"/>
      <c r="N180" s="133">
        <v>0</v>
      </c>
      <c r="O180" s="171">
        <f t="shared" si="97"/>
        <v>0</v>
      </c>
    </row>
    <row r="181" spans="1:15">
      <c r="A181" s="120">
        <f t="shared" si="81"/>
        <v>36</v>
      </c>
      <c r="B181" s="127">
        <f t="shared" si="98"/>
        <v>2023</v>
      </c>
      <c r="C181" s="773">
        <f t="shared" si="92"/>
        <v>0</v>
      </c>
      <c r="D181" s="773">
        <f t="shared" si="93"/>
        <v>0</v>
      </c>
      <c r="E181" s="773">
        <f t="shared" si="94"/>
        <v>0</v>
      </c>
      <c r="F181" s="139">
        <f t="shared" si="91"/>
        <v>2023</v>
      </c>
      <c r="G181" s="168"/>
      <c r="H181" s="133">
        <v>0</v>
      </c>
      <c r="I181" s="171">
        <f t="shared" si="95"/>
        <v>0</v>
      </c>
      <c r="J181" s="168"/>
      <c r="K181" s="133">
        <v>0</v>
      </c>
      <c r="L181" s="171">
        <f t="shared" si="96"/>
        <v>0</v>
      </c>
      <c r="M181" s="168"/>
      <c r="N181" s="133">
        <v>0</v>
      </c>
      <c r="O181" s="171">
        <f t="shared" si="97"/>
        <v>0</v>
      </c>
    </row>
    <row r="182" spans="1:15">
      <c r="A182" s="120">
        <f t="shared" si="81"/>
        <v>37</v>
      </c>
      <c r="B182" s="127">
        <f t="shared" si="98"/>
        <v>2024</v>
      </c>
      <c r="C182" s="773">
        <f t="shared" si="92"/>
        <v>0</v>
      </c>
      <c r="D182" s="773">
        <f t="shared" si="93"/>
        <v>0</v>
      </c>
      <c r="E182" s="773">
        <f t="shared" si="94"/>
        <v>0</v>
      </c>
      <c r="F182" s="139">
        <f t="shared" si="91"/>
        <v>2024</v>
      </c>
      <c r="G182" s="168"/>
      <c r="H182" s="133">
        <v>0</v>
      </c>
      <c r="I182" s="171">
        <f t="shared" si="95"/>
        <v>0</v>
      </c>
      <c r="J182" s="168"/>
      <c r="K182" s="133">
        <v>0</v>
      </c>
      <c r="L182" s="171">
        <f t="shared" si="96"/>
        <v>0</v>
      </c>
      <c r="M182" s="168"/>
      <c r="N182" s="133">
        <v>0</v>
      </c>
      <c r="O182" s="171">
        <f t="shared" si="97"/>
        <v>0</v>
      </c>
    </row>
    <row r="183" spans="1:15">
      <c r="A183" s="120">
        <f t="shared" si="81"/>
        <v>38</v>
      </c>
      <c r="B183" s="127">
        <f t="shared" si="98"/>
        <v>2025</v>
      </c>
      <c r="C183" s="773">
        <f t="shared" si="92"/>
        <v>0</v>
      </c>
      <c r="D183" s="773">
        <f t="shared" si="93"/>
        <v>0</v>
      </c>
      <c r="E183" s="773">
        <f t="shared" si="94"/>
        <v>0</v>
      </c>
      <c r="F183" s="139">
        <f t="shared" si="91"/>
        <v>2025</v>
      </c>
      <c r="G183" s="168"/>
      <c r="H183" s="133">
        <v>0</v>
      </c>
      <c r="I183" s="171">
        <f t="shared" si="95"/>
        <v>0</v>
      </c>
      <c r="J183" s="168"/>
      <c r="K183" s="133">
        <v>0</v>
      </c>
      <c r="L183" s="171">
        <f t="shared" si="96"/>
        <v>0</v>
      </c>
      <c r="M183" s="168"/>
      <c r="N183" s="133">
        <v>0</v>
      </c>
      <c r="O183" s="171">
        <f t="shared" si="97"/>
        <v>0</v>
      </c>
    </row>
    <row r="184" spans="1:15">
      <c r="A184" s="120">
        <f t="shared" si="81"/>
        <v>39</v>
      </c>
      <c r="B184" s="127">
        <f t="shared" si="98"/>
        <v>2026</v>
      </c>
      <c r="C184" s="773">
        <f t="shared" si="92"/>
        <v>0</v>
      </c>
      <c r="D184" s="773">
        <f t="shared" si="93"/>
        <v>0</v>
      </c>
      <c r="E184" s="773">
        <f t="shared" si="94"/>
        <v>0</v>
      </c>
      <c r="F184" s="139">
        <f t="shared" si="91"/>
        <v>2026</v>
      </c>
      <c r="G184" s="168"/>
      <c r="H184" s="133">
        <v>0</v>
      </c>
      <c r="I184" s="171">
        <f t="shared" si="95"/>
        <v>0</v>
      </c>
      <c r="J184" s="168"/>
      <c r="K184" s="133">
        <v>0</v>
      </c>
      <c r="L184" s="171">
        <f t="shared" si="96"/>
        <v>0</v>
      </c>
      <c r="M184" s="168"/>
      <c r="N184" s="133">
        <v>0</v>
      </c>
      <c r="O184" s="171">
        <f t="shared" si="97"/>
        <v>0</v>
      </c>
    </row>
    <row r="185" spans="1:15">
      <c r="A185" s="120">
        <f t="shared" si="81"/>
        <v>40</v>
      </c>
      <c r="B185" s="127">
        <f t="shared" si="98"/>
        <v>2027</v>
      </c>
      <c r="C185" s="773">
        <f t="shared" si="92"/>
        <v>0</v>
      </c>
      <c r="D185" s="773">
        <f t="shared" si="93"/>
        <v>0</v>
      </c>
      <c r="E185" s="773">
        <f t="shared" si="94"/>
        <v>0</v>
      </c>
      <c r="F185" s="139">
        <f t="shared" si="91"/>
        <v>2027</v>
      </c>
      <c r="G185" s="168"/>
      <c r="H185" s="133">
        <v>0</v>
      </c>
      <c r="I185" s="171">
        <f t="shared" si="95"/>
        <v>0</v>
      </c>
      <c r="J185" s="168"/>
      <c r="K185" s="133">
        <v>0</v>
      </c>
      <c r="L185" s="171">
        <f t="shared" si="96"/>
        <v>0</v>
      </c>
      <c r="M185" s="168"/>
      <c r="N185" s="133">
        <v>0</v>
      </c>
      <c r="O185" s="171">
        <f t="shared" si="97"/>
        <v>0</v>
      </c>
    </row>
    <row r="186" spans="1:15">
      <c r="A186" s="120">
        <f t="shared" si="81"/>
        <v>41</v>
      </c>
      <c r="B186" s="127">
        <f t="shared" si="98"/>
        <v>2028</v>
      </c>
      <c r="C186" s="773">
        <f t="shared" si="92"/>
        <v>0</v>
      </c>
      <c r="D186" s="773">
        <f t="shared" si="93"/>
        <v>0</v>
      </c>
      <c r="E186" s="773">
        <f t="shared" si="94"/>
        <v>0</v>
      </c>
      <c r="F186" s="139">
        <f t="shared" si="91"/>
        <v>2028</v>
      </c>
      <c r="G186" s="168"/>
      <c r="H186" s="133">
        <v>0</v>
      </c>
      <c r="I186" s="171">
        <f t="shared" si="95"/>
        <v>0</v>
      </c>
      <c r="J186" s="168"/>
      <c r="K186" s="133">
        <v>0</v>
      </c>
      <c r="L186" s="171">
        <f t="shared" si="96"/>
        <v>0</v>
      </c>
      <c r="M186" s="168"/>
      <c r="N186" s="133">
        <v>0</v>
      </c>
      <c r="O186" s="171">
        <f t="shared" si="97"/>
        <v>0</v>
      </c>
    </row>
    <row r="187" spans="1:15">
      <c r="A187" s="120">
        <f t="shared" si="81"/>
        <v>42</v>
      </c>
      <c r="B187" s="127">
        <f t="shared" si="98"/>
        <v>2029</v>
      </c>
      <c r="C187" s="773">
        <f t="shared" si="92"/>
        <v>0</v>
      </c>
      <c r="D187" s="773">
        <f t="shared" si="93"/>
        <v>0</v>
      </c>
      <c r="E187" s="773">
        <f t="shared" si="94"/>
        <v>0</v>
      </c>
      <c r="F187" s="139">
        <f t="shared" si="91"/>
        <v>2029</v>
      </c>
      <c r="G187" s="168"/>
      <c r="H187" s="133">
        <v>0</v>
      </c>
      <c r="I187" s="171">
        <f t="shared" si="95"/>
        <v>0</v>
      </c>
      <c r="J187" s="168"/>
      <c r="K187" s="133">
        <v>0</v>
      </c>
      <c r="L187" s="171">
        <f t="shared" si="96"/>
        <v>0</v>
      </c>
      <c r="M187" s="168"/>
      <c r="N187" s="133">
        <v>0</v>
      </c>
      <c r="O187" s="171">
        <f t="shared" si="97"/>
        <v>0</v>
      </c>
    </row>
    <row r="188" spans="1:15">
      <c r="A188" s="120">
        <f t="shared" si="81"/>
        <v>43</v>
      </c>
      <c r="B188" s="127">
        <f t="shared" si="98"/>
        <v>2030</v>
      </c>
      <c r="C188" s="773">
        <f t="shared" si="92"/>
        <v>0</v>
      </c>
      <c r="D188" s="773">
        <f t="shared" si="93"/>
        <v>0</v>
      </c>
      <c r="E188" s="773">
        <f t="shared" si="94"/>
        <v>0</v>
      </c>
      <c r="F188" s="139">
        <f t="shared" si="91"/>
        <v>2030</v>
      </c>
      <c r="G188" s="168"/>
      <c r="H188" s="133">
        <v>0</v>
      </c>
      <c r="I188" s="171">
        <f t="shared" si="95"/>
        <v>0</v>
      </c>
      <c r="J188" s="168"/>
      <c r="K188" s="133">
        <v>0</v>
      </c>
      <c r="L188" s="171">
        <f t="shared" si="96"/>
        <v>0</v>
      </c>
      <c r="M188" s="168"/>
      <c r="N188" s="133">
        <v>0</v>
      </c>
      <c r="O188" s="171">
        <f t="shared" si="97"/>
        <v>0</v>
      </c>
    </row>
    <row r="189" spans="1:15">
      <c r="A189" s="120">
        <f t="shared" si="81"/>
        <v>44</v>
      </c>
      <c r="B189" s="127">
        <f t="shared" si="98"/>
        <v>2031</v>
      </c>
      <c r="C189" s="773">
        <f t="shared" si="92"/>
        <v>0</v>
      </c>
      <c r="D189" s="773">
        <f t="shared" si="93"/>
        <v>0</v>
      </c>
      <c r="E189" s="773">
        <f t="shared" si="94"/>
        <v>0</v>
      </c>
      <c r="F189" s="139">
        <f t="shared" si="91"/>
        <v>2031</v>
      </c>
      <c r="G189" s="920"/>
      <c r="H189" s="922">
        <v>0</v>
      </c>
      <c r="I189" s="929">
        <f t="shared" si="95"/>
        <v>0</v>
      </c>
      <c r="J189" s="920"/>
      <c r="K189" s="922">
        <v>0</v>
      </c>
      <c r="L189" s="929">
        <f t="shared" si="96"/>
        <v>0</v>
      </c>
      <c r="M189" s="920"/>
      <c r="N189" s="922">
        <v>0</v>
      </c>
      <c r="O189" s="929">
        <f t="shared" si="97"/>
        <v>0</v>
      </c>
    </row>
    <row r="190" spans="1:15" ht="15">
      <c r="A190" s="120">
        <f>A189+1</f>
        <v>45</v>
      </c>
      <c r="B190" s="1771" t="s">
        <v>1547</v>
      </c>
      <c r="C190" s="1001"/>
      <c r="D190" s="1001"/>
      <c r="E190" s="1001"/>
      <c r="F190" s="139"/>
      <c r="G190" s="560"/>
      <c r="H190" s="90"/>
      <c r="I190" s="89"/>
      <c r="J190" s="560"/>
      <c r="K190" s="90"/>
      <c r="L190" s="89"/>
      <c r="M190" s="560"/>
      <c r="N190" s="90"/>
      <c r="O190" s="89"/>
    </row>
    <row r="191" spans="1:15" ht="14.25">
      <c r="A191" s="120">
        <f>A190+1</f>
        <v>46</v>
      </c>
      <c r="B191" s="179" t="s">
        <v>1137</v>
      </c>
      <c r="C191" s="1772" t="s">
        <v>424</v>
      </c>
      <c r="D191" s="1772"/>
      <c r="E191" s="1772"/>
      <c r="F191" s="127"/>
      <c r="G191" s="1773"/>
      <c r="H191" s="1773"/>
      <c r="I191" s="1773"/>
      <c r="J191" s="1773"/>
      <c r="K191" s="1772"/>
      <c r="L191" s="1772"/>
      <c r="M191" s="126"/>
      <c r="N191" s="126"/>
      <c r="O191" s="126"/>
    </row>
    <row r="192" spans="1:15" ht="14.25">
      <c r="A192" s="120">
        <f t="shared" si="81"/>
        <v>47</v>
      </c>
      <c r="B192" s="1604" t="s">
        <v>731</v>
      </c>
      <c r="C192" s="1772" t="s">
        <v>1178</v>
      </c>
      <c r="D192" s="1772"/>
      <c r="E192" s="1772"/>
      <c r="F192" s="127"/>
      <c r="G192" s="1773"/>
      <c r="H192" s="1773"/>
      <c r="I192" s="1773"/>
      <c r="J192" s="1773"/>
      <c r="K192" s="1772"/>
      <c r="L192" s="1772"/>
      <c r="M192" s="126"/>
      <c r="N192" s="126"/>
      <c r="O192" s="126"/>
    </row>
    <row r="193" spans="1:15" ht="24.75" customHeight="1">
      <c r="A193" s="120">
        <f t="shared" si="81"/>
        <v>48</v>
      </c>
      <c r="B193" s="1605" t="s">
        <v>732</v>
      </c>
      <c r="C193" s="2212" t="s">
        <v>1067</v>
      </c>
      <c r="D193" s="2213"/>
      <c r="E193" s="2213"/>
      <c r="F193" s="2213"/>
      <c r="G193" s="2213"/>
      <c r="H193" s="2213"/>
      <c r="I193" s="2213"/>
      <c r="J193" s="2213"/>
      <c r="K193" s="2213"/>
      <c r="L193" s="2213"/>
      <c r="M193" s="2213"/>
      <c r="N193" s="2213"/>
      <c r="O193" s="2213"/>
    </row>
    <row r="194" spans="1:15" ht="14.25">
      <c r="A194" s="120">
        <f t="shared" si="81"/>
        <v>49</v>
      </c>
      <c r="B194" s="1604" t="s">
        <v>1644</v>
      </c>
      <c r="C194" s="1772" t="s">
        <v>1180</v>
      </c>
      <c r="D194" s="1772"/>
      <c r="E194" s="1772"/>
      <c r="F194" s="127"/>
      <c r="G194" s="1773"/>
      <c r="H194" s="1773"/>
      <c r="I194" s="1773"/>
      <c r="J194" s="1773"/>
      <c r="K194" s="1772"/>
      <c r="L194" s="1772"/>
      <c r="M194" s="126"/>
      <c r="N194" s="126"/>
      <c r="O194" s="126"/>
    </row>
    <row r="195" spans="1:15" ht="14.25">
      <c r="A195" s="120">
        <f t="shared" si="81"/>
        <v>50</v>
      </c>
      <c r="B195" s="1604" t="s">
        <v>1727</v>
      </c>
      <c r="C195" s="1296" t="s">
        <v>514</v>
      </c>
      <c r="D195" s="1296"/>
      <c r="E195" s="1296"/>
      <c r="F195" s="119"/>
      <c r="G195" s="120"/>
      <c r="H195" s="120"/>
      <c r="I195" s="120"/>
      <c r="J195" s="120"/>
      <c r="K195" s="1296"/>
      <c r="L195" s="1296"/>
      <c r="M195" s="155"/>
      <c r="N195" s="155"/>
      <c r="O195" s="155"/>
    </row>
    <row r="196" spans="1:15" ht="15.75">
      <c r="A196" s="74" t="s">
        <v>116</v>
      </c>
      <c r="J196" s="2193" t="s">
        <v>173</v>
      </c>
      <c r="K196" s="2193"/>
      <c r="M196" s="1100"/>
      <c r="O196" s="118" t="s">
        <v>1777</v>
      </c>
    </row>
    <row r="197" spans="1:15">
      <c r="A197" s="120">
        <v>1</v>
      </c>
      <c r="G197" s="565" t="s">
        <v>623</v>
      </c>
      <c r="H197" s="794" t="s">
        <v>838</v>
      </c>
      <c r="I197" s="530"/>
      <c r="J197" s="565" t="s">
        <v>623</v>
      </c>
      <c r="K197" s="794" t="s">
        <v>839</v>
      </c>
      <c r="L197" s="523"/>
      <c r="M197" s="565" t="s">
        <v>623</v>
      </c>
      <c r="N197" s="794"/>
      <c r="O197" s="527"/>
    </row>
    <row r="198" spans="1:15">
      <c r="A198" s="120">
        <f>A197+1</f>
        <v>2</v>
      </c>
      <c r="G198" s="134" t="s">
        <v>632</v>
      </c>
      <c r="H198" s="524"/>
      <c r="I198" s="526"/>
      <c r="J198" s="134" t="s">
        <v>632</v>
      </c>
      <c r="K198" s="524"/>
      <c r="L198" s="525"/>
      <c r="M198" s="134" t="s">
        <v>632</v>
      </c>
      <c r="N198" s="524"/>
      <c r="O198" s="526"/>
    </row>
    <row r="199" spans="1:15" ht="39" customHeight="1">
      <c r="A199" s="120">
        <f t="shared" ref="A199:A246" si="99">A198+1</f>
        <v>3</v>
      </c>
      <c r="C199" s="88"/>
      <c r="D199" s="1761"/>
      <c r="E199" s="1761"/>
      <c r="F199" s="88"/>
      <c r="G199" s="1762" t="s">
        <v>1351</v>
      </c>
      <c r="H199" s="1763" t="s">
        <v>897</v>
      </c>
      <c r="I199" s="1764" t="s">
        <v>1353</v>
      </c>
      <c r="J199" s="1762" t="s">
        <v>1351</v>
      </c>
      <c r="K199" s="1763" t="s">
        <v>897</v>
      </c>
      <c r="L199" s="1764" t="s">
        <v>1353</v>
      </c>
      <c r="M199" s="1762" t="s">
        <v>1351</v>
      </c>
      <c r="N199" s="1763" t="s">
        <v>1513</v>
      </c>
      <c r="O199" s="1764" t="s">
        <v>1353</v>
      </c>
    </row>
    <row r="200" spans="1:15">
      <c r="A200" s="120">
        <f t="shared" si="99"/>
        <v>4</v>
      </c>
      <c r="C200" s="88"/>
      <c r="D200" s="88" t="s">
        <v>1354</v>
      </c>
      <c r="E200" s="88" t="s">
        <v>1355</v>
      </c>
      <c r="F200" s="344"/>
      <c r="G200" s="1768">
        <v>0</v>
      </c>
      <c r="H200" s="88"/>
      <c r="I200" s="88"/>
      <c r="J200" s="1768">
        <v>0</v>
      </c>
      <c r="K200" s="88"/>
      <c r="L200" s="88"/>
      <c r="M200" s="1768">
        <v>0</v>
      </c>
      <c r="N200" s="88"/>
      <c r="O200" s="88"/>
    </row>
    <row r="201" spans="1:15">
      <c r="A201" s="120">
        <f t="shared" si="99"/>
        <v>5</v>
      </c>
      <c r="C201" s="88"/>
      <c r="D201" s="88" t="s">
        <v>1356</v>
      </c>
      <c r="E201" s="88" t="s">
        <v>674</v>
      </c>
      <c r="F201" s="344"/>
      <c r="G201" s="1768">
        <f>+G200</f>
        <v>0</v>
      </c>
      <c r="H201" s="177">
        <f>(IF('Actual Gross Rev Req'!$H$16=0,0,'Actual Gross Rev Req'!$H$92/'Actual Gross Rev Req'!$H$16)/12)</f>
        <v>1.4936180092078701E-3</v>
      </c>
      <c r="I201" s="171">
        <f t="shared" ref="I201:I212" si="100">+H201*G200</f>
        <v>0</v>
      </c>
      <c r="J201" s="1768">
        <f>J200</f>
        <v>0</v>
      </c>
      <c r="K201" s="177">
        <f>(IF('Actual Gross Rev Req'!$H$16=0,0,'Actual Gross Rev Req'!$H$92/'Actual Gross Rev Req'!$H$16)/12)</f>
        <v>1.4936180092078701E-3</v>
      </c>
      <c r="L201" s="171">
        <f>+K201*J200</f>
        <v>0</v>
      </c>
      <c r="M201" s="1768">
        <f>+M200</f>
        <v>0</v>
      </c>
      <c r="N201" s="177">
        <f>(IF('Actual Gross Rev Req'!$H$16=0,0,'Actual Gross Rev Req'!$H$92/'Actual Gross Rev Req'!$H$16)/12)</f>
        <v>1.4936180092078701E-3</v>
      </c>
      <c r="O201" s="171">
        <f>+N201*M200</f>
        <v>0</v>
      </c>
    </row>
    <row r="202" spans="1:15">
      <c r="A202" s="120">
        <f t="shared" si="99"/>
        <v>6</v>
      </c>
      <c r="C202" s="88"/>
      <c r="D202" s="88" t="s">
        <v>1356</v>
      </c>
      <c r="E202" s="88" t="s">
        <v>1357</v>
      </c>
      <c r="F202" s="344"/>
      <c r="G202" s="1768">
        <f t="shared" ref="G202:G212" si="101">+G201</f>
        <v>0</v>
      </c>
      <c r="H202" s="177">
        <f>H201</f>
        <v>1.4936180092078701E-3</v>
      </c>
      <c r="I202" s="171">
        <f t="shared" si="100"/>
        <v>0</v>
      </c>
      <c r="J202" s="1768">
        <f t="shared" ref="J202:J212" si="102">+J201</f>
        <v>0</v>
      </c>
      <c r="K202" s="177">
        <f>K201</f>
        <v>1.4936180092078701E-3</v>
      </c>
      <c r="L202" s="171">
        <f>+K202*J201</f>
        <v>0</v>
      </c>
      <c r="M202" s="1768">
        <f t="shared" ref="M202:M212" si="103">+M201</f>
        <v>0</v>
      </c>
      <c r="N202" s="177">
        <f>N201</f>
        <v>1.4936180092078701E-3</v>
      </c>
      <c r="O202" s="171">
        <f>+N202*M201</f>
        <v>0</v>
      </c>
    </row>
    <row r="203" spans="1:15">
      <c r="A203" s="120">
        <f t="shared" si="99"/>
        <v>7</v>
      </c>
      <c r="C203" s="88"/>
      <c r="D203" s="88" t="s">
        <v>1356</v>
      </c>
      <c r="E203" s="88" t="s">
        <v>1358</v>
      </c>
      <c r="F203" s="344"/>
      <c r="G203" s="1768">
        <f t="shared" si="101"/>
        <v>0</v>
      </c>
      <c r="H203" s="177">
        <f t="shared" ref="H203:H212" si="104">H202</f>
        <v>1.4936180092078701E-3</v>
      </c>
      <c r="I203" s="171">
        <f t="shared" si="100"/>
        <v>0</v>
      </c>
      <c r="J203" s="1768">
        <f t="shared" si="102"/>
        <v>0</v>
      </c>
      <c r="K203" s="177">
        <f t="shared" ref="K203:K212" si="105">K202</f>
        <v>1.4936180092078701E-3</v>
      </c>
      <c r="L203" s="171">
        <f>+K203*J202</f>
        <v>0</v>
      </c>
      <c r="M203" s="1768">
        <f t="shared" si="103"/>
        <v>0</v>
      </c>
      <c r="N203" s="177">
        <f t="shared" ref="N203:N212" si="106">N202</f>
        <v>1.4936180092078701E-3</v>
      </c>
      <c r="O203" s="171">
        <f t="shared" ref="O203:O211" si="107">+N203*M202</f>
        <v>0</v>
      </c>
    </row>
    <row r="204" spans="1:15">
      <c r="A204" s="120">
        <f t="shared" si="99"/>
        <v>8</v>
      </c>
      <c r="C204" s="88"/>
      <c r="D204" s="88" t="s">
        <v>1356</v>
      </c>
      <c r="E204" s="88" t="s">
        <v>1359</v>
      </c>
      <c r="F204" s="344"/>
      <c r="G204" s="1768">
        <f t="shared" si="101"/>
        <v>0</v>
      </c>
      <c r="H204" s="177">
        <f t="shared" si="104"/>
        <v>1.4936180092078701E-3</v>
      </c>
      <c r="I204" s="171">
        <f t="shared" si="100"/>
        <v>0</v>
      </c>
      <c r="J204" s="1768">
        <f t="shared" si="102"/>
        <v>0</v>
      </c>
      <c r="K204" s="177">
        <f t="shared" si="105"/>
        <v>1.4936180092078701E-3</v>
      </c>
      <c r="L204" s="171">
        <f t="shared" ref="L204:L211" si="108">+K204*J203</f>
        <v>0</v>
      </c>
      <c r="M204" s="1768">
        <f t="shared" si="103"/>
        <v>0</v>
      </c>
      <c r="N204" s="177">
        <f t="shared" si="106"/>
        <v>1.4936180092078701E-3</v>
      </c>
      <c r="O204" s="171">
        <f>+N204*M203</f>
        <v>0</v>
      </c>
    </row>
    <row r="205" spans="1:15">
      <c r="A205" s="120">
        <f t="shared" si="99"/>
        <v>9</v>
      </c>
      <c r="C205" s="88"/>
      <c r="D205" s="88" t="s">
        <v>1356</v>
      </c>
      <c r="E205" s="88" t="s">
        <v>1125</v>
      </c>
      <c r="F205" s="344"/>
      <c r="G205" s="1768">
        <f t="shared" si="101"/>
        <v>0</v>
      </c>
      <c r="H205" s="177">
        <f t="shared" si="104"/>
        <v>1.4936180092078701E-3</v>
      </c>
      <c r="I205" s="171">
        <f t="shared" si="100"/>
        <v>0</v>
      </c>
      <c r="J205" s="1768">
        <f t="shared" si="102"/>
        <v>0</v>
      </c>
      <c r="K205" s="177">
        <f t="shared" si="105"/>
        <v>1.4936180092078701E-3</v>
      </c>
      <c r="L205" s="171">
        <f>+K205*J204</f>
        <v>0</v>
      </c>
      <c r="M205" s="1768">
        <f t="shared" si="103"/>
        <v>0</v>
      </c>
      <c r="N205" s="177">
        <f t="shared" si="106"/>
        <v>1.4936180092078701E-3</v>
      </c>
      <c r="O205" s="171">
        <f>+N205*M204</f>
        <v>0</v>
      </c>
    </row>
    <row r="206" spans="1:15">
      <c r="A206" s="120">
        <f t="shared" si="99"/>
        <v>10</v>
      </c>
      <c r="C206" s="88"/>
      <c r="D206" s="88" t="s">
        <v>1356</v>
      </c>
      <c r="E206" s="88" t="s">
        <v>675</v>
      </c>
      <c r="F206" s="344"/>
      <c r="G206" s="1768">
        <f t="shared" si="101"/>
        <v>0</v>
      </c>
      <c r="H206" s="177">
        <f t="shared" si="104"/>
        <v>1.4936180092078701E-3</v>
      </c>
      <c r="I206" s="171">
        <f t="shared" si="100"/>
        <v>0</v>
      </c>
      <c r="J206" s="1768">
        <f t="shared" si="102"/>
        <v>0</v>
      </c>
      <c r="K206" s="177">
        <f t="shared" si="105"/>
        <v>1.4936180092078701E-3</v>
      </c>
      <c r="L206" s="171">
        <f t="shared" si="108"/>
        <v>0</v>
      </c>
      <c r="M206" s="1768">
        <f t="shared" si="103"/>
        <v>0</v>
      </c>
      <c r="N206" s="177">
        <f t="shared" si="106"/>
        <v>1.4936180092078701E-3</v>
      </c>
      <c r="O206" s="171">
        <f t="shared" si="107"/>
        <v>0</v>
      </c>
    </row>
    <row r="207" spans="1:15">
      <c r="A207" s="120">
        <f t="shared" si="99"/>
        <v>11</v>
      </c>
      <c r="C207" s="88"/>
      <c r="D207" s="88" t="s">
        <v>1356</v>
      </c>
      <c r="E207" s="88" t="s">
        <v>1360</v>
      </c>
      <c r="F207" s="344"/>
      <c r="G207" s="1768">
        <f t="shared" si="101"/>
        <v>0</v>
      </c>
      <c r="H207" s="177">
        <f t="shared" si="104"/>
        <v>1.4936180092078701E-3</v>
      </c>
      <c r="I207" s="171">
        <f t="shared" si="100"/>
        <v>0</v>
      </c>
      <c r="J207" s="1768">
        <f t="shared" si="102"/>
        <v>0</v>
      </c>
      <c r="K207" s="177">
        <f t="shared" si="105"/>
        <v>1.4936180092078701E-3</v>
      </c>
      <c r="L207" s="171">
        <f t="shared" si="108"/>
        <v>0</v>
      </c>
      <c r="M207" s="1768">
        <f t="shared" si="103"/>
        <v>0</v>
      </c>
      <c r="N207" s="177">
        <f t="shared" si="106"/>
        <v>1.4936180092078701E-3</v>
      </c>
      <c r="O207" s="171">
        <f t="shared" si="107"/>
        <v>0</v>
      </c>
    </row>
    <row r="208" spans="1:15">
      <c r="A208" s="120">
        <f t="shared" si="99"/>
        <v>12</v>
      </c>
      <c r="C208" s="88"/>
      <c r="D208" s="88" t="s">
        <v>1356</v>
      </c>
      <c r="E208" s="88" t="s">
        <v>1361</v>
      </c>
      <c r="F208" s="344"/>
      <c r="G208" s="1768">
        <f t="shared" si="101"/>
        <v>0</v>
      </c>
      <c r="H208" s="177">
        <f t="shared" si="104"/>
        <v>1.4936180092078701E-3</v>
      </c>
      <c r="I208" s="171">
        <f t="shared" si="100"/>
        <v>0</v>
      </c>
      <c r="J208" s="1768">
        <f t="shared" si="102"/>
        <v>0</v>
      </c>
      <c r="K208" s="177">
        <f t="shared" si="105"/>
        <v>1.4936180092078701E-3</v>
      </c>
      <c r="L208" s="171">
        <f t="shared" si="108"/>
        <v>0</v>
      </c>
      <c r="M208" s="1768">
        <f t="shared" si="103"/>
        <v>0</v>
      </c>
      <c r="N208" s="177">
        <f t="shared" si="106"/>
        <v>1.4936180092078701E-3</v>
      </c>
      <c r="O208" s="171">
        <f t="shared" si="107"/>
        <v>0</v>
      </c>
    </row>
    <row r="209" spans="1:15">
      <c r="A209" s="120">
        <f t="shared" si="99"/>
        <v>13</v>
      </c>
      <c r="C209" s="88"/>
      <c r="D209" s="88" t="s">
        <v>1356</v>
      </c>
      <c r="E209" s="88" t="s">
        <v>1362</v>
      </c>
      <c r="F209" s="344"/>
      <c r="G209" s="1768">
        <f t="shared" si="101"/>
        <v>0</v>
      </c>
      <c r="H209" s="177">
        <f t="shared" si="104"/>
        <v>1.4936180092078701E-3</v>
      </c>
      <c r="I209" s="171">
        <f t="shared" si="100"/>
        <v>0</v>
      </c>
      <c r="J209" s="1768">
        <f t="shared" si="102"/>
        <v>0</v>
      </c>
      <c r="K209" s="177">
        <f t="shared" si="105"/>
        <v>1.4936180092078701E-3</v>
      </c>
      <c r="L209" s="171">
        <f t="shared" si="108"/>
        <v>0</v>
      </c>
      <c r="M209" s="1768">
        <f t="shared" si="103"/>
        <v>0</v>
      </c>
      <c r="N209" s="177">
        <f t="shared" si="106"/>
        <v>1.4936180092078701E-3</v>
      </c>
      <c r="O209" s="171">
        <f t="shared" si="107"/>
        <v>0</v>
      </c>
    </row>
    <row r="210" spans="1:15">
      <c r="A210" s="120">
        <f t="shared" si="99"/>
        <v>14</v>
      </c>
      <c r="C210" s="88"/>
      <c r="D210" s="88" t="s">
        <v>1356</v>
      </c>
      <c r="E210" s="88" t="s">
        <v>676</v>
      </c>
      <c r="F210" s="344"/>
      <c r="G210" s="1768">
        <f t="shared" si="101"/>
        <v>0</v>
      </c>
      <c r="H210" s="177">
        <f t="shared" si="104"/>
        <v>1.4936180092078701E-3</v>
      </c>
      <c r="I210" s="171">
        <f t="shared" si="100"/>
        <v>0</v>
      </c>
      <c r="J210" s="1768">
        <f t="shared" si="102"/>
        <v>0</v>
      </c>
      <c r="K210" s="177">
        <f t="shared" si="105"/>
        <v>1.4936180092078701E-3</v>
      </c>
      <c r="L210" s="171">
        <f t="shared" si="108"/>
        <v>0</v>
      </c>
      <c r="M210" s="1768">
        <f t="shared" si="103"/>
        <v>0</v>
      </c>
      <c r="N210" s="177">
        <f t="shared" si="106"/>
        <v>1.4936180092078701E-3</v>
      </c>
      <c r="O210" s="171">
        <f t="shared" si="107"/>
        <v>0</v>
      </c>
    </row>
    <row r="211" spans="1:15">
      <c r="A211" s="120">
        <f t="shared" si="99"/>
        <v>15</v>
      </c>
      <c r="C211" s="88"/>
      <c r="D211" s="88" t="s">
        <v>1356</v>
      </c>
      <c r="E211" s="88" t="s">
        <v>1363</v>
      </c>
      <c r="F211" s="344"/>
      <c r="G211" s="1768">
        <f t="shared" si="101"/>
        <v>0</v>
      </c>
      <c r="H211" s="177">
        <f t="shared" si="104"/>
        <v>1.4936180092078701E-3</v>
      </c>
      <c r="I211" s="171">
        <f t="shared" si="100"/>
        <v>0</v>
      </c>
      <c r="J211" s="1768">
        <f t="shared" si="102"/>
        <v>0</v>
      </c>
      <c r="K211" s="177">
        <f t="shared" si="105"/>
        <v>1.4936180092078701E-3</v>
      </c>
      <c r="L211" s="171">
        <f t="shared" si="108"/>
        <v>0</v>
      </c>
      <c r="M211" s="1768">
        <f t="shared" si="103"/>
        <v>0</v>
      </c>
      <c r="N211" s="177">
        <f t="shared" si="106"/>
        <v>1.4936180092078701E-3</v>
      </c>
      <c r="O211" s="171">
        <f t="shared" si="107"/>
        <v>0</v>
      </c>
    </row>
    <row r="212" spans="1:15">
      <c r="A212" s="120">
        <f t="shared" si="99"/>
        <v>16</v>
      </c>
      <c r="C212" s="88"/>
      <c r="D212" s="88" t="s">
        <v>1356</v>
      </c>
      <c r="E212" s="88" t="s">
        <v>1355</v>
      </c>
      <c r="F212" s="344"/>
      <c r="G212" s="1768">
        <f t="shared" si="101"/>
        <v>0</v>
      </c>
      <c r="H212" s="177">
        <f t="shared" si="104"/>
        <v>1.4936180092078701E-3</v>
      </c>
      <c r="I212" s="929">
        <f t="shared" si="100"/>
        <v>0</v>
      </c>
      <c r="J212" s="1768">
        <f t="shared" si="102"/>
        <v>0</v>
      </c>
      <c r="K212" s="177">
        <f t="shared" si="105"/>
        <v>1.4936180092078701E-3</v>
      </c>
      <c r="L212" s="929">
        <f>+K212*J211</f>
        <v>0</v>
      </c>
      <c r="M212" s="1768">
        <f t="shared" si="103"/>
        <v>0</v>
      </c>
      <c r="N212" s="177">
        <f t="shared" si="106"/>
        <v>1.4936180092078701E-3</v>
      </c>
      <c r="O212" s="929">
        <f>+N212*M211</f>
        <v>0</v>
      </c>
    </row>
    <row r="213" spans="1:15">
      <c r="A213" s="120">
        <f t="shared" si="99"/>
        <v>17</v>
      </c>
      <c r="C213" s="88"/>
      <c r="D213" s="88"/>
      <c r="E213" s="88"/>
      <c r="F213" s="88"/>
      <c r="G213" s="134"/>
      <c r="H213" s="1765" t="str">
        <f>"Sum lines "&amp;$A201&amp;" - "&amp;$A212&amp;""</f>
        <v>Sum lines 5 - 16</v>
      </c>
      <c r="I213" s="171">
        <f>SUM(I201:I212)</f>
        <v>0</v>
      </c>
      <c r="J213" s="134"/>
      <c r="K213" s="1765" t="str">
        <f>"Sum lines "&amp;$A201&amp;" - "&amp;$A212&amp;""</f>
        <v>Sum lines 5 - 16</v>
      </c>
      <c r="L213" s="171">
        <f>SUM(L201:L212)</f>
        <v>0</v>
      </c>
      <c r="M213" s="134"/>
      <c r="N213" s="1765" t="str">
        <f>"Sum lines "&amp;$A201&amp;" - "&amp;$A212&amp;""</f>
        <v>Sum lines 5 - 16</v>
      </c>
      <c r="O213" s="171">
        <f>SUM(O201:O212)</f>
        <v>0</v>
      </c>
    </row>
    <row r="214" spans="1:15">
      <c r="A214" s="120">
        <f t="shared" si="99"/>
        <v>18</v>
      </c>
      <c r="C214" s="2211" t="s">
        <v>54</v>
      </c>
      <c r="D214" s="2211"/>
      <c r="E214" s="2211"/>
      <c r="F214" s="135"/>
      <c r="G214" s="1909" t="s">
        <v>1512</v>
      </c>
      <c r="H214" s="648">
        <v>0</v>
      </c>
      <c r="I214" s="1766"/>
      <c r="J214" s="134" t="s">
        <v>1512</v>
      </c>
      <c r="K214" s="648">
        <v>0</v>
      </c>
      <c r="L214" s="1766"/>
      <c r="M214" s="134" t="s">
        <v>1512</v>
      </c>
      <c r="N214" s="648">
        <v>0</v>
      </c>
      <c r="O214" s="1766"/>
    </row>
    <row r="215" spans="1:15">
      <c r="A215" s="120">
        <f t="shared" si="99"/>
        <v>19</v>
      </c>
      <c r="B215" s="141" t="s">
        <v>394</v>
      </c>
      <c r="C215" s="117" t="s">
        <v>1045</v>
      </c>
      <c r="D215" s="117" t="s">
        <v>634</v>
      </c>
      <c r="E215" s="117" t="s">
        <v>265</v>
      </c>
      <c r="F215" s="141" t="s">
        <v>394</v>
      </c>
      <c r="G215" s="568" t="s">
        <v>1045</v>
      </c>
      <c r="H215" s="568" t="s">
        <v>634</v>
      </c>
      <c r="I215" s="568" t="s">
        <v>265</v>
      </c>
      <c r="J215" s="568" t="s">
        <v>1045</v>
      </c>
      <c r="K215" s="568" t="s">
        <v>634</v>
      </c>
      <c r="L215" s="568" t="s">
        <v>265</v>
      </c>
      <c r="M215" s="568" t="s">
        <v>1045</v>
      </c>
      <c r="N215" s="568" t="s">
        <v>634</v>
      </c>
      <c r="O215" s="568" t="s">
        <v>265</v>
      </c>
    </row>
    <row r="216" spans="1:15">
      <c r="A216" s="120">
        <f t="shared" si="99"/>
        <v>20</v>
      </c>
      <c r="B216" s="521"/>
      <c r="C216" s="521"/>
      <c r="D216" s="521"/>
      <c r="E216" s="521"/>
      <c r="F216" s="521"/>
      <c r="G216" s="1603"/>
      <c r="H216" s="1321"/>
      <c r="I216" s="1322"/>
      <c r="J216" s="1603"/>
      <c r="K216" s="1321"/>
      <c r="L216" s="1322"/>
      <c r="M216" s="1603"/>
      <c r="N216" s="1321"/>
      <c r="O216" s="1322"/>
    </row>
    <row r="217" spans="1:15">
      <c r="A217" s="120">
        <f t="shared" si="99"/>
        <v>21</v>
      </c>
      <c r="B217" s="127">
        <v>2008</v>
      </c>
      <c r="C217" s="773">
        <f>+G217+J217+M217</f>
        <v>0</v>
      </c>
      <c r="D217" s="773">
        <f>+H217+K217+N217</f>
        <v>0</v>
      </c>
      <c r="E217" s="773">
        <f>+I217+L217+O217</f>
        <v>0</v>
      </c>
      <c r="F217" s="139">
        <f t="shared" ref="F217:F240" si="109">+B217</f>
        <v>2008</v>
      </c>
      <c r="G217" s="168">
        <f>SUM(G200:G212)/13</f>
        <v>0</v>
      </c>
      <c r="H217" s="1767">
        <f>H214+SUM(I201*12,I202*11,I203*10,I204*9,I205*8,I206*7,I207*6,I208*5,I209*4,I210*3,I211*2,I212)/13</f>
        <v>0</v>
      </c>
      <c r="I217" s="171">
        <f>+G217-H217</f>
        <v>0</v>
      </c>
      <c r="J217" s="168">
        <f>SUM(J200:J212)/13</f>
        <v>0</v>
      </c>
      <c r="K217" s="1767">
        <f>K214+SUM(L201*12,L202*11,L203*10,L204*9,L205*8,L206*7,L207*6,L208*5,L209*4,L210*3,L211*2,L212)/13</f>
        <v>0</v>
      </c>
      <c r="L217" s="171">
        <f>+J217-K217</f>
        <v>0</v>
      </c>
      <c r="M217" s="168">
        <f>SUM(M200:M212)/13</f>
        <v>0</v>
      </c>
      <c r="N217" s="1767">
        <f>N214+SUM(O201*12,O202*11,O203*10,O204*9,O205*8,O206*7,O207*6,O208*5,O209*4,O210*3,O211*2,O212)/13</f>
        <v>0</v>
      </c>
      <c r="O217" s="171">
        <f>+M217-N217</f>
        <v>0</v>
      </c>
    </row>
    <row r="218" spans="1:15">
      <c r="A218" s="120">
        <f t="shared" si="99"/>
        <v>22</v>
      </c>
      <c r="B218" s="127">
        <v>2009</v>
      </c>
      <c r="C218" s="773">
        <f t="shared" ref="C218:C240" si="110">+G218+J218+M218</f>
        <v>0</v>
      </c>
      <c r="D218" s="773">
        <f t="shared" ref="D218:D240" si="111">+H218+K218+N218</f>
        <v>0</v>
      </c>
      <c r="E218" s="773">
        <f t="shared" ref="E218:E240" si="112">+I218+L218+O218</f>
        <v>0</v>
      </c>
      <c r="F218" s="139">
        <f t="shared" si="109"/>
        <v>2009</v>
      </c>
      <c r="G218" s="168"/>
      <c r="H218" s="133">
        <v>0</v>
      </c>
      <c r="I218" s="171">
        <f t="shared" ref="I218:I240" si="113">+G218-H218</f>
        <v>0</v>
      </c>
      <c r="J218" s="168"/>
      <c r="K218" s="133">
        <v>0</v>
      </c>
      <c r="L218" s="171">
        <f t="shared" ref="L218:L240" si="114">+J218-K218</f>
        <v>0</v>
      </c>
      <c r="M218" s="168"/>
      <c r="N218" s="133">
        <v>0</v>
      </c>
      <c r="O218" s="171">
        <f t="shared" ref="O218:O240" si="115">+M218-N218</f>
        <v>0</v>
      </c>
    </row>
    <row r="219" spans="1:15">
      <c r="A219" s="120">
        <f t="shared" si="99"/>
        <v>23</v>
      </c>
      <c r="B219" s="127">
        <f t="shared" ref="B219:B240" si="116">+B218+1</f>
        <v>2010</v>
      </c>
      <c r="C219" s="773">
        <f t="shared" si="110"/>
        <v>0</v>
      </c>
      <c r="D219" s="773">
        <f t="shared" si="111"/>
        <v>0</v>
      </c>
      <c r="E219" s="773">
        <f t="shared" si="112"/>
        <v>0</v>
      </c>
      <c r="F219" s="139">
        <f t="shared" si="109"/>
        <v>2010</v>
      </c>
      <c r="G219" s="168"/>
      <c r="H219" s="133">
        <v>0</v>
      </c>
      <c r="I219" s="171">
        <f t="shared" si="113"/>
        <v>0</v>
      </c>
      <c r="J219" s="168"/>
      <c r="K219" s="133">
        <v>0</v>
      </c>
      <c r="L219" s="171">
        <f t="shared" si="114"/>
        <v>0</v>
      </c>
      <c r="M219" s="168"/>
      <c r="N219" s="133">
        <v>0</v>
      </c>
      <c r="O219" s="171">
        <f t="shared" si="115"/>
        <v>0</v>
      </c>
    </row>
    <row r="220" spans="1:15">
      <c r="A220" s="120">
        <f t="shared" si="99"/>
        <v>24</v>
      </c>
      <c r="B220" s="127">
        <f t="shared" si="116"/>
        <v>2011</v>
      </c>
      <c r="C220" s="773">
        <f t="shared" si="110"/>
        <v>0</v>
      </c>
      <c r="D220" s="773">
        <f t="shared" si="111"/>
        <v>0</v>
      </c>
      <c r="E220" s="773">
        <f t="shared" si="112"/>
        <v>0</v>
      </c>
      <c r="F220" s="139">
        <f t="shared" si="109"/>
        <v>2011</v>
      </c>
      <c r="G220" s="168"/>
      <c r="H220" s="133">
        <v>0</v>
      </c>
      <c r="I220" s="171">
        <f t="shared" si="113"/>
        <v>0</v>
      </c>
      <c r="J220" s="168"/>
      <c r="K220" s="133">
        <v>0</v>
      </c>
      <c r="L220" s="171">
        <f t="shared" si="114"/>
        <v>0</v>
      </c>
      <c r="M220" s="168"/>
      <c r="N220" s="133">
        <v>0</v>
      </c>
      <c r="O220" s="171">
        <f t="shared" si="115"/>
        <v>0</v>
      </c>
    </row>
    <row r="221" spans="1:15">
      <c r="A221" s="120">
        <f t="shared" si="99"/>
        <v>25</v>
      </c>
      <c r="B221" s="127">
        <f t="shared" si="116"/>
        <v>2012</v>
      </c>
      <c r="C221" s="773">
        <f t="shared" si="110"/>
        <v>0</v>
      </c>
      <c r="D221" s="773">
        <f t="shared" si="111"/>
        <v>0</v>
      </c>
      <c r="E221" s="773">
        <f t="shared" si="112"/>
        <v>0</v>
      </c>
      <c r="F221" s="139">
        <f t="shared" si="109"/>
        <v>2012</v>
      </c>
      <c r="G221" s="168"/>
      <c r="H221" s="133">
        <v>0</v>
      </c>
      <c r="I221" s="171">
        <f t="shared" si="113"/>
        <v>0</v>
      </c>
      <c r="J221" s="168"/>
      <c r="K221" s="133">
        <v>0</v>
      </c>
      <c r="L221" s="171">
        <f t="shared" si="114"/>
        <v>0</v>
      </c>
      <c r="M221" s="168"/>
      <c r="N221" s="133">
        <v>0</v>
      </c>
      <c r="O221" s="171">
        <f t="shared" si="115"/>
        <v>0</v>
      </c>
    </row>
    <row r="222" spans="1:15">
      <c r="A222" s="120">
        <f t="shared" si="99"/>
        <v>26</v>
      </c>
      <c r="B222" s="127">
        <f t="shared" si="116"/>
        <v>2013</v>
      </c>
      <c r="C222" s="773">
        <f t="shared" si="110"/>
        <v>0</v>
      </c>
      <c r="D222" s="773">
        <f t="shared" si="111"/>
        <v>0</v>
      </c>
      <c r="E222" s="773">
        <f t="shared" si="112"/>
        <v>0</v>
      </c>
      <c r="F222" s="139">
        <f t="shared" si="109"/>
        <v>2013</v>
      </c>
      <c r="G222" s="168"/>
      <c r="H222" s="133">
        <v>0</v>
      </c>
      <c r="I222" s="171">
        <f t="shared" si="113"/>
        <v>0</v>
      </c>
      <c r="J222" s="168"/>
      <c r="K222" s="133">
        <v>0</v>
      </c>
      <c r="L222" s="171">
        <f t="shared" si="114"/>
        <v>0</v>
      </c>
      <c r="M222" s="168"/>
      <c r="N222" s="133">
        <v>0</v>
      </c>
      <c r="O222" s="171">
        <f t="shared" si="115"/>
        <v>0</v>
      </c>
    </row>
    <row r="223" spans="1:15">
      <c r="A223" s="120">
        <f t="shared" si="99"/>
        <v>27</v>
      </c>
      <c r="B223" s="127">
        <f t="shared" si="116"/>
        <v>2014</v>
      </c>
      <c r="C223" s="773">
        <f t="shared" si="110"/>
        <v>0</v>
      </c>
      <c r="D223" s="773">
        <f t="shared" si="111"/>
        <v>0</v>
      </c>
      <c r="E223" s="773">
        <f t="shared" si="112"/>
        <v>0</v>
      </c>
      <c r="F223" s="139">
        <f t="shared" si="109"/>
        <v>2014</v>
      </c>
      <c r="G223" s="168"/>
      <c r="H223" s="133">
        <v>0</v>
      </c>
      <c r="I223" s="171">
        <f t="shared" si="113"/>
        <v>0</v>
      </c>
      <c r="J223" s="168"/>
      <c r="K223" s="133">
        <v>0</v>
      </c>
      <c r="L223" s="171">
        <f t="shared" si="114"/>
        <v>0</v>
      </c>
      <c r="M223" s="168"/>
      <c r="N223" s="133">
        <v>0</v>
      </c>
      <c r="O223" s="171">
        <f t="shared" si="115"/>
        <v>0</v>
      </c>
    </row>
    <row r="224" spans="1:15">
      <c r="A224" s="120">
        <f t="shared" si="99"/>
        <v>28</v>
      </c>
      <c r="B224" s="127">
        <f t="shared" si="116"/>
        <v>2015</v>
      </c>
      <c r="C224" s="773">
        <f t="shared" si="110"/>
        <v>0</v>
      </c>
      <c r="D224" s="773">
        <f t="shared" si="111"/>
        <v>0</v>
      </c>
      <c r="E224" s="773">
        <f t="shared" si="112"/>
        <v>0</v>
      </c>
      <c r="F224" s="139">
        <f t="shared" si="109"/>
        <v>2015</v>
      </c>
      <c r="G224" s="168"/>
      <c r="H224" s="133">
        <v>0</v>
      </c>
      <c r="I224" s="171">
        <f t="shared" si="113"/>
        <v>0</v>
      </c>
      <c r="J224" s="168"/>
      <c r="K224" s="133">
        <v>0</v>
      </c>
      <c r="L224" s="171">
        <f t="shared" si="114"/>
        <v>0</v>
      </c>
      <c r="M224" s="168"/>
      <c r="N224" s="133">
        <v>0</v>
      </c>
      <c r="O224" s="171">
        <f t="shared" si="115"/>
        <v>0</v>
      </c>
    </row>
    <row r="225" spans="1:15">
      <c r="A225" s="120">
        <f t="shared" si="99"/>
        <v>29</v>
      </c>
      <c r="B225" s="127">
        <f t="shared" si="116"/>
        <v>2016</v>
      </c>
      <c r="C225" s="773">
        <f t="shared" si="110"/>
        <v>0</v>
      </c>
      <c r="D225" s="773">
        <f t="shared" si="111"/>
        <v>0</v>
      </c>
      <c r="E225" s="773">
        <f t="shared" si="112"/>
        <v>0</v>
      </c>
      <c r="F225" s="139">
        <f t="shared" si="109"/>
        <v>2016</v>
      </c>
      <c r="G225" s="168"/>
      <c r="H225" s="133">
        <v>0</v>
      </c>
      <c r="I225" s="171">
        <f t="shared" si="113"/>
        <v>0</v>
      </c>
      <c r="J225" s="168"/>
      <c r="K225" s="133">
        <v>0</v>
      </c>
      <c r="L225" s="171">
        <f t="shared" si="114"/>
        <v>0</v>
      </c>
      <c r="M225" s="168"/>
      <c r="N225" s="133">
        <v>0</v>
      </c>
      <c r="O225" s="171">
        <f t="shared" si="115"/>
        <v>0</v>
      </c>
    </row>
    <row r="226" spans="1:15">
      <c r="A226" s="120">
        <f t="shared" si="99"/>
        <v>30</v>
      </c>
      <c r="B226" s="127">
        <f t="shared" si="116"/>
        <v>2017</v>
      </c>
      <c r="C226" s="773">
        <f t="shared" si="110"/>
        <v>0</v>
      </c>
      <c r="D226" s="773">
        <f t="shared" si="111"/>
        <v>0</v>
      </c>
      <c r="E226" s="773">
        <f t="shared" si="112"/>
        <v>0</v>
      </c>
      <c r="F226" s="139">
        <f t="shared" si="109"/>
        <v>2017</v>
      </c>
      <c r="G226" s="168"/>
      <c r="H226" s="133">
        <v>0</v>
      </c>
      <c r="I226" s="171">
        <f t="shared" si="113"/>
        <v>0</v>
      </c>
      <c r="J226" s="168"/>
      <c r="K226" s="133">
        <v>0</v>
      </c>
      <c r="L226" s="171">
        <f t="shared" si="114"/>
        <v>0</v>
      </c>
      <c r="M226" s="168"/>
      <c r="N226" s="133">
        <v>0</v>
      </c>
      <c r="O226" s="171">
        <f t="shared" si="115"/>
        <v>0</v>
      </c>
    </row>
    <row r="227" spans="1:15">
      <c r="A227" s="120">
        <f t="shared" si="99"/>
        <v>31</v>
      </c>
      <c r="B227" s="127">
        <f t="shared" si="116"/>
        <v>2018</v>
      </c>
      <c r="C227" s="773">
        <f t="shared" si="110"/>
        <v>0</v>
      </c>
      <c r="D227" s="773">
        <f t="shared" si="111"/>
        <v>0</v>
      </c>
      <c r="E227" s="773">
        <f t="shared" si="112"/>
        <v>0</v>
      </c>
      <c r="F227" s="139">
        <f t="shared" si="109"/>
        <v>2018</v>
      </c>
      <c r="G227" s="168"/>
      <c r="H227" s="133">
        <v>0</v>
      </c>
      <c r="I227" s="171">
        <f t="shared" si="113"/>
        <v>0</v>
      </c>
      <c r="J227" s="168"/>
      <c r="K227" s="133">
        <v>0</v>
      </c>
      <c r="L227" s="171">
        <f t="shared" si="114"/>
        <v>0</v>
      </c>
      <c r="M227" s="168"/>
      <c r="N227" s="133">
        <v>0</v>
      </c>
      <c r="O227" s="171">
        <f t="shared" si="115"/>
        <v>0</v>
      </c>
    </row>
    <row r="228" spans="1:15">
      <c r="A228" s="120">
        <f t="shared" si="99"/>
        <v>32</v>
      </c>
      <c r="B228" s="127">
        <f t="shared" si="116"/>
        <v>2019</v>
      </c>
      <c r="C228" s="773">
        <f t="shared" si="110"/>
        <v>0</v>
      </c>
      <c r="D228" s="773">
        <f t="shared" si="111"/>
        <v>0</v>
      </c>
      <c r="E228" s="773">
        <f t="shared" si="112"/>
        <v>0</v>
      </c>
      <c r="F228" s="139">
        <f t="shared" si="109"/>
        <v>2019</v>
      </c>
      <c r="G228" s="168"/>
      <c r="H228" s="133">
        <v>0</v>
      </c>
      <c r="I228" s="171">
        <f t="shared" si="113"/>
        <v>0</v>
      </c>
      <c r="J228" s="168"/>
      <c r="K228" s="133">
        <v>0</v>
      </c>
      <c r="L228" s="171">
        <f t="shared" si="114"/>
        <v>0</v>
      </c>
      <c r="M228" s="168"/>
      <c r="N228" s="133">
        <v>0</v>
      </c>
      <c r="O228" s="171">
        <f t="shared" si="115"/>
        <v>0</v>
      </c>
    </row>
    <row r="229" spans="1:15">
      <c r="A229" s="120">
        <f t="shared" si="99"/>
        <v>33</v>
      </c>
      <c r="B229" s="127">
        <f t="shared" si="116"/>
        <v>2020</v>
      </c>
      <c r="C229" s="773">
        <f t="shared" si="110"/>
        <v>0</v>
      </c>
      <c r="D229" s="773">
        <f t="shared" si="111"/>
        <v>0</v>
      </c>
      <c r="E229" s="773">
        <f t="shared" si="112"/>
        <v>0</v>
      </c>
      <c r="F229" s="139">
        <f t="shared" si="109"/>
        <v>2020</v>
      </c>
      <c r="G229" s="168"/>
      <c r="H229" s="133">
        <v>0</v>
      </c>
      <c r="I229" s="171">
        <f t="shared" si="113"/>
        <v>0</v>
      </c>
      <c r="J229" s="168"/>
      <c r="K229" s="133">
        <v>0</v>
      </c>
      <c r="L229" s="171">
        <f t="shared" si="114"/>
        <v>0</v>
      </c>
      <c r="M229" s="168"/>
      <c r="N229" s="133">
        <v>0</v>
      </c>
      <c r="O229" s="171">
        <f t="shared" si="115"/>
        <v>0</v>
      </c>
    </row>
    <row r="230" spans="1:15">
      <c r="A230" s="120">
        <f t="shared" si="99"/>
        <v>34</v>
      </c>
      <c r="B230" s="127">
        <f t="shared" si="116"/>
        <v>2021</v>
      </c>
      <c r="C230" s="773">
        <f t="shared" si="110"/>
        <v>0</v>
      </c>
      <c r="D230" s="773">
        <f t="shared" si="111"/>
        <v>0</v>
      </c>
      <c r="E230" s="773">
        <f t="shared" si="112"/>
        <v>0</v>
      </c>
      <c r="F230" s="139">
        <f t="shared" si="109"/>
        <v>2021</v>
      </c>
      <c r="G230" s="168"/>
      <c r="H230" s="133">
        <v>0</v>
      </c>
      <c r="I230" s="171">
        <f t="shared" si="113"/>
        <v>0</v>
      </c>
      <c r="J230" s="168"/>
      <c r="K230" s="133">
        <v>0</v>
      </c>
      <c r="L230" s="171">
        <f t="shared" si="114"/>
        <v>0</v>
      </c>
      <c r="M230" s="168"/>
      <c r="N230" s="133">
        <v>0</v>
      </c>
      <c r="O230" s="171">
        <f t="shared" si="115"/>
        <v>0</v>
      </c>
    </row>
    <row r="231" spans="1:15">
      <c r="A231" s="120">
        <f t="shared" si="99"/>
        <v>35</v>
      </c>
      <c r="B231" s="127">
        <f t="shared" si="116"/>
        <v>2022</v>
      </c>
      <c r="C231" s="773">
        <f t="shared" si="110"/>
        <v>0</v>
      </c>
      <c r="D231" s="773">
        <f t="shared" si="111"/>
        <v>0</v>
      </c>
      <c r="E231" s="773">
        <f t="shared" si="112"/>
        <v>0</v>
      </c>
      <c r="F231" s="139">
        <f t="shared" si="109"/>
        <v>2022</v>
      </c>
      <c r="G231" s="168"/>
      <c r="H231" s="133">
        <v>0</v>
      </c>
      <c r="I231" s="171">
        <f t="shared" si="113"/>
        <v>0</v>
      </c>
      <c r="J231" s="168"/>
      <c r="K231" s="133">
        <v>0</v>
      </c>
      <c r="L231" s="171">
        <f t="shared" si="114"/>
        <v>0</v>
      </c>
      <c r="M231" s="168"/>
      <c r="N231" s="133">
        <v>0</v>
      </c>
      <c r="O231" s="171">
        <f t="shared" si="115"/>
        <v>0</v>
      </c>
    </row>
    <row r="232" spans="1:15">
      <c r="A232" s="120">
        <f t="shared" si="99"/>
        <v>36</v>
      </c>
      <c r="B232" s="127">
        <f t="shared" si="116"/>
        <v>2023</v>
      </c>
      <c r="C232" s="773">
        <f t="shared" si="110"/>
        <v>0</v>
      </c>
      <c r="D232" s="773">
        <f t="shared" si="111"/>
        <v>0</v>
      </c>
      <c r="E232" s="773">
        <f t="shared" si="112"/>
        <v>0</v>
      </c>
      <c r="F232" s="139">
        <f t="shared" si="109"/>
        <v>2023</v>
      </c>
      <c r="G232" s="168"/>
      <c r="H232" s="133">
        <v>0</v>
      </c>
      <c r="I232" s="171">
        <f t="shared" si="113"/>
        <v>0</v>
      </c>
      <c r="J232" s="168"/>
      <c r="K232" s="133">
        <v>0</v>
      </c>
      <c r="L232" s="171">
        <f t="shared" si="114"/>
        <v>0</v>
      </c>
      <c r="M232" s="168"/>
      <c r="N232" s="133">
        <v>0</v>
      </c>
      <c r="O232" s="171">
        <f t="shared" si="115"/>
        <v>0</v>
      </c>
    </row>
    <row r="233" spans="1:15">
      <c r="A233" s="120">
        <f t="shared" si="99"/>
        <v>37</v>
      </c>
      <c r="B233" s="127">
        <f t="shared" si="116"/>
        <v>2024</v>
      </c>
      <c r="C233" s="773">
        <f t="shared" si="110"/>
        <v>0</v>
      </c>
      <c r="D233" s="773">
        <f t="shared" si="111"/>
        <v>0</v>
      </c>
      <c r="E233" s="773">
        <f t="shared" si="112"/>
        <v>0</v>
      </c>
      <c r="F233" s="139">
        <f t="shared" si="109"/>
        <v>2024</v>
      </c>
      <c r="G233" s="168"/>
      <c r="H233" s="133">
        <v>0</v>
      </c>
      <c r="I233" s="171">
        <f t="shared" si="113"/>
        <v>0</v>
      </c>
      <c r="J233" s="168"/>
      <c r="K233" s="133">
        <v>0</v>
      </c>
      <c r="L233" s="171">
        <f t="shared" si="114"/>
        <v>0</v>
      </c>
      <c r="M233" s="168"/>
      <c r="N233" s="133">
        <v>0</v>
      </c>
      <c r="O233" s="171">
        <f t="shared" si="115"/>
        <v>0</v>
      </c>
    </row>
    <row r="234" spans="1:15">
      <c r="A234" s="120">
        <f t="shared" si="99"/>
        <v>38</v>
      </c>
      <c r="B234" s="127">
        <f t="shared" si="116"/>
        <v>2025</v>
      </c>
      <c r="C234" s="773">
        <f t="shared" si="110"/>
        <v>0</v>
      </c>
      <c r="D234" s="773">
        <f t="shared" si="111"/>
        <v>0</v>
      </c>
      <c r="E234" s="773">
        <f t="shared" si="112"/>
        <v>0</v>
      </c>
      <c r="F234" s="139">
        <f t="shared" si="109"/>
        <v>2025</v>
      </c>
      <c r="G234" s="168"/>
      <c r="H234" s="133">
        <v>0</v>
      </c>
      <c r="I234" s="171">
        <f t="shared" si="113"/>
        <v>0</v>
      </c>
      <c r="J234" s="168"/>
      <c r="K234" s="133">
        <v>0</v>
      </c>
      <c r="L234" s="171">
        <f t="shared" si="114"/>
        <v>0</v>
      </c>
      <c r="M234" s="168"/>
      <c r="N234" s="133">
        <v>0</v>
      </c>
      <c r="O234" s="171">
        <f t="shared" si="115"/>
        <v>0</v>
      </c>
    </row>
    <row r="235" spans="1:15">
      <c r="A235" s="120">
        <f t="shared" si="99"/>
        <v>39</v>
      </c>
      <c r="B235" s="127">
        <f t="shared" si="116"/>
        <v>2026</v>
      </c>
      <c r="C235" s="773">
        <f t="shared" si="110"/>
        <v>0</v>
      </c>
      <c r="D235" s="773">
        <f t="shared" si="111"/>
        <v>0</v>
      </c>
      <c r="E235" s="773">
        <f t="shared" si="112"/>
        <v>0</v>
      </c>
      <c r="F235" s="139">
        <f t="shared" si="109"/>
        <v>2026</v>
      </c>
      <c r="G235" s="168"/>
      <c r="H235" s="133">
        <v>0</v>
      </c>
      <c r="I235" s="171">
        <f t="shared" si="113"/>
        <v>0</v>
      </c>
      <c r="J235" s="168"/>
      <c r="K235" s="133">
        <v>0</v>
      </c>
      <c r="L235" s="171">
        <f t="shared" si="114"/>
        <v>0</v>
      </c>
      <c r="M235" s="168"/>
      <c r="N235" s="133">
        <v>0</v>
      </c>
      <c r="O235" s="171">
        <f t="shared" si="115"/>
        <v>0</v>
      </c>
    </row>
    <row r="236" spans="1:15">
      <c r="A236" s="120">
        <f t="shared" si="99"/>
        <v>40</v>
      </c>
      <c r="B236" s="127">
        <f t="shared" si="116"/>
        <v>2027</v>
      </c>
      <c r="C236" s="773">
        <f t="shared" si="110"/>
        <v>0</v>
      </c>
      <c r="D236" s="773">
        <f t="shared" si="111"/>
        <v>0</v>
      </c>
      <c r="E236" s="773">
        <f t="shared" si="112"/>
        <v>0</v>
      </c>
      <c r="F236" s="139">
        <f t="shared" si="109"/>
        <v>2027</v>
      </c>
      <c r="G236" s="168"/>
      <c r="H236" s="133">
        <v>0</v>
      </c>
      <c r="I236" s="171">
        <f t="shared" si="113"/>
        <v>0</v>
      </c>
      <c r="J236" s="168"/>
      <c r="K236" s="133">
        <v>0</v>
      </c>
      <c r="L236" s="171">
        <f t="shared" si="114"/>
        <v>0</v>
      </c>
      <c r="M236" s="168"/>
      <c r="N236" s="133">
        <v>0</v>
      </c>
      <c r="O236" s="171">
        <f t="shared" si="115"/>
        <v>0</v>
      </c>
    </row>
    <row r="237" spans="1:15">
      <c r="A237" s="120">
        <f t="shared" si="99"/>
        <v>41</v>
      </c>
      <c r="B237" s="127">
        <f t="shared" si="116"/>
        <v>2028</v>
      </c>
      <c r="C237" s="773">
        <f t="shared" si="110"/>
        <v>0</v>
      </c>
      <c r="D237" s="773">
        <f t="shared" si="111"/>
        <v>0</v>
      </c>
      <c r="E237" s="773">
        <f t="shared" si="112"/>
        <v>0</v>
      </c>
      <c r="F237" s="139">
        <f t="shared" si="109"/>
        <v>2028</v>
      </c>
      <c r="G237" s="168"/>
      <c r="H237" s="133">
        <v>0</v>
      </c>
      <c r="I237" s="171">
        <f t="shared" si="113"/>
        <v>0</v>
      </c>
      <c r="J237" s="168"/>
      <c r="K237" s="133">
        <v>0</v>
      </c>
      <c r="L237" s="171">
        <f t="shared" si="114"/>
        <v>0</v>
      </c>
      <c r="M237" s="168"/>
      <c r="N237" s="133">
        <v>0</v>
      </c>
      <c r="O237" s="171">
        <f t="shared" si="115"/>
        <v>0</v>
      </c>
    </row>
    <row r="238" spans="1:15">
      <c r="A238" s="120">
        <f t="shared" si="99"/>
        <v>42</v>
      </c>
      <c r="B238" s="127">
        <f t="shared" si="116"/>
        <v>2029</v>
      </c>
      <c r="C238" s="773">
        <f t="shared" si="110"/>
        <v>0</v>
      </c>
      <c r="D238" s="773">
        <f t="shared" si="111"/>
        <v>0</v>
      </c>
      <c r="E238" s="773">
        <f t="shared" si="112"/>
        <v>0</v>
      </c>
      <c r="F238" s="139">
        <f t="shared" si="109"/>
        <v>2029</v>
      </c>
      <c r="G238" s="168"/>
      <c r="H238" s="133">
        <v>0</v>
      </c>
      <c r="I238" s="171">
        <f t="shared" si="113"/>
        <v>0</v>
      </c>
      <c r="J238" s="168"/>
      <c r="K238" s="133">
        <v>0</v>
      </c>
      <c r="L238" s="171">
        <f t="shared" si="114"/>
        <v>0</v>
      </c>
      <c r="M238" s="168"/>
      <c r="N238" s="133">
        <v>0</v>
      </c>
      <c r="O238" s="171">
        <f t="shared" si="115"/>
        <v>0</v>
      </c>
    </row>
    <row r="239" spans="1:15">
      <c r="A239" s="120">
        <f t="shared" si="99"/>
        <v>43</v>
      </c>
      <c r="B239" s="127">
        <f t="shared" si="116"/>
        <v>2030</v>
      </c>
      <c r="C239" s="773">
        <f t="shared" si="110"/>
        <v>0</v>
      </c>
      <c r="D239" s="773">
        <f t="shared" si="111"/>
        <v>0</v>
      </c>
      <c r="E239" s="773">
        <f t="shared" si="112"/>
        <v>0</v>
      </c>
      <c r="F239" s="139">
        <f t="shared" si="109"/>
        <v>2030</v>
      </c>
      <c r="G239" s="168"/>
      <c r="H239" s="133">
        <v>0</v>
      </c>
      <c r="I239" s="171">
        <f t="shared" si="113"/>
        <v>0</v>
      </c>
      <c r="J239" s="168"/>
      <c r="K239" s="133">
        <v>0</v>
      </c>
      <c r="L239" s="171">
        <f t="shared" si="114"/>
        <v>0</v>
      </c>
      <c r="M239" s="168"/>
      <c r="N239" s="133">
        <v>0</v>
      </c>
      <c r="O239" s="171">
        <f t="shared" si="115"/>
        <v>0</v>
      </c>
    </row>
    <row r="240" spans="1:15">
      <c r="A240" s="120">
        <f t="shared" si="99"/>
        <v>44</v>
      </c>
      <c r="B240" s="127">
        <f t="shared" si="116"/>
        <v>2031</v>
      </c>
      <c r="C240" s="773">
        <f t="shared" si="110"/>
        <v>0</v>
      </c>
      <c r="D240" s="773">
        <f t="shared" si="111"/>
        <v>0</v>
      </c>
      <c r="E240" s="773">
        <f t="shared" si="112"/>
        <v>0</v>
      </c>
      <c r="F240" s="139">
        <f t="shared" si="109"/>
        <v>2031</v>
      </c>
      <c r="G240" s="920"/>
      <c r="H240" s="922">
        <v>0</v>
      </c>
      <c r="I240" s="929">
        <f t="shared" si="113"/>
        <v>0</v>
      </c>
      <c r="J240" s="920"/>
      <c r="K240" s="922">
        <v>0</v>
      </c>
      <c r="L240" s="929">
        <f t="shared" si="114"/>
        <v>0</v>
      </c>
      <c r="M240" s="920"/>
      <c r="N240" s="922">
        <v>0</v>
      </c>
      <c r="O240" s="929">
        <f t="shared" si="115"/>
        <v>0</v>
      </c>
    </row>
    <row r="241" spans="1:15" ht="15">
      <c r="A241" s="120">
        <f t="shared" si="99"/>
        <v>45</v>
      </c>
      <c r="B241" s="1771" t="s">
        <v>1547</v>
      </c>
      <c r="F241" s="139"/>
      <c r="G241" s="155"/>
      <c r="H241" s="155"/>
      <c r="I241" s="155"/>
      <c r="J241" s="155"/>
      <c r="K241" s="155"/>
      <c r="L241" s="155"/>
      <c r="M241" s="155"/>
      <c r="N241" s="155"/>
      <c r="O241" s="155"/>
    </row>
    <row r="242" spans="1:15" ht="14.25">
      <c r="A242" s="120">
        <f>A241+1</f>
        <v>46</v>
      </c>
      <c r="B242" s="1604" t="s">
        <v>1137</v>
      </c>
      <c r="C242" s="1772" t="s">
        <v>424</v>
      </c>
      <c r="D242" s="1772"/>
      <c r="E242" s="1772"/>
      <c r="F242" s="127"/>
      <c r="G242" s="1773"/>
      <c r="H242" s="1773"/>
      <c r="I242" s="1773"/>
      <c r="J242" s="1773"/>
      <c r="K242" s="1772"/>
      <c r="L242" s="1772"/>
      <c r="M242" s="357"/>
      <c r="N242" s="357"/>
      <c r="O242" s="357"/>
    </row>
    <row r="243" spans="1:15" ht="14.25">
      <c r="A243" s="120">
        <f t="shared" si="99"/>
        <v>47</v>
      </c>
      <c r="B243" s="1604" t="s">
        <v>731</v>
      </c>
      <c r="C243" s="1772" t="s">
        <v>1178</v>
      </c>
      <c r="D243" s="1772"/>
      <c r="E243" s="1772"/>
      <c r="F243" s="127"/>
      <c r="G243" s="1773"/>
      <c r="H243" s="1773"/>
      <c r="I243" s="1773"/>
      <c r="J243" s="1773"/>
      <c r="K243" s="1772"/>
      <c r="L243" s="1772"/>
      <c r="M243" s="357"/>
      <c r="N243" s="357"/>
      <c r="O243" s="357"/>
    </row>
    <row r="244" spans="1:15" ht="24.75" customHeight="1">
      <c r="A244" s="120">
        <f t="shared" si="99"/>
        <v>48</v>
      </c>
      <c r="B244" s="1605" t="s">
        <v>732</v>
      </c>
      <c r="C244" s="2212" t="s">
        <v>1179</v>
      </c>
      <c r="D244" s="2213"/>
      <c r="E244" s="2213"/>
      <c r="F244" s="2213"/>
      <c r="G244" s="2213"/>
      <c r="H244" s="2213"/>
      <c r="I244" s="2213"/>
      <c r="J244" s="2213"/>
      <c r="K244" s="2213"/>
      <c r="L244" s="2213"/>
      <c r="M244" s="2213"/>
      <c r="N244" s="2213"/>
      <c r="O244" s="2213"/>
    </row>
    <row r="245" spans="1:15" ht="14.25">
      <c r="A245" s="120">
        <f t="shared" si="99"/>
        <v>49</v>
      </c>
      <c r="B245" s="1604" t="s">
        <v>1644</v>
      </c>
      <c r="C245" s="1772" t="s">
        <v>1180</v>
      </c>
      <c r="D245" s="1772"/>
      <c r="E245" s="1772"/>
      <c r="F245" s="127"/>
      <c r="G245" s="1773"/>
      <c r="H245" s="1773"/>
      <c r="I245" s="1773"/>
      <c r="J245" s="1773"/>
      <c r="K245" s="1772"/>
      <c r="L245" s="1772"/>
      <c r="M245" s="357"/>
      <c r="N245" s="357"/>
      <c r="O245" s="357"/>
    </row>
    <row r="246" spans="1:15" ht="14.25">
      <c r="A246" s="120">
        <f t="shared" si="99"/>
        <v>50</v>
      </c>
      <c r="B246" s="1604" t="s">
        <v>1727</v>
      </c>
      <c r="C246" s="1296" t="s">
        <v>514</v>
      </c>
      <c r="D246" s="1296"/>
      <c r="E246" s="1296"/>
      <c r="F246" s="119"/>
      <c r="G246" s="120"/>
      <c r="H246" s="120"/>
      <c r="I246" s="120"/>
      <c r="J246" s="120"/>
      <c r="K246" s="1296"/>
      <c r="L246" s="1296"/>
    </row>
  </sheetData>
  <customSheetViews>
    <customSheetView guid="{FAA8FFD9-C96B-4A1B-8B9E-B863FD90DDBA}" scale="75" showRuler="0">
      <selection activeCell="P168" sqref="P168:P169"/>
      <rowBreaks count="4" manualBreakCount="4">
        <brk id="30" max="17" man="1"/>
        <brk id="76" max="17" man="1"/>
        <brk id="121" max="17" man="1"/>
        <brk id="167" max="17" man="1"/>
      </rowBreaks>
      <pageMargins left="0.24" right="0" top="1" bottom="0.5" header="0.25" footer="0"/>
      <printOptions gridLines="1"/>
      <pageSetup scale="53" orientation="landscape" r:id="rId1"/>
      <headerFooter alignWithMargins="0">
        <oddFooter>&amp;R&amp;"Arial MT,Bold"&amp;16A-7</oddFooter>
      </headerFooter>
    </customSheetView>
  </customSheetViews>
  <mergeCells count="26">
    <mergeCell ref="C58:E58"/>
    <mergeCell ref="C111:E111"/>
    <mergeCell ref="C163:E163"/>
    <mergeCell ref="C88:O88"/>
    <mergeCell ref="W41:X41"/>
    <mergeCell ref="T41:U41"/>
    <mergeCell ref="H41:I41"/>
    <mergeCell ref="K41:L41"/>
    <mergeCell ref="N41:O41"/>
    <mergeCell ref="Q41:R41"/>
    <mergeCell ref="A6:H6"/>
    <mergeCell ref="B8:E8"/>
    <mergeCell ref="B22:E22"/>
    <mergeCell ref="B28:E28"/>
    <mergeCell ref="B34:E34"/>
    <mergeCell ref="C214:E214"/>
    <mergeCell ref="C193:O193"/>
    <mergeCell ref="C141:L141"/>
    <mergeCell ref="J145:K145"/>
    <mergeCell ref="C244:O244"/>
    <mergeCell ref="AC40:AD40"/>
    <mergeCell ref="J196:K196"/>
    <mergeCell ref="J3:K3"/>
    <mergeCell ref="J40:K40"/>
    <mergeCell ref="S40:T40"/>
    <mergeCell ref="J93:K93"/>
  </mergeCells>
  <phoneticPr fontId="28" type="noConversion"/>
  <printOptions gridLines="1"/>
  <pageMargins left="0.5" right="0.25" top="0.5" bottom="0.5" header="0" footer="0"/>
  <pageSetup scale="52" pageOrder="overThenDown" orientation="landscape" r:id="rId2"/>
  <headerFooter alignWithMargins="0">
    <oddFooter>&amp;R&amp;"Arial MT,Bold"&amp;16A-7</oddFooter>
  </headerFooter>
  <rowBreaks count="3" manualBreakCount="3">
    <brk id="90" max="14" man="1"/>
    <brk id="144" max="14" man="1"/>
    <brk id="195" max="14" man="1"/>
  </rowBreaks>
  <colBreaks count="2" manualBreakCount="2">
    <brk id="15" min="39" max="89" man="1"/>
    <brk id="27" min="39" max="89"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pageSetUpPr fitToPage="1"/>
  </sheetPr>
  <dimension ref="A1:Q67"/>
  <sheetViews>
    <sheetView view="pageBreakPreview" zoomScaleNormal="100" zoomScaleSheetLayoutView="75" workbookViewId="0">
      <selection activeCell="B56" sqref="B56"/>
    </sheetView>
  </sheetViews>
  <sheetFormatPr defaultRowHeight="12.75"/>
  <cols>
    <col min="1" max="1" width="4.21875" style="118" customWidth="1"/>
    <col min="2" max="2" width="4.77734375" style="118" customWidth="1"/>
    <col min="3" max="3" width="10.44140625" style="118" customWidth="1"/>
    <col min="4" max="4" width="11.6640625" style="118" customWidth="1"/>
    <col min="5" max="5" width="9.5546875" style="118" customWidth="1"/>
    <col min="6" max="6" width="7.33203125" style="118" customWidth="1"/>
    <col min="7" max="7" width="14.77734375" style="118" customWidth="1"/>
    <col min="8" max="8" width="12.21875" style="118" customWidth="1"/>
    <col min="9" max="9" width="9.6640625" style="118" customWidth="1"/>
    <col min="10" max="10" width="14.77734375" style="118" customWidth="1"/>
    <col min="11" max="11" width="12.21875" style="118" customWidth="1"/>
    <col min="12" max="12" width="8.88671875" style="118"/>
    <col min="13" max="13" width="14.77734375" style="118" customWidth="1"/>
    <col min="14" max="14" width="12.21875" style="118" customWidth="1"/>
    <col min="15" max="15" width="9.6640625" style="118" customWidth="1"/>
    <col min="16" max="16" width="8.88671875" style="118"/>
    <col min="17" max="17" width="14.44140625" style="118" bestFit="1" customWidth="1"/>
    <col min="18" max="16384" width="8.88671875" style="118"/>
  </cols>
  <sheetData>
    <row r="1" spans="1:17" ht="20.25">
      <c r="A1" s="91" t="s">
        <v>122</v>
      </c>
      <c r="B1" s="116"/>
      <c r="C1" s="116"/>
      <c r="D1" s="116"/>
      <c r="E1" s="116"/>
      <c r="M1" s="1994"/>
    </row>
    <row r="2" spans="1:17" ht="18">
      <c r="A2" s="1423" t="s">
        <v>67</v>
      </c>
      <c r="B2" s="116"/>
      <c r="C2" s="116"/>
      <c r="D2" s="116"/>
      <c r="E2" s="116"/>
    </row>
    <row r="3" spans="1:17" ht="18">
      <c r="A3" s="283" t="str">
        <f>+'Actual Net Rev Req'!$C$6</f>
        <v>For the 12 months ended - December 31, 2012</v>
      </c>
      <c r="B3" s="116"/>
      <c r="C3" s="116"/>
      <c r="D3" s="116"/>
      <c r="E3" s="116"/>
      <c r="N3" s="1098"/>
    </row>
    <row r="4" spans="1:17" ht="18">
      <c r="A4" s="283"/>
      <c r="B4" s="2221" t="s">
        <v>10</v>
      </c>
      <c r="C4" s="2221"/>
      <c r="D4" s="2221"/>
      <c r="E4" s="2221"/>
      <c r="F4" s="2221"/>
      <c r="G4" s="2221"/>
      <c r="H4" s="2221"/>
      <c r="I4" s="2221"/>
      <c r="J4" s="123"/>
      <c r="K4" s="123"/>
      <c r="L4" s="123"/>
      <c r="N4" s="2193" t="s">
        <v>174</v>
      </c>
      <c r="O4" s="2193"/>
    </row>
    <row r="5" spans="1:17" ht="15.75">
      <c r="A5" s="416"/>
      <c r="B5" s="887"/>
      <c r="C5" s="887"/>
      <c r="D5" s="887"/>
      <c r="E5" s="887"/>
      <c r="F5" s="123"/>
      <c r="G5" s="908" t="s">
        <v>1740</v>
      </c>
      <c r="H5" s="913" t="s">
        <v>1741</v>
      </c>
      <c r="I5" s="908" t="s">
        <v>1742</v>
      </c>
      <c r="J5" s="914" t="s">
        <v>1743</v>
      </c>
      <c r="K5" s="914" t="s">
        <v>1744</v>
      </c>
      <c r="N5" s="118" t="s">
        <v>1119</v>
      </c>
    </row>
    <row r="6" spans="1:17" ht="47.25" customHeight="1">
      <c r="A6" s="283"/>
      <c r="B6" s="2222" t="s">
        <v>1653</v>
      </c>
      <c r="C6" s="2223"/>
      <c r="D6" s="2223"/>
      <c r="E6" s="2224"/>
      <c r="F6" s="1012" t="s">
        <v>1066</v>
      </c>
      <c r="G6" s="1010" t="s">
        <v>265</v>
      </c>
      <c r="H6" s="1011" t="s">
        <v>868</v>
      </c>
      <c r="I6" s="1010" t="s">
        <v>18</v>
      </c>
      <c r="J6" s="1012" t="s">
        <v>1449</v>
      </c>
      <c r="K6" s="1012" t="s">
        <v>230</v>
      </c>
    </row>
    <row r="7" spans="1:17" ht="18">
      <c r="A7" s="283"/>
      <c r="B7" s="898"/>
      <c r="C7" s="877"/>
      <c r="D7" s="877"/>
      <c r="E7" s="877"/>
      <c r="F7" s="909"/>
      <c r="G7" s="909"/>
      <c r="H7" s="910"/>
      <c r="I7" s="911" t="s">
        <v>231</v>
      </c>
      <c r="J7" s="912"/>
      <c r="K7" s="878" t="s">
        <v>1565</v>
      </c>
    </row>
    <row r="8" spans="1:17" ht="15">
      <c r="A8" s="879">
        <v>1</v>
      </c>
      <c r="B8" s="893">
        <v>1</v>
      </c>
      <c r="C8" s="887" t="str">
        <f>H13</f>
        <v xml:space="preserve"> LaCygne West Gardner</v>
      </c>
      <c r="D8" s="887"/>
      <c r="E8" s="887"/>
      <c r="F8" s="882" t="s">
        <v>264</v>
      </c>
      <c r="G8" s="889">
        <f>I37</f>
        <v>8588610.5714833029</v>
      </c>
      <c r="H8" s="890">
        <f>'Actual Net Rev Req'!$H$47</f>
        <v>0.22819298110844924</v>
      </c>
      <c r="I8" s="773">
        <f>ROUND(G8*H8,0)</f>
        <v>1959861</v>
      </c>
      <c r="J8" s="892">
        <f>'A-9 (Act. Incentive Projects)'!O25</f>
        <v>0</v>
      </c>
      <c r="K8" s="891">
        <f>I8+J8</f>
        <v>1959861</v>
      </c>
    </row>
    <row r="9" spans="1:17" ht="15">
      <c r="A9" s="879">
        <f>A8+1</f>
        <v>2</v>
      </c>
      <c r="B9" s="893">
        <v>2</v>
      </c>
      <c r="C9" s="887"/>
      <c r="D9" s="887"/>
      <c r="E9" s="887"/>
      <c r="F9" s="894">
        <v>0</v>
      </c>
      <c r="G9" s="889">
        <f>L33</f>
        <v>0</v>
      </c>
      <c r="H9" s="890">
        <f>'Actual Net Rev Req'!$H$47</f>
        <v>0.22819298110844924</v>
      </c>
      <c r="I9" s="773">
        <f>ROUND(G9*H9,0)</f>
        <v>0</v>
      </c>
      <c r="J9" s="892">
        <f>'A-9 (Act. Incentive Projects)'!O26</f>
        <v>0</v>
      </c>
      <c r="K9" s="891">
        <f>I9+J9</f>
        <v>0</v>
      </c>
    </row>
    <row r="10" spans="1:17" ht="15">
      <c r="A10" s="879">
        <f>A9+1</f>
        <v>3</v>
      </c>
      <c r="B10" s="893">
        <v>3</v>
      </c>
      <c r="C10" s="887"/>
      <c r="D10" s="887"/>
      <c r="E10" s="887"/>
      <c r="F10" s="894">
        <f>N13</f>
        <v>0</v>
      </c>
      <c r="G10" s="889">
        <f>O33</f>
        <v>0</v>
      </c>
      <c r="H10" s="430">
        <f>'Actual Net Rev Req'!$H$47</f>
        <v>0.22819298110844924</v>
      </c>
      <c r="I10" s="773">
        <f>ROUND(G10*H10,0)</f>
        <v>0</v>
      </c>
      <c r="J10" s="892">
        <f>'A-9 (Act. Incentive Projects)'!O27</f>
        <v>0</v>
      </c>
      <c r="K10" s="891">
        <f>I10+J10</f>
        <v>0</v>
      </c>
    </row>
    <row r="11" spans="1:17" ht="15">
      <c r="A11" s="879">
        <f>A10+1</f>
        <v>4</v>
      </c>
      <c r="B11" s="903" t="s">
        <v>1018</v>
      </c>
      <c r="C11" s="904"/>
      <c r="D11" s="904"/>
      <c r="E11" s="904"/>
      <c r="F11" s="905"/>
      <c r="G11" s="906">
        <f>SUM(G8:G10)</f>
        <v>8588610.5714833029</v>
      </c>
      <c r="H11" s="906"/>
      <c r="I11" s="906">
        <f>SUM(I8:I10)</f>
        <v>1959861</v>
      </c>
      <c r="J11" s="906">
        <f>SUM(J8:J10)</f>
        <v>0</v>
      </c>
      <c r="K11" s="1319">
        <f>SUM(K8:K10)</f>
        <v>1959861</v>
      </c>
    </row>
    <row r="12" spans="1:17">
      <c r="A12" s="120"/>
      <c r="C12" s="135"/>
      <c r="D12" s="135"/>
      <c r="E12" s="961"/>
    </row>
    <row r="13" spans="1:17" ht="15.75">
      <c r="A13" s="879">
        <f>A12+1</f>
        <v>1</v>
      </c>
      <c r="B13" s="74" t="s">
        <v>117</v>
      </c>
      <c r="G13" s="121" t="s">
        <v>623</v>
      </c>
      <c r="H13" s="522" t="s">
        <v>395</v>
      </c>
      <c r="I13" s="523"/>
      <c r="J13" s="121" t="s">
        <v>623</v>
      </c>
      <c r="K13" s="795" t="s">
        <v>839</v>
      </c>
      <c r="L13" s="523"/>
      <c r="M13" s="121" t="s">
        <v>623</v>
      </c>
      <c r="N13" s="550"/>
      <c r="O13" s="527"/>
    </row>
    <row r="14" spans="1:17" ht="14.25" customHeight="1">
      <c r="A14" s="879">
        <f t="shared" ref="A14:A62" si="0">A13+1</f>
        <v>2</v>
      </c>
      <c r="G14" s="134" t="s">
        <v>632</v>
      </c>
      <c r="H14" s="524"/>
      <c r="I14" s="525"/>
      <c r="J14" s="134" t="s">
        <v>632</v>
      </c>
      <c r="K14" s="524"/>
      <c r="L14" s="525"/>
      <c r="M14" s="134" t="s">
        <v>632</v>
      </c>
      <c r="N14" s="524"/>
      <c r="O14" s="526"/>
    </row>
    <row r="15" spans="1:17" ht="36" customHeight="1">
      <c r="A15" s="879">
        <f t="shared" si="0"/>
        <v>3</v>
      </c>
      <c r="C15" s="88"/>
      <c r="D15" s="88"/>
      <c r="E15" s="88"/>
      <c r="F15" s="88"/>
      <c r="G15" s="1762" t="s">
        <v>1351</v>
      </c>
      <c r="H15" s="1763" t="s">
        <v>1513</v>
      </c>
      <c r="I15" s="1764" t="s">
        <v>1353</v>
      </c>
      <c r="J15" s="1762" t="s">
        <v>1351</v>
      </c>
      <c r="K15" s="1763" t="s">
        <v>1513</v>
      </c>
      <c r="L15" s="1764" t="s">
        <v>1353</v>
      </c>
      <c r="M15" s="1762" t="s">
        <v>1351</v>
      </c>
      <c r="N15" s="1763" t="s">
        <v>1513</v>
      </c>
      <c r="O15" s="1764" t="s">
        <v>1353</v>
      </c>
      <c r="Q15" s="1361"/>
    </row>
    <row r="16" spans="1:17" ht="14.25" customHeight="1">
      <c r="A16" s="879">
        <f t="shared" si="0"/>
        <v>4</v>
      </c>
      <c r="C16" s="88"/>
      <c r="D16" s="88" t="s">
        <v>1354</v>
      </c>
      <c r="E16" s="88" t="s">
        <v>1355</v>
      </c>
      <c r="F16" s="88"/>
      <c r="G16" s="1775">
        <v>10183486</v>
      </c>
      <c r="H16" s="135"/>
      <c r="I16" s="145"/>
      <c r="J16" s="1775">
        <v>0</v>
      </c>
      <c r="K16" s="135"/>
      <c r="L16" s="145"/>
      <c r="M16" s="1775">
        <v>0</v>
      </c>
      <c r="N16" s="135"/>
      <c r="O16" s="145"/>
      <c r="Q16" s="1362"/>
    </row>
    <row r="17" spans="1:17" ht="14.25" customHeight="1">
      <c r="A17" s="879">
        <f t="shared" si="0"/>
        <v>5</v>
      </c>
      <c r="C17" s="88"/>
      <c r="D17" s="88" t="s">
        <v>1356</v>
      </c>
      <c r="E17" s="88" t="s">
        <v>674</v>
      </c>
      <c r="F17" s="88"/>
      <c r="G17" s="1775">
        <v>10183486</v>
      </c>
      <c r="H17" s="177">
        <f>IF('Actual Gross Rev Req'!$H$16=0,0,'Actual Gross Rev Req'!$H$92/'Actual Gross Rev Req'!$H$16)/12</f>
        <v>1.4936180092078701E-3</v>
      </c>
      <c r="I17" s="171">
        <f>+H17*G16</f>
        <v>15210.238086116216</v>
      </c>
      <c r="J17" s="1775">
        <f>J16</f>
        <v>0</v>
      </c>
      <c r="K17" s="177">
        <f>IF('Actual Gross Rev Req'!$H$16=0,0,'Actual Gross Rev Req'!$H$92/'Actual Gross Rev Req'!$H$16)/12</f>
        <v>1.4936180092078701E-3</v>
      </c>
      <c r="L17" s="171">
        <f t="shared" ref="L17:L28" si="1">+K17*J16</f>
        <v>0</v>
      </c>
      <c r="M17" s="1775">
        <f>M16</f>
        <v>0</v>
      </c>
      <c r="N17" s="177">
        <f>IF('Actual Gross Rev Req'!$H$16=0,0,'Actual Gross Rev Req'!$H$92/'Actual Gross Rev Req'!$H$16)/12</f>
        <v>1.4936180092078701E-3</v>
      </c>
      <c r="O17" s="171">
        <f t="shared" ref="O17:O28" si="2">+N17*M16</f>
        <v>0</v>
      </c>
      <c r="Q17" s="1361"/>
    </row>
    <row r="18" spans="1:17" ht="14.25" customHeight="1">
      <c r="A18" s="879">
        <f t="shared" si="0"/>
        <v>6</v>
      </c>
      <c r="C18" s="88"/>
      <c r="D18" s="88" t="s">
        <v>1356</v>
      </c>
      <c r="E18" s="88" t="s">
        <v>1357</v>
      </c>
      <c r="F18" s="135"/>
      <c r="G18" s="1775">
        <v>10183486</v>
      </c>
      <c r="H18" s="177">
        <f>H17</f>
        <v>1.4936180092078701E-3</v>
      </c>
      <c r="I18" s="171">
        <f t="shared" ref="I18:I28" si="3">+H18*G17</f>
        <v>15210.238086116216</v>
      </c>
      <c r="J18" s="1775">
        <f t="shared" ref="J18:K28" si="4">J17</f>
        <v>0</v>
      </c>
      <c r="K18" s="177">
        <f>K17</f>
        <v>1.4936180092078701E-3</v>
      </c>
      <c r="L18" s="171">
        <f t="shared" si="1"/>
        <v>0</v>
      </c>
      <c r="M18" s="1775">
        <f t="shared" ref="M18:N28" si="5">M17</f>
        <v>0</v>
      </c>
      <c r="N18" s="177">
        <f>N17</f>
        <v>1.4936180092078701E-3</v>
      </c>
      <c r="O18" s="171">
        <f t="shared" si="2"/>
        <v>0</v>
      </c>
      <c r="Q18" s="1363"/>
    </row>
    <row r="19" spans="1:17" ht="14.25" customHeight="1">
      <c r="A19" s="879">
        <f t="shared" si="0"/>
        <v>7</v>
      </c>
      <c r="C19" s="1387"/>
      <c r="D19" s="88" t="s">
        <v>1356</v>
      </c>
      <c r="E19" s="88" t="s">
        <v>1358</v>
      </c>
      <c r="F19" s="135"/>
      <c r="G19" s="1775">
        <v>10183486</v>
      </c>
      <c r="H19" s="177">
        <f t="shared" ref="H19:H28" si="6">H18</f>
        <v>1.4936180092078701E-3</v>
      </c>
      <c r="I19" s="171">
        <f t="shared" si="3"/>
        <v>15210.238086116216</v>
      </c>
      <c r="J19" s="1775">
        <f t="shared" si="4"/>
        <v>0</v>
      </c>
      <c r="K19" s="177">
        <f t="shared" si="4"/>
        <v>1.4936180092078701E-3</v>
      </c>
      <c r="L19" s="171">
        <f t="shared" si="1"/>
        <v>0</v>
      </c>
      <c r="M19" s="1775">
        <f t="shared" si="5"/>
        <v>0</v>
      </c>
      <c r="N19" s="177">
        <f t="shared" si="5"/>
        <v>1.4936180092078701E-3</v>
      </c>
      <c r="O19" s="171">
        <f t="shared" si="2"/>
        <v>0</v>
      </c>
      <c r="Q19" s="1361"/>
    </row>
    <row r="20" spans="1:17" ht="14.25" customHeight="1">
      <c r="A20" s="879">
        <f t="shared" si="0"/>
        <v>8</v>
      </c>
      <c r="C20" s="88"/>
      <c r="D20" s="88" t="s">
        <v>1356</v>
      </c>
      <c r="E20" s="88" t="s">
        <v>1359</v>
      </c>
      <c r="F20" s="88"/>
      <c r="G20" s="1775">
        <v>10183486</v>
      </c>
      <c r="H20" s="177">
        <f t="shared" si="6"/>
        <v>1.4936180092078701E-3</v>
      </c>
      <c r="I20" s="171">
        <f t="shared" si="3"/>
        <v>15210.238086116216</v>
      </c>
      <c r="J20" s="1775">
        <f t="shared" si="4"/>
        <v>0</v>
      </c>
      <c r="K20" s="177">
        <f t="shared" si="4"/>
        <v>1.4936180092078701E-3</v>
      </c>
      <c r="L20" s="171">
        <f t="shared" si="1"/>
        <v>0</v>
      </c>
      <c r="M20" s="1775">
        <f t="shared" si="5"/>
        <v>0</v>
      </c>
      <c r="N20" s="177">
        <f t="shared" si="5"/>
        <v>1.4936180092078701E-3</v>
      </c>
      <c r="O20" s="171">
        <f t="shared" si="2"/>
        <v>0</v>
      </c>
      <c r="Q20" s="1364"/>
    </row>
    <row r="21" spans="1:17" ht="14.25" customHeight="1">
      <c r="A21" s="879">
        <f t="shared" si="0"/>
        <v>9</v>
      </c>
      <c r="C21" s="1387"/>
      <c r="D21" s="88" t="s">
        <v>1356</v>
      </c>
      <c r="E21" s="88" t="s">
        <v>1125</v>
      </c>
      <c r="F21" s="88"/>
      <c r="G21" s="1775">
        <v>10183486</v>
      </c>
      <c r="H21" s="177">
        <f t="shared" si="6"/>
        <v>1.4936180092078701E-3</v>
      </c>
      <c r="I21" s="171">
        <f t="shared" si="3"/>
        <v>15210.238086116216</v>
      </c>
      <c r="J21" s="1775">
        <f t="shared" si="4"/>
        <v>0</v>
      </c>
      <c r="K21" s="177">
        <f t="shared" si="4"/>
        <v>1.4936180092078701E-3</v>
      </c>
      <c r="L21" s="171">
        <f t="shared" si="1"/>
        <v>0</v>
      </c>
      <c r="M21" s="1775">
        <f t="shared" si="5"/>
        <v>0</v>
      </c>
      <c r="N21" s="177">
        <f t="shared" si="5"/>
        <v>1.4936180092078701E-3</v>
      </c>
      <c r="O21" s="171">
        <f t="shared" si="2"/>
        <v>0</v>
      </c>
      <c r="Q21" s="1361"/>
    </row>
    <row r="22" spans="1:17" ht="14.25" customHeight="1">
      <c r="A22" s="879">
        <f t="shared" si="0"/>
        <v>10</v>
      </c>
      <c r="C22" s="1387"/>
      <c r="D22" s="88" t="s">
        <v>1356</v>
      </c>
      <c r="E22" s="88" t="s">
        <v>675</v>
      </c>
      <c r="F22" s="88"/>
      <c r="G22" s="1775">
        <v>10183486</v>
      </c>
      <c r="H22" s="177">
        <f t="shared" si="6"/>
        <v>1.4936180092078701E-3</v>
      </c>
      <c r="I22" s="171">
        <f t="shared" si="3"/>
        <v>15210.238086116216</v>
      </c>
      <c r="J22" s="1775">
        <f t="shared" si="4"/>
        <v>0</v>
      </c>
      <c r="K22" s="177">
        <f t="shared" si="4"/>
        <v>1.4936180092078701E-3</v>
      </c>
      <c r="L22" s="171">
        <f t="shared" si="1"/>
        <v>0</v>
      </c>
      <c r="M22" s="1775">
        <f t="shared" si="5"/>
        <v>0</v>
      </c>
      <c r="N22" s="177">
        <f t="shared" si="5"/>
        <v>1.4936180092078701E-3</v>
      </c>
      <c r="O22" s="171">
        <f t="shared" si="2"/>
        <v>0</v>
      </c>
      <c r="Q22" s="1361"/>
    </row>
    <row r="23" spans="1:17" ht="14.25" customHeight="1">
      <c r="A23" s="879">
        <f t="shared" si="0"/>
        <v>11</v>
      </c>
      <c r="C23" s="1387"/>
      <c r="D23" s="88" t="s">
        <v>1356</v>
      </c>
      <c r="E23" s="88" t="s">
        <v>1360</v>
      </c>
      <c r="F23" s="88"/>
      <c r="G23" s="1775">
        <v>10183486</v>
      </c>
      <c r="H23" s="177">
        <f t="shared" si="6"/>
        <v>1.4936180092078701E-3</v>
      </c>
      <c r="I23" s="171">
        <f t="shared" si="3"/>
        <v>15210.238086116216</v>
      </c>
      <c r="J23" s="1775">
        <f t="shared" si="4"/>
        <v>0</v>
      </c>
      <c r="K23" s="177">
        <f t="shared" si="4"/>
        <v>1.4936180092078701E-3</v>
      </c>
      <c r="L23" s="171">
        <f t="shared" si="1"/>
        <v>0</v>
      </c>
      <c r="M23" s="1775">
        <f t="shared" si="5"/>
        <v>0</v>
      </c>
      <c r="N23" s="177">
        <f t="shared" si="5"/>
        <v>1.4936180092078701E-3</v>
      </c>
      <c r="O23" s="171">
        <f t="shared" si="2"/>
        <v>0</v>
      </c>
      <c r="Q23" s="1364"/>
    </row>
    <row r="24" spans="1:17" ht="14.25" customHeight="1">
      <c r="A24" s="879">
        <f t="shared" si="0"/>
        <v>12</v>
      </c>
      <c r="C24" s="1387"/>
      <c r="D24" s="88" t="s">
        <v>1356</v>
      </c>
      <c r="E24" s="88" t="s">
        <v>1361</v>
      </c>
      <c r="F24" s="88"/>
      <c r="G24" s="1775">
        <v>10183486</v>
      </c>
      <c r="H24" s="177">
        <f t="shared" si="6"/>
        <v>1.4936180092078701E-3</v>
      </c>
      <c r="I24" s="171">
        <f t="shared" si="3"/>
        <v>15210.238086116216</v>
      </c>
      <c r="J24" s="1775">
        <f t="shared" si="4"/>
        <v>0</v>
      </c>
      <c r="K24" s="177">
        <f t="shared" si="4"/>
        <v>1.4936180092078701E-3</v>
      </c>
      <c r="L24" s="171">
        <f t="shared" si="1"/>
        <v>0</v>
      </c>
      <c r="M24" s="1775">
        <f t="shared" si="5"/>
        <v>0</v>
      </c>
      <c r="N24" s="177">
        <f t="shared" si="5"/>
        <v>1.4936180092078701E-3</v>
      </c>
      <c r="O24" s="171">
        <f t="shared" si="2"/>
        <v>0</v>
      </c>
      <c r="Q24" s="1361"/>
    </row>
    <row r="25" spans="1:17" ht="14.25" customHeight="1">
      <c r="A25" s="879">
        <f t="shared" si="0"/>
        <v>13</v>
      </c>
      <c r="C25" s="1387"/>
      <c r="D25" s="88" t="s">
        <v>1356</v>
      </c>
      <c r="E25" s="88" t="s">
        <v>1362</v>
      </c>
      <c r="F25" s="88"/>
      <c r="G25" s="1775">
        <v>10183486</v>
      </c>
      <c r="H25" s="177">
        <f t="shared" si="6"/>
        <v>1.4936180092078701E-3</v>
      </c>
      <c r="I25" s="171">
        <f t="shared" si="3"/>
        <v>15210.238086116216</v>
      </c>
      <c r="J25" s="1775">
        <f t="shared" si="4"/>
        <v>0</v>
      </c>
      <c r="K25" s="177">
        <f t="shared" si="4"/>
        <v>1.4936180092078701E-3</v>
      </c>
      <c r="L25" s="171">
        <f t="shared" si="1"/>
        <v>0</v>
      </c>
      <c r="M25" s="1775">
        <f t="shared" si="5"/>
        <v>0</v>
      </c>
      <c r="N25" s="177">
        <f t="shared" si="5"/>
        <v>1.4936180092078701E-3</v>
      </c>
      <c r="O25" s="171">
        <f t="shared" si="2"/>
        <v>0</v>
      </c>
    </row>
    <row r="26" spans="1:17" ht="14.25" customHeight="1">
      <c r="A26" s="879">
        <f t="shared" si="0"/>
        <v>14</v>
      </c>
      <c r="C26" s="1387"/>
      <c r="D26" s="88" t="s">
        <v>1356</v>
      </c>
      <c r="E26" s="88" t="s">
        <v>676</v>
      </c>
      <c r="F26" s="88"/>
      <c r="G26" s="1775">
        <v>10183486</v>
      </c>
      <c r="H26" s="177">
        <f t="shared" si="6"/>
        <v>1.4936180092078701E-3</v>
      </c>
      <c r="I26" s="171">
        <f t="shared" si="3"/>
        <v>15210.238086116216</v>
      </c>
      <c r="J26" s="1775">
        <f t="shared" si="4"/>
        <v>0</v>
      </c>
      <c r="K26" s="177">
        <f t="shared" si="4"/>
        <v>1.4936180092078701E-3</v>
      </c>
      <c r="L26" s="171">
        <f t="shared" si="1"/>
        <v>0</v>
      </c>
      <c r="M26" s="1775">
        <f t="shared" si="5"/>
        <v>0</v>
      </c>
      <c r="N26" s="177">
        <f t="shared" si="5"/>
        <v>1.4936180092078701E-3</v>
      </c>
      <c r="O26" s="171">
        <f t="shared" si="2"/>
        <v>0</v>
      </c>
    </row>
    <row r="27" spans="1:17" ht="14.25" customHeight="1">
      <c r="A27" s="879">
        <f t="shared" si="0"/>
        <v>15</v>
      </c>
      <c r="C27" s="1387"/>
      <c r="D27" s="88" t="s">
        <v>1356</v>
      </c>
      <c r="E27" s="88" t="s">
        <v>1363</v>
      </c>
      <c r="F27" s="88"/>
      <c r="G27" s="1775">
        <v>10183486</v>
      </c>
      <c r="H27" s="177">
        <f t="shared" si="6"/>
        <v>1.4936180092078701E-3</v>
      </c>
      <c r="I27" s="171">
        <f t="shared" si="3"/>
        <v>15210.238086116216</v>
      </c>
      <c r="J27" s="1775">
        <f t="shared" si="4"/>
        <v>0</v>
      </c>
      <c r="K27" s="177">
        <f t="shared" si="4"/>
        <v>1.4936180092078701E-3</v>
      </c>
      <c r="L27" s="171">
        <f t="shared" si="1"/>
        <v>0</v>
      </c>
      <c r="M27" s="1775">
        <f t="shared" si="5"/>
        <v>0</v>
      </c>
      <c r="N27" s="177">
        <f t="shared" si="5"/>
        <v>1.4936180092078701E-3</v>
      </c>
      <c r="O27" s="171">
        <f t="shared" si="2"/>
        <v>0</v>
      </c>
    </row>
    <row r="28" spans="1:17" ht="14.25" customHeight="1">
      <c r="A28" s="879">
        <f t="shared" si="0"/>
        <v>16</v>
      </c>
      <c r="C28" s="1387"/>
      <c r="D28" s="88" t="s">
        <v>1356</v>
      </c>
      <c r="E28" s="88" t="s">
        <v>1355</v>
      </c>
      <c r="F28" s="88"/>
      <c r="G28" s="1775">
        <v>10183486</v>
      </c>
      <c r="H28" s="177">
        <f t="shared" si="6"/>
        <v>1.4936180092078701E-3</v>
      </c>
      <c r="I28" s="929">
        <f t="shared" si="3"/>
        <v>15210.238086116216</v>
      </c>
      <c r="J28" s="1775">
        <f t="shared" si="4"/>
        <v>0</v>
      </c>
      <c r="K28" s="177">
        <f t="shared" si="4"/>
        <v>1.4936180092078701E-3</v>
      </c>
      <c r="L28" s="929">
        <f t="shared" si="1"/>
        <v>0</v>
      </c>
      <c r="M28" s="1775">
        <f t="shared" si="5"/>
        <v>0</v>
      </c>
      <c r="N28" s="177">
        <f t="shared" si="5"/>
        <v>1.4936180092078701E-3</v>
      </c>
      <c r="O28" s="929">
        <f t="shared" si="2"/>
        <v>0</v>
      </c>
    </row>
    <row r="29" spans="1:17" ht="14.25" customHeight="1">
      <c r="A29" s="879">
        <f t="shared" si="0"/>
        <v>17</v>
      </c>
      <c r="C29" s="1387"/>
      <c r="D29" s="1387"/>
      <c r="E29" s="1387"/>
      <c r="F29" s="88"/>
      <c r="G29" s="134"/>
      <c r="H29" s="1550"/>
      <c r="I29" s="171">
        <f>SUM(I17:I28)</f>
        <v>182522.85703339454</v>
      </c>
      <c r="J29" s="134"/>
      <c r="K29" s="1550"/>
      <c r="L29" s="171">
        <f>SUM(L17:L28)</f>
        <v>0</v>
      </c>
      <c r="M29" s="134"/>
      <c r="N29" s="1550"/>
      <c r="O29" s="171">
        <f>SUM(O17:O28)</f>
        <v>0</v>
      </c>
    </row>
    <row r="30" spans="1:17" ht="14.25" customHeight="1">
      <c r="A30" s="879">
        <f t="shared" si="0"/>
        <v>18</v>
      </c>
      <c r="C30" s="2225" t="s">
        <v>54</v>
      </c>
      <c r="D30" s="2225"/>
      <c r="E30" s="2225"/>
      <c r="F30" s="88"/>
      <c r="G30" s="134" t="s">
        <v>1512</v>
      </c>
      <c r="H30" s="1776">
        <f>432013+288008+295785+294601+193207</f>
        <v>1503614</v>
      </c>
      <c r="I30" s="1774"/>
      <c r="J30" s="134" t="s">
        <v>1512</v>
      </c>
      <c r="K30" s="1776">
        <v>0</v>
      </c>
      <c r="L30" s="1774"/>
      <c r="M30" s="134" t="s">
        <v>1512</v>
      </c>
      <c r="N30" s="1776">
        <v>0</v>
      </c>
      <c r="O30" s="1774"/>
    </row>
    <row r="31" spans="1:17">
      <c r="A31" s="879">
        <f t="shared" si="0"/>
        <v>19</v>
      </c>
      <c r="B31" s="117" t="s">
        <v>394</v>
      </c>
      <c r="C31" s="117" t="s">
        <v>1045</v>
      </c>
      <c r="D31" s="117" t="s">
        <v>634</v>
      </c>
      <c r="E31" s="117" t="s">
        <v>265</v>
      </c>
      <c r="F31" s="141" t="s">
        <v>394</v>
      </c>
      <c r="G31" s="568" t="s">
        <v>1045</v>
      </c>
      <c r="H31" s="568" t="s">
        <v>634</v>
      </c>
      <c r="I31" s="568" t="s">
        <v>265</v>
      </c>
      <c r="J31" s="568" t="s">
        <v>1045</v>
      </c>
      <c r="K31" s="568" t="s">
        <v>634</v>
      </c>
      <c r="L31" s="568" t="s">
        <v>265</v>
      </c>
      <c r="M31" s="568" t="s">
        <v>1045</v>
      </c>
      <c r="N31" s="568" t="s">
        <v>634</v>
      </c>
      <c r="O31" s="568" t="s">
        <v>265</v>
      </c>
    </row>
    <row r="32" spans="1:17">
      <c r="A32" s="879">
        <f t="shared" si="0"/>
        <v>20</v>
      </c>
      <c r="G32" s="130"/>
      <c r="H32" s="131"/>
      <c r="I32" s="131"/>
      <c r="J32" s="130"/>
      <c r="K32" s="131"/>
      <c r="L32" s="131"/>
      <c r="M32" s="130"/>
      <c r="N32" s="131"/>
      <c r="O32" s="148"/>
    </row>
    <row r="33" spans="1:15">
      <c r="A33" s="879">
        <f t="shared" si="0"/>
        <v>21</v>
      </c>
      <c r="B33" s="139">
        <v>2008</v>
      </c>
      <c r="C33" s="1001">
        <f>+G33+J33+M33</f>
        <v>10183486</v>
      </c>
      <c r="D33" s="1001">
        <f>+H33+K33+N33</f>
        <v>576017</v>
      </c>
      <c r="E33" s="1001">
        <f>+I33+L33+O33</f>
        <v>9607469</v>
      </c>
      <c r="F33" s="139">
        <f t="shared" ref="F33:F56" si="7">+B33</f>
        <v>2008</v>
      </c>
      <c r="G33" s="2000">
        <v>10183486</v>
      </c>
      <c r="H33" s="1841">
        <v>576017</v>
      </c>
      <c r="I33" s="1402">
        <f>+G33-H33</f>
        <v>9607469</v>
      </c>
      <c r="J33" s="2000">
        <v>0</v>
      </c>
      <c r="K33" s="1841">
        <v>0</v>
      </c>
      <c r="L33" s="89">
        <f>+J33-K33</f>
        <v>0</v>
      </c>
      <c r="M33" s="2000">
        <v>0</v>
      </c>
      <c r="N33" s="1841">
        <v>0</v>
      </c>
      <c r="O33" s="89">
        <f>+M33-N33</f>
        <v>0</v>
      </c>
    </row>
    <row r="34" spans="1:15">
      <c r="A34" s="879">
        <f t="shared" si="0"/>
        <v>22</v>
      </c>
      <c r="B34" s="139">
        <v>2009</v>
      </c>
      <c r="C34" s="1001">
        <f>+G34+J34+M34</f>
        <v>10183486</v>
      </c>
      <c r="D34" s="1001">
        <f>+H34+K34+N34</f>
        <v>867913</v>
      </c>
      <c r="E34" s="1001">
        <f t="shared" ref="E34:E56" si="8">+I34+L34+O34</f>
        <v>9315573</v>
      </c>
      <c r="F34" s="139">
        <f t="shared" si="7"/>
        <v>2009</v>
      </c>
      <c r="G34" s="2000">
        <v>10183486</v>
      </c>
      <c r="H34" s="1841">
        <v>867913</v>
      </c>
      <c r="I34" s="1402">
        <f t="shared" ref="I34:I56" si="9">+G34-H34</f>
        <v>9315573</v>
      </c>
      <c r="J34" s="2000">
        <f>SUM($J$16:$J$28)/13</f>
        <v>0</v>
      </c>
      <c r="K34" s="1841">
        <f>K$30+SUM($L$17*12,$L$18*11,$L$19*10,$L$20*9,$L$21*8,$L$22*7,$L$23*6,$L$24*5,$L$25*4,$L$26*3,$L$27*2,$L$28)/13</f>
        <v>0</v>
      </c>
      <c r="L34" s="89">
        <f t="shared" ref="L34:L56" si="10">+J34-K34</f>
        <v>0</v>
      </c>
      <c r="M34" s="2000">
        <f>SUM($M$16:$M$28)/13</f>
        <v>0</v>
      </c>
      <c r="N34" s="1841">
        <f>$N$30+SUM($O$17*12,$O$18*11,$O$19*10,$O$20*9,$O$21*8,$O$22*7,$O$23*6,$O$24*5,$O$25*4,$O$26*3,$O$27*2,$O$28)/13</f>
        <v>0</v>
      </c>
      <c r="O34" s="89">
        <f t="shared" ref="O34:O56" si="11">+M34-N34</f>
        <v>0</v>
      </c>
    </row>
    <row r="35" spans="1:15">
      <c r="A35" s="879">
        <f t="shared" si="0"/>
        <v>23</v>
      </c>
      <c r="B35" s="139">
        <f t="shared" ref="B35:B56" si="12">+B34+1</f>
        <v>2010</v>
      </c>
      <c r="C35" s="1001">
        <f t="shared" ref="C35:C56" si="13">+G35+J35+M35</f>
        <v>10183486</v>
      </c>
      <c r="D35" s="1001">
        <f t="shared" ref="D35:D56" si="14">+H35+K35+N35</f>
        <v>1163106</v>
      </c>
      <c r="E35" s="1001">
        <f t="shared" si="8"/>
        <v>9020380</v>
      </c>
      <c r="F35" s="139">
        <f t="shared" si="7"/>
        <v>2010</v>
      </c>
      <c r="G35" s="986">
        <f>G34</f>
        <v>10183486</v>
      </c>
      <c r="H35" s="1841">
        <v>1163106</v>
      </c>
      <c r="I35" s="89">
        <f t="shared" si="9"/>
        <v>9020380</v>
      </c>
      <c r="J35" s="986">
        <v>0</v>
      </c>
      <c r="K35" s="90">
        <v>0</v>
      </c>
      <c r="L35" s="89">
        <f t="shared" si="10"/>
        <v>0</v>
      </c>
      <c r="M35" s="986">
        <v>0</v>
      </c>
      <c r="N35" s="90">
        <v>0</v>
      </c>
      <c r="O35" s="89">
        <f t="shared" si="11"/>
        <v>0</v>
      </c>
    </row>
    <row r="36" spans="1:15">
      <c r="A36" s="879">
        <f t="shared" si="0"/>
        <v>24</v>
      </c>
      <c r="B36" s="139">
        <f t="shared" si="12"/>
        <v>2011</v>
      </c>
      <c r="C36" s="1001">
        <f t="shared" si="13"/>
        <v>10183486</v>
      </c>
      <c r="D36" s="1001">
        <f t="shared" si="14"/>
        <v>1407011</v>
      </c>
      <c r="E36" s="1001">
        <f t="shared" si="8"/>
        <v>8776475</v>
      </c>
      <c r="F36" s="139">
        <f t="shared" si="7"/>
        <v>2011</v>
      </c>
      <c r="G36" s="2000">
        <f>ROUND((SUM($G$16:$G$28)/13),0)</f>
        <v>10183486</v>
      </c>
      <c r="H36" s="1841">
        <v>1407011</v>
      </c>
      <c r="I36" s="89">
        <f t="shared" si="9"/>
        <v>8776475</v>
      </c>
      <c r="J36" s="2000">
        <f>ROUND((SUM($J$16:$J$28)/13),0)</f>
        <v>0</v>
      </c>
      <c r="K36" s="90">
        <v>0</v>
      </c>
      <c r="L36" s="89">
        <f t="shared" si="10"/>
        <v>0</v>
      </c>
      <c r="M36" s="2000">
        <f>ROUND((SUM($M$16:$M$28)/13),0)</f>
        <v>0</v>
      </c>
      <c r="N36" s="90">
        <v>0</v>
      </c>
      <c r="O36" s="89">
        <f t="shared" si="11"/>
        <v>0</v>
      </c>
    </row>
    <row r="37" spans="1:15">
      <c r="A37" s="879">
        <f t="shared" si="0"/>
        <v>25</v>
      </c>
      <c r="B37" s="139">
        <f t="shared" si="12"/>
        <v>2012</v>
      </c>
      <c r="C37" s="773">
        <f t="shared" si="13"/>
        <v>10183486</v>
      </c>
      <c r="D37" s="773">
        <f t="shared" si="14"/>
        <v>1594875.4285166974</v>
      </c>
      <c r="E37" s="773">
        <f t="shared" si="8"/>
        <v>8588610.5714833029</v>
      </c>
      <c r="F37" s="139">
        <f t="shared" si="7"/>
        <v>2012</v>
      </c>
      <c r="G37" s="2000">
        <f>ROUND((SUM($G$16:$G$28)/13),0)</f>
        <v>10183486</v>
      </c>
      <c r="H37" s="1841">
        <f>$H$30+SUM($I$17*12,$I$18*11,$I$19*10,$I$20*9,$I$21*8,$I$22*7,$I$23*6,$I$24*5,$I$25*4,$I$26*3,$I$27*2,$I$28)/13</f>
        <v>1594875.4285166974</v>
      </c>
      <c r="I37" s="89">
        <f t="shared" ref="I37" si="15">+G37-H37</f>
        <v>8588610.5714833029</v>
      </c>
      <c r="J37" s="168"/>
      <c r="K37" s="133">
        <v>0</v>
      </c>
      <c r="L37" s="89">
        <f t="shared" si="10"/>
        <v>0</v>
      </c>
      <c r="M37" s="168"/>
      <c r="N37" s="133">
        <v>0</v>
      </c>
      <c r="O37" s="89">
        <f t="shared" si="11"/>
        <v>0</v>
      </c>
    </row>
    <row r="38" spans="1:15">
      <c r="A38" s="879">
        <f t="shared" si="0"/>
        <v>26</v>
      </c>
      <c r="B38" s="127">
        <f t="shared" si="12"/>
        <v>2013</v>
      </c>
      <c r="C38" s="773">
        <f t="shared" si="13"/>
        <v>0</v>
      </c>
      <c r="D38" s="773">
        <f t="shared" si="14"/>
        <v>0</v>
      </c>
      <c r="E38" s="773">
        <f t="shared" si="8"/>
        <v>0</v>
      </c>
      <c r="F38" s="139">
        <f t="shared" si="7"/>
        <v>2013</v>
      </c>
      <c r="G38" s="168"/>
      <c r="H38" s="133">
        <v>0</v>
      </c>
      <c r="I38" s="89">
        <f t="shared" si="9"/>
        <v>0</v>
      </c>
      <c r="J38" s="168"/>
      <c r="K38" s="133">
        <v>0</v>
      </c>
      <c r="L38" s="89">
        <f t="shared" si="10"/>
        <v>0</v>
      </c>
      <c r="M38" s="168"/>
      <c r="N38" s="133">
        <v>0</v>
      </c>
      <c r="O38" s="89">
        <f t="shared" si="11"/>
        <v>0</v>
      </c>
    </row>
    <row r="39" spans="1:15">
      <c r="A39" s="879">
        <f t="shared" si="0"/>
        <v>27</v>
      </c>
      <c r="B39" s="127">
        <f t="shared" si="12"/>
        <v>2014</v>
      </c>
      <c r="C39" s="773">
        <f t="shared" si="13"/>
        <v>0</v>
      </c>
      <c r="D39" s="773">
        <f t="shared" si="14"/>
        <v>0</v>
      </c>
      <c r="E39" s="773">
        <f t="shared" si="8"/>
        <v>0</v>
      </c>
      <c r="F39" s="139">
        <f t="shared" si="7"/>
        <v>2014</v>
      </c>
      <c r="G39" s="168"/>
      <c r="H39" s="133">
        <v>0</v>
      </c>
      <c r="I39" s="89">
        <f t="shared" si="9"/>
        <v>0</v>
      </c>
      <c r="J39" s="168"/>
      <c r="K39" s="133">
        <v>0</v>
      </c>
      <c r="L39" s="89">
        <f t="shared" si="10"/>
        <v>0</v>
      </c>
      <c r="M39" s="168"/>
      <c r="N39" s="133">
        <v>0</v>
      </c>
      <c r="O39" s="89">
        <f t="shared" si="11"/>
        <v>0</v>
      </c>
    </row>
    <row r="40" spans="1:15">
      <c r="A40" s="879">
        <f t="shared" si="0"/>
        <v>28</v>
      </c>
      <c r="B40" s="127">
        <f t="shared" si="12"/>
        <v>2015</v>
      </c>
      <c r="C40" s="773">
        <f t="shared" si="13"/>
        <v>0</v>
      </c>
      <c r="D40" s="773">
        <f t="shared" si="14"/>
        <v>0</v>
      </c>
      <c r="E40" s="773">
        <f t="shared" si="8"/>
        <v>0</v>
      </c>
      <c r="F40" s="139">
        <f t="shared" si="7"/>
        <v>2015</v>
      </c>
      <c r="G40" s="168"/>
      <c r="H40" s="133">
        <v>0</v>
      </c>
      <c r="I40" s="89">
        <f t="shared" si="9"/>
        <v>0</v>
      </c>
      <c r="J40" s="168"/>
      <c r="K40" s="133">
        <v>0</v>
      </c>
      <c r="L40" s="89">
        <f t="shared" si="10"/>
        <v>0</v>
      </c>
      <c r="M40" s="168"/>
      <c r="N40" s="133">
        <v>0</v>
      </c>
      <c r="O40" s="89">
        <f t="shared" si="11"/>
        <v>0</v>
      </c>
    </row>
    <row r="41" spans="1:15">
      <c r="A41" s="879">
        <f t="shared" si="0"/>
        <v>29</v>
      </c>
      <c r="B41" s="127">
        <f t="shared" si="12"/>
        <v>2016</v>
      </c>
      <c r="C41" s="773">
        <f t="shared" si="13"/>
        <v>0</v>
      </c>
      <c r="D41" s="773">
        <f t="shared" si="14"/>
        <v>0</v>
      </c>
      <c r="E41" s="773">
        <f t="shared" si="8"/>
        <v>0</v>
      </c>
      <c r="F41" s="139">
        <f t="shared" si="7"/>
        <v>2016</v>
      </c>
      <c r="G41" s="168"/>
      <c r="H41" s="133">
        <v>0</v>
      </c>
      <c r="I41" s="89">
        <f t="shared" si="9"/>
        <v>0</v>
      </c>
      <c r="J41" s="168"/>
      <c r="K41" s="133">
        <v>0</v>
      </c>
      <c r="L41" s="89">
        <f t="shared" si="10"/>
        <v>0</v>
      </c>
      <c r="M41" s="168"/>
      <c r="N41" s="133">
        <v>0</v>
      </c>
      <c r="O41" s="89">
        <f t="shared" si="11"/>
        <v>0</v>
      </c>
    </row>
    <row r="42" spans="1:15">
      <c r="A42" s="879">
        <f t="shared" si="0"/>
        <v>30</v>
      </c>
      <c r="B42" s="127">
        <f t="shared" si="12"/>
        <v>2017</v>
      </c>
      <c r="C42" s="773">
        <f t="shared" si="13"/>
        <v>0</v>
      </c>
      <c r="D42" s="773">
        <f t="shared" si="14"/>
        <v>0</v>
      </c>
      <c r="E42" s="773">
        <f t="shared" si="8"/>
        <v>0</v>
      </c>
      <c r="F42" s="139">
        <f t="shared" si="7"/>
        <v>2017</v>
      </c>
      <c r="G42" s="168"/>
      <c r="H42" s="133">
        <v>0</v>
      </c>
      <c r="I42" s="89">
        <f t="shared" si="9"/>
        <v>0</v>
      </c>
      <c r="J42" s="168"/>
      <c r="K42" s="133">
        <v>0</v>
      </c>
      <c r="L42" s="89">
        <f t="shared" si="10"/>
        <v>0</v>
      </c>
      <c r="M42" s="168"/>
      <c r="N42" s="133">
        <v>0</v>
      </c>
      <c r="O42" s="89">
        <f t="shared" si="11"/>
        <v>0</v>
      </c>
    </row>
    <row r="43" spans="1:15">
      <c r="A43" s="879">
        <f t="shared" si="0"/>
        <v>31</v>
      </c>
      <c r="B43" s="127">
        <f t="shared" si="12"/>
        <v>2018</v>
      </c>
      <c r="C43" s="773">
        <f t="shared" si="13"/>
        <v>0</v>
      </c>
      <c r="D43" s="773">
        <f t="shared" si="14"/>
        <v>0</v>
      </c>
      <c r="E43" s="773">
        <f t="shared" si="8"/>
        <v>0</v>
      </c>
      <c r="F43" s="139">
        <f t="shared" si="7"/>
        <v>2018</v>
      </c>
      <c r="G43" s="168"/>
      <c r="H43" s="133">
        <v>0</v>
      </c>
      <c r="I43" s="89">
        <f t="shared" si="9"/>
        <v>0</v>
      </c>
      <c r="J43" s="168"/>
      <c r="K43" s="133">
        <v>0</v>
      </c>
      <c r="L43" s="89">
        <f t="shared" si="10"/>
        <v>0</v>
      </c>
      <c r="M43" s="168"/>
      <c r="N43" s="133">
        <v>0</v>
      </c>
      <c r="O43" s="89">
        <f t="shared" si="11"/>
        <v>0</v>
      </c>
    </row>
    <row r="44" spans="1:15">
      <c r="A44" s="879">
        <f t="shared" si="0"/>
        <v>32</v>
      </c>
      <c r="B44" s="127">
        <f t="shared" si="12"/>
        <v>2019</v>
      </c>
      <c r="C44" s="773">
        <f t="shared" si="13"/>
        <v>0</v>
      </c>
      <c r="D44" s="773">
        <f t="shared" si="14"/>
        <v>0</v>
      </c>
      <c r="E44" s="773">
        <f t="shared" si="8"/>
        <v>0</v>
      </c>
      <c r="F44" s="139">
        <f t="shared" si="7"/>
        <v>2019</v>
      </c>
      <c r="G44" s="168"/>
      <c r="H44" s="133">
        <v>0</v>
      </c>
      <c r="I44" s="89">
        <f t="shared" si="9"/>
        <v>0</v>
      </c>
      <c r="J44" s="168"/>
      <c r="K44" s="133">
        <v>0</v>
      </c>
      <c r="L44" s="89">
        <f t="shared" si="10"/>
        <v>0</v>
      </c>
      <c r="M44" s="168"/>
      <c r="N44" s="133">
        <v>0</v>
      </c>
      <c r="O44" s="89">
        <f t="shared" si="11"/>
        <v>0</v>
      </c>
    </row>
    <row r="45" spans="1:15">
      <c r="A45" s="879">
        <f t="shared" si="0"/>
        <v>33</v>
      </c>
      <c r="B45" s="127">
        <f t="shared" si="12"/>
        <v>2020</v>
      </c>
      <c r="C45" s="773">
        <f t="shared" si="13"/>
        <v>0</v>
      </c>
      <c r="D45" s="773">
        <f t="shared" si="14"/>
        <v>0</v>
      </c>
      <c r="E45" s="773">
        <f t="shared" si="8"/>
        <v>0</v>
      </c>
      <c r="F45" s="139">
        <f t="shared" si="7"/>
        <v>2020</v>
      </c>
      <c r="G45" s="168"/>
      <c r="H45" s="133">
        <v>0</v>
      </c>
      <c r="I45" s="89">
        <f t="shared" si="9"/>
        <v>0</v>
      </c>
      <c r="J45" s="168"/>
      <c r="K45" s="133">
        <v>0</v>
      </c>
      <c r="L45" s="89">
        <f t="shared" si="10"/>
        <v>0</v>
      </c>
      <c r="M45" s="168"/>
      <c r="N45" s="133">
        <v>0</v>
      </c>
      <c r="O45" s="89">
        <f t="shared" si="11"/>
        <v>0</v>
      </c>
    </row>
    <row r="46" spans="1:15">
      <c r="A46" s="879">
        <f t="shared" si="0"/>
        <v>34</v>
      </c>
      <c r="B46" s="127">
        <f t="shared" si="12"/>
        <v>2021</v>
      </c>
      <c r="C46" s="773">
        <f t="shared" si="13"/>
        <v>0</v>
      </c>
      <c r="D46" s="773">
        <f t="shared" si="14"/>
        <v>0</v>
      </c>
      <c r="E46" s="773">
        <f t="shared" si="8"/>
        <v>0</v>
      </c>
      <c r="F46" s="139">
        <f t="shared" si="7"/>
        <v>2021</v>
      </c>
      <c r="G46" s="168"/>
      <c r="H46" s="133">
        <v>0</v>
      </c>
      <c r="I46" s="89">
        <f t="shared" si="9"/>
        <v>0</v>
      </c>
      <c r="J46" s="168"/>
      <c r="K46" s="133">
        <v>0</v>
      </c>
      <c r="L46" s="89">
        <f t="shared" si="10"/>
        <v>0</v>
      </c>
      <c r="M46" s="168"/>
      <c r="N46" s="133">
        <v>0</v>
      </c>
      <c r="O46" s="89">
        <f t="shared" si="11"/>
        <v>0</v>
      </c>
    </row>
    <row r="47" spans="1:15">
      <c r="A47" s="879">
        <f t="shared" si="0"/>
        <v>35</v>
      </c>
      <c r="B47" s="127">
        <f t="shared" si="12"/>
        <v>2022</v>
      </c>
      <c r="C47" s="773">
        <f t="shared" si="13"/>
        <v>0</v>
      </c>
      <c r="D47" s="773">
        <f t="shared" si="14"/>
        <v>0</v>
      </c>
      <c r="E47" s="773">
        <f t="shared" si="8"/>
        <v>0</v>
      </c>
      <c r="F47" s="139">
        <f t="shared" si="7"/>
        <v>2022</v>
      </c>
      <c r="G47" s="168"/>
      <c r="H47" s="133">
        <v>0</v>
      </c>
      <c r="I47" s="89">
        <f t="shared" si="9"/>
        <v>0</v>
      </c>
      <c r="J47" s="168"/>
      <c r="K47" s="133">
        <v>0</v>
      </c>
      <c r="L47" s="89">
        <f t="shared" si="10"/>
        <v>0</v>
      </c>
      <c r="M47" s="168"/>
      <c r="N47" s="133">
        <v>0</v>
      </c>
      <c r="O47" s="89">
        <f t="shared" si="11"/>
        <v>0</v>
      </c>
    </row>
    <row r="48" spans="1:15">
      <c r="A48" s="879">
        <f t="shared" si="0"/>
        <v>36</v>
      </c>
      <c r="B48" s="127">
        <f t="shared" si="12"/>
        <v>2023</v>
      </c>
      <c r="C48" s="773">
        <f t="shared" si="13"/>
        <v>0</v>
      </c>
      <c r="D48" s="773">
        <f t="shared" si="14"/>
        <v>0</v>
      </c>
      <c r="E48" s="773">
        <f t="shared" si="8"/>
        <v>0</v>
      </c>
      <c r="F48" s="139">
        <f t="shared" si="7"/>
        <v>2023</v>
      </c>
      <c r="G48" s="168"/>
      <c r="H48" s="133">
        <v>0</v>
      </c>
      <c r="I48" s="89">
        <f t="shared" si="9"/>
        <v>0</v>
      </c>
      <c r="J48" s="168"/>
      <c r="K48" s="133">
        <v>0</v>
      </c>
      <c r="L48" s="89">
        <f t="shared" si="10"/>
        <v>0</v>
      </c>
      <c r="M48" s="168"/>
      <c r="N48" s="133">
        <v>0</v>
      </c>
      <c r="O48" s="89">
        <f t="shared" si="11"/>
        <v>0</v>
      </c>
    </row>
    <row r="49" spans="1:15">
      <c r="A49" s="879">
        <f t="shared" si="0"/>
        <v>37</v>
      </c>
      <c r="B49" s="127">
        <f t="shared" si="12"/>
        <v>2024</v>
      </c>
      <c r="C49" s="773">
        <f t="shared" si="13"/>
        <v>0</v>
      </c>
      <c r="D49" s="773">
        <f t="shared" si="14"/>
        <v>0</v>
      </c>
      <c r="E49" s="773">
        <f t="shared" si="8"/>
        <v>0</v>
      </c>
      <c r="F49" s="139">
        <f t="shared" si="7"/>
        <v>2024</v>
      </c>
      <c r="G49" s="168"/>
      <c r="H49" s="133">
        <v>0</v>
      </c>
      <c r="I49" s="89">
        <f t="shared" si="9"/>
        <v>0</v>
      </c>
      <c r="J49" s="168"/>
      <c r="K49" s="133">
        <v>0</v>
      </c>
      <c r="L49" s="89">
        <f t="shared" si="10"/>
        <v>0</v>
      </c>
      <c r="M49" s="168"/>
      <c r="N49" s="133">
        <v>0</v>
      </c>
      <c r="O49" s="89">
        <f t="shared" si="11"/>
        <v>0</v>
      </c>
    </row>
    <row r="50" spans="1:15">
      <c r="A50" s="879">
        <f t="shared" si="0"/>
        <v>38</v>
      </c>
      <c r="B50" s="127">
        <f t="shared" si="12"/>
        <v>2025</v>
      </c>
      <c r="C50" s="773">
        <f t="shared" si="13"/>
        <v>0</v>
      </c>
      <c r="D50" s="773">
        <f t="shared" si="14"/>
        <v>0</v>
      </c>
      <c r="E50" s="773">
        <f t="shared" si="8"/>
        <v>0</v>
      </c>
      <c r="F50" s="139">
        <f t="shared" si="7"/>
        <v>2025</v>
      </c>
      <c r="G50" s="168"/>
      <c r="H50" s="133">
        <v>0</v>
      </c>
      <c r="I50" s="89">
        <f t="shared" si="9"/>
        <v>0</v>
      </c>
      <c r="J50" s="168"/>
      <c r="K50" s="133">
        <v>0</v>
      </c>
      <c r="L50" s="89">
        <f t="shared" si="10"/>
        <v>0</v>
      </c>
      <c r="M50" s="168"/>
      <c r="N50" s="133">
        <v>0</v>
      </c>
      <c r="O50" s="89">
        <f t="shared" si="11"/>
        <v>0</v>
      </c>
    </row>
    <row r="51" spans="1:15">
      <c r="A51" s="879">
        <f t="shared" si="0"/>
        <v>39</v>
      </c>
      <c r="B51" s="127">
        <f t="shared" si="12"/>
        <v>2026</v>
      </c>
      <c r="C51" s="773">
        <f t="shared" si="13"/>
        <v>0</v>
      </c>
      <c r="D51" s="773">
        <f t="shared" si="14"/>
        <v>0</v>
      </c>
      <c r="E51" s="773">
        <f t="shared" si="8"/>
        <v>0</v>
      </c>
      <c r="F51" s="139">
        <f t="shared" si="7"/>
        <v>2026</v>
      </c>
      <c r="G51" s="168"/>
      <c r="H51" s="133">
        <v>0</v>
      </c>
      <c r="I51" s="89">
        <f t="shared" si="9"/>
        <v>0</v>
      </c>
      <c r="J51" s="168"/>
      <c r="K51" s="133">
        <v>0</v>
      </c>
      <c r="L51" s="89">
        <f t="shared" si="10"/>
        <v>0</v>
      </c>
      <c r="M51" s="168"/>
      <c r="N51" s="133">
        <v>0</v>
      </c>
      <c r="O51" s="89">
        <f t="shared" si="11"/>
        <v>0</v>
      </c>
    </row>
    <row r="52" spans="1:15">
      <c r="A52" s="879">
        <f t="shared" si="0"/>
        <v>40</v>
      </c>
      <c r="B52" s="127">
        <f t="shared" si="12"/>
        <v>2027</v>
      </c>
      <c r="C52" s="773">
        <f t="shared" si="13"/>
        <v>0</v>
      </c>
      <c r="D52" s="773">
        <f t="shared" si="14"/>
        <v>0</v>
      </c>
      <c r="E52" s="773">
        <f t="shared" si="8"/>
        <v>0</v>
      </c>
      <c r="F52" s="139">
        <f t="shared" si="7"/>
        <v>2027</v>
      </c>
      <c r="G52" s="168"/>
      <c r="H52" s="133">
        <v>0</v>
      </c>
      <c r="I52" s="89">
        <f t="shared" si="9"/>
        <v>0</v>
      </c>
      <c r="J52" s="168"/>
      <c r="K52" s="133">
        <v>0</v>
      </c>
      <c r="L52" s="89">
        <f t="shared" si="10"/>
        <v>0</v>
      </c>
      <c r="M52" s="168"/>
      <c r="N52" s="133">
        <v>0</v>
      </c>
      <c r="O52" s="89">
        <f t="shared" si="11"/>
        <v>0</v>
      </c>
    </row>
    <row r="53" spans="1:15">
      <c r="A53" s="879">
        <f t="shared" si="0"/>
        <v>41</v>
      </c>
      <c r="B53" s="127">
        <f t="shared" si="12"/>
        <v>2028</v>
      </c>
      <c r="C53" s="773">
        <f t="shared" si="13"/>
        <v>0</v>
      </c>
      <c r="D53" s="773">
        <f t="shared" si="14"/>
        <v>0</v>
      </c>
      <c r="E53" s="773">
        <f t="shared" si="8"/>
        <v>0</v>
      </c>
      <c r="F53" s="139">
        <f t="shared" si="7"/>
        <v>2028</v>
      </c>
      <c r="G53" s="168"/>
      <c r="H53" s="133">
        <v>0</v>
      </c>
      <c r="I53" s="89">
        <f t="shared" si="9"/>
        <v>0</v>
      </c>
      <c r="J53" s="168"/>
      <c r="K53" s="133">
        <v>0</v>
      </c>
      <c r="L53" s="89">
        <f t="shared" si="10"/>
        <v>0</v>
      </c>
      <c r="M53" s="168"/>
      <c r="N53" s="133">
        <v>0</v>
      </c>
      <c r="O53" s="89">
        <f t="shared" si="11"/>
        <v>0</v>
      </c>
    </row>
    <row r="54" spans="1:15">
      <c r="A54" s="879">
        <f t="shared" si="0"/>
        <v>42</v>
      </c>
      <c r="B54" s="127">
        <f t="shared" si="12"/>
        <v>2029</v>
      </c>
      <c r="C54" s="773">
        <f t="shared" si="13"/>
        <v>0</v>
      </c>
      <c r="D54" s="773">
        <f t="shared" si="14"/>
        <v>0</v>
      </c>
      <c r="E54" s="773">
        <f t="shared" si="8"/>
        <v>0</v>
      </c>
      <c r="F54" s="139">
        <f t="shared" si="7"/>
        <v>2029</v>
      </c>
      <c r="G54" s="168"/>
      <c r="H54" s="133">
        <v>0</v>
      </c>
      <c r="I54" s="89">
        <f t="shared" si="9"/>
        <v>0</v>
      </c>
      <c r="J54" s="168"/>
      <c r="K54" s="133">
        <v>0</v>
      </c>
      <c r="L54" s="89">
        <f t="shared" si="10"/>
        <v>0</v>
      </c>
      <c r="M54" s="168"/>
      <c r="N54" s="133">
        <v>0</v>
      </c>
      <c r="O54" s="89">
        <f t="shared" si="11"/>
        <v>0</v>
      </c>
    </row>
    <row r="55" spans="1:15">
      <c r="A55" s="879">
        <f t="shared" si="0"/>
        <v>43</v>
      </c>
      <c r="B55" s="127">
        <f t="shared" si="12"/>
        <v>2030</v>
      </c>
      <c r="C55" s="773">
        <f t="shared" si="13"/>
        <v>0</v>
      </c>
      <c r="D55" s="773">
        <f t="shared" si="14"/>
        <v>0</v>
      </c>
      <c r="E55" s="773">
        <f t="shared" si="8"/>
        <v>0</v>
      </c>
      <c r="F55" s="139">
        <f t="shared" si="7"/>
        <v>2030</v>
      </c>
      <c r="G55" s="168"/>
      <c r="H55" s="133">
        <v>0</v>
      </c>
      <c r="I55" s="89">
        <f t="shared" si="9"/>
        <v>0</v>
      </c>
      <c r="J55" s="168"/>
      <c r="K55" s="133">
        <v>0</v>
      </c>
      <c r="L55" s="89">
        <f t="shared" si="10"/>
        <v>0</v>
      </c>
      <c r="M55" s="168"/>
      <c r="N55" s="133">
        <v>0</v>
      </c>
      <c r="O55" s="89">
        <f t="shared" si="11"/>
        <v>0</v>
      </c>
    </row>
    <row r="56" spans="1:15">
      <c r="A56" s="879">
        <f t="shared" si="0"/>
        <v>44</v>
      </c>
      <c r="B56" s="127">
        <f t="shared" si="12"/>
        <v>2031</v>
      </c>
      <c r="C56" s="773">
        <f t="shared" si="13"/>
        <v>0</v>
      </c>
      <c r="D56" s="773">
        <f t="shared" si="14"/>
        <v>0</v>
      </c>
      <c r="E56" s="773">
        <f t="shared" si="8"/>
        <v>0</v>
      </c>
      <c r="F56" s="139">
        <f t="shared" si="7"/>
        <v>2031</v>
      </c>
      <c r="G56" s="168"/>
      <c r="H56" s="133">
        <v>0</v>
      </c>
      <c r="I56" s="89">
        <f t="shared" si="9"/>
        <v>0</v>
      </c>
      <c r="J56" s="168"/>
      <c r="K56" s="133">
        <v>0</v>
      </c>
      <c r="L56" s="89">
        <f t="shared" si="10"/>
        <v>0</v>
      </c>
      <c r="M56" s="168"/>
      <c r="N56" s="133">
        <v>0</v>
      </c>
      <c r="O56" s="89">
        <f t="shared" si="11"/>
        <v>0</v>
      </c>
    </row>
    <row r="57" spans="1:15" ht="15.75">
      <c r="A57" s="879">
        <f>A56+1</f>
        <v>45</v>
      </c>
      <c r="B57" s="74" t="s">
        <v>844</v>
      </c>
      <c r="F57" s="119"/>
      <c r="G57" s="120"/>
      <c r="H57" s="120"/>
      <c r="I57" s="120"/>
    </row>
    <row r="58" spans="1:15" ht="15.75">
      <c r="A58" s="879">
        <f t="shared" si="0"/>
        <v>46</v>
      </c>
      <c r="B58" s="289" t="s">
        <v>730</v>
      </c>
      <c r="C58" s="1249" t="s">
        <v>424</v>
      </c>
      <c r="D58" s="88"/>
      <c r="E58" s="88"/>
      <c r="F58" s="139"/>
      <c r="G58" s="344"/>
      <c r="H58" s="344"/>
      <c r="I58" s="344"/>
      <c r="J58" s="88"/>
      <c r="K58" s="88"/>
      <c r="L58" s="88"/>
    </row>
    <row r="59" spans="1:15" ht="15.75">
      <c r="A59" s="879">
        <f t="shared" si="0"/>
        <v>47</v>
      </c>
      <c r="B59" s="289" t="s">
        <v>731</v>
      </c>
      <c r="C59" s="1249" t="s">
        <v>1178</v>
      </c>
      <c r="D59" s="88"/>
      <c r="E59" s="88"/>
      <c r="F59" s="139"/>
      <c r="G59" s="344"/>
      <c r="H59" s="344"/>
      <c r="I59" s="344"/>
      <c r="J59" s="88"/>
      <c r="K59" s="88"/>
      <c r="L59" s="88"/>
    </row>
    <row r="60" spans="1:15" ht="24.75" customHeight="1">
      <c r="A60" s="879">
        <f t="shared" si="0"/>
        <v>48</v>
      </c>
      <c r="B60" s="1606" t="s">
        <v>732</v>
      </c>
      <c r="C60" s="2226" t="s">
        <v>1688</v>
      </c>
      <c r="D60" s="2135"/>
      <c r="E60" s="2135"/>
      <c r="F60" s="2135"/>
      <c r="G60" s="2135"/>
      <c r="H60" s="2135"/>
      <c r="I60" s="2135"/>
      <c r="J60" s="2135"/>
      <c r="K60" s="2135"/>
      <c r="L60" s="2135"/>
      <c r="M60" s="2135"/>
      <c r="N60" s="2135"/>
    </row>
    <row r="61" spans="1:15" ht="15.75">
      <c r="A61" s="879">
        <f t="shared" si="0"/>
        <v>49</v>
      </c>
      <c r="B61" s="289" t="s">
        <v>1644</v>
      </c>
      <c r="C61" s="1249" t="s">
        <v>1068</v>
      </c>
      <c r="D61" s="88"/>
      <c r="E61" s="88"/>
      <c r="F61" s="139"/>
      <c r="G61" s="344"/>
      <c r="H61" s="344"/>
      <c r="I61" s="344"/>
      <c r="J61" s="88"/>
      <c r="K61" s="88"/>
      <c r="L61" s="88"/>
    </row>
    <row r="62" spans="1:15" ht="15.75">
      <c r="A62" s="879">
        <f t="shared" si="0"/>
        <v>50</v>
      </c>
      <c r="B62" s="289" t="s">
        <v>1727</v>
      </c>
      <c r="C62" s="118" t="s">
        <v>514</v>
      </c>
      <c r="F62" s="119"/>
      <c r="G62" s="120"/>
      <c r="H62" s="120"/>
      <c r="I62" s="120"/>
    </row>
    <row r="63" spans="1:15">
      <c r="F63" s="119"/>
      <c r="G63" s="120"/>
      <c r="H63" s="120"/>
      <c r="I63" s="120"/>
    </row>
    <row r="64" spans="1:15">
      <c r="F64" s="119"/>
      <c r="G64" s="120"/>
      <c r="H64" s="120"/>
      <c r="I64" s="120"/>
    </row>
    <row r="65" spans="6:9">
      <c r="F65" s="119"/>
      <c r="G65" s="120"/>
      <c r="H65" s="120"/>
      <c r="I65" s="120"/>
    </row>
    <row r="66" spans="6:9">
      <c r="F66" s="119"/>
      <c r="G66" s="120"/>
      <c r="H66" s="120"/>
      <c r="I66" s="120"/>
    </row>
    <row r="67" spans="6:9">
      <c r="F67" s="119"/>
      <c r="G67" s="120"/>
      <c r="H67" s="120"/>
      <c r="I67" s="120"/>
    </row>
  </sheetData>
  <customSheetViews>
    <customSheetView guid="{FAA8FFD9-C96B-4A1B-8B9E-B863FD90DDBA}" scale="75" showRuler="0">
      <selection activeCell="O4" sqref="O4:O5"/>
      <pageMargins left="0.43" right="0.21" top="0.5" bottom="0.25" header="0" footer="0"/>
      <printOptions gridLines="1"/>
      <pageSetup paperSize="17" scale="60" fitToWidth="4" orientation="landscape" r:id="rId1"/>
      <headerFooter alignWithMargins="0">
        <oddFooter xml:space="preserve">&amp;R&amp;"Arial MT,Bold"&amp;16A-8 </oddFooter>
      </headerFooter>
    </customSheetView>
  </customSheetViews>
  <mergeCells count="5">
    <mergeCell ref="B4:I4"/>
    <mergeCell ref="B6:E6"/>
    <mergeCell ref="C30:E30"/>
    <mergeCell ref="C60:N60"/>
    <mergeCell ref="N4:O4"/>
  </mergeCells>
  <phoneticPr fontId="28" type="noConversion"/>
  <printOptions horizontalCentered="1" gridLines="1"/>
  <pageMargins left="0.5" right="0.5" top="0.5" bottom="0.25" header="0" footer="0"/>
  <pageSetup scale="60" orientation="landscape" r:id="rId2"/>
  <headerFooter alignWithMargins="0">
    <oddFooter xml:space="preserve">&amp;R&amp;"Arial MT,Bold"&amp;16A-8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dimension ref="A1:X339"/>
  <sheetViews>
    <sheetView view="pageBreakPreview" topLeftCell="A14" zoomScale="75" zoomScaleNormal="100" zoomScaleSheetLayoutView="75" workbookViewId="0">
      <selection activeCell="B56" sqref="B56"/>
    </sheetView>
  </sheetViews>
  <sheetFormatPr defaultRowHeight="12.75"/>
  <cols>
    <col min="1" max="1" width="3.109375" style="118" customWidth="1"/>
    <col min="2" max="2" width="3.88671875" style="118" customWidth="1"/>
    <col min="3" max="3" width="6.6640625" style="118" customWidth="1"/>
    <col min="4" max="4" width="10.33203125" style="118" customWidth="1"/>
    <col min="5" max="5" width="10" style="118" customWidth="1"/>
    <col min="6" max="6" width="10.21875" style="118" customWidth="1"/>
    <col min="7" max="7" width="8.21875" style="118" customWidth="1"/>
    <col min="8" max="8" width="4.77734375" style="118" customWidth="1"/>
    <col min="9" max="9" width="9" style="118" customWidth="1"/>
    <col min="10" max="10" width="10.77734375" style="118" customWidth="1"/>
    <col min="11" max="11" width="10.21875" style="118" customWidth="1"/>
    <col min="12" max="12" width="11.33203125" style="118" customWidth="1"/>
    <col min="13" max="13" width="8.5546875" style="118" customWidth="1"/>
    <col min="14" max="14" width="9.44140625" style="118" customWidth="1"/>
    <col min="15" max="15" width="12.109375" style="118" customWidth="1"/>
    <col min="16" max="16" width="10.109375" style="118" customWidth="1"/>
    <col min="17" max="17" width="9.88671875" style="118" customWidth="1"/>
    <col min="18" max="18" width="6.88671875" style="118" customWidth="1"/>
    <col min="19" max="19" width="6.44140625" style="118" customWidth="1"/>
    <col min="20" max="20" width="13.109375" style="118" customWidth="1"/>
    <col min="21" max="21" width="9.88671875" style="118" customWidth="1"/>
    <col min="22" max="22" width="10.33203125" style="118" customWidth="1"/>
    <col min="23" max="23" width="7.88671875" style="118" customWidth="1"/>
    <col min="24" max="16384" width="8.88671875" style="118"/>
  </cols>
  <sheetData>
    <row r="1" spans="1:22" ht="20.25">
      <c r="A1" s="91" t="s">
        <v>123</v>
      </c>
      <c r="B1" s="91"/>
      <c r="C1" s="91"/>
      <c r="D1" s="91"/>
      <c r="E1" s="91"/>
      <c r="F1" s="91"/>
    </row>
    <row r="2" spans="1:22" ht="18">
      <c r="A2" s="1423" t="s">
        <v>73</v>
      </c>
      <c r="B2" s="92"/>
      <c r="C2" s="92"/>
      <c r="D2" s="92"/>
      <c r="E2" s="92"/>
      <c r="F2" s="92"/>
      <c r="T2" s="2193"/>
      <c r="U2" s="2193"/>
    </row>
    <row r="3" spans="1:22" ht="15.75">
      <c r="A3" s="116" t="str">
        <f>+'Actual Net Rev Req'!$C$6</f>
        <v>For the 12 months ended - December 31, 2012</v>
      </c>
      <c r="B3" s="116"/>
      <c r="C3" s="116"/>
      <c r="D3" s="116"/>
      <c r="E3" s="116"/>
      <c r="F3" s="116"/>
      <c r="S3" s="2193" t="s">
        <v>175</v>
      </c>
      <c r="T3" s="2193"/>
    </row>
    <row r="4" spans="1:22" ht="12.75" customHeight="1">
      <c r="A4" s="116"/>
      <c r="B4" s="116"/>
      <c r="C4" s="116"/>
      <c r="D4" s="116"/>
      <c r="E4" s="116"/>
      <c r="F4" s="116"/>
    </row>
    <row r="5" spans="1:22" ht="16.5" customHeight="1">
      <c r="A5" s="2230" t="s">
        <v>1566</v>
      </c>
      <c r="B5" s="2230"/>
      <c r="C5" s="2230"/>
      <c r="D5" s="2230"/>
      <c r="E5" s="2230"/>
      <c r="F5" s="2230"/>
      <c r="G5" s="2230"/>
      <c r="H5" s="2230"/>
      <c r="I5" s="2230"/>
      <c r="J5" s="2230"/>
      <c r="T5" s="1098"/>
    </row>
    <row r="6" spans="1:22" ht="21" customHeight="1">
      <c r="T6" s="1100"/>
      <c r="V6" s="76" t="s">
        <v>1243</v>
      </c>
    </row>
    <row r="7" spans="1:22" ht="12.75" hidden="1" customHeight="1">
      <c r="A7" s="74"/>
      <c r="B7" s="116"/>
      <c r="C7" s="116"/>
      <c r="D7" s="116"/>
      <c r="E7" s="116"/>
      <c r="F7" s="116"/>
      <c r="J7" s="88"/>
    </row>
    <row r="8" spans="1:22" ht="72.75" customHeight="1">
      <c r="A8" s="283"/>
      <c r="B8" s="2231" t="s">
        <v>1567</v>
      </c>
      <c r="C8" s="2232"/>
      <c r="D8" s="2232"/>
      <c r="E8" s="2232"/>
      <c r="F8" s="2233"/>
      <c r="G8" s="1085" t="s">
        <v>1403</v>
      </c>
      <c r="H8" s="1086"/>
      <c r="I8" s="35" t="s">
        <v>137</v>
      </c>
      <c r="J8" s="1087" t="s">
        <v>742</v>
      </c>
      <c r="K8" s="1087" t="s">
        <v>1737</v>
      </c>
      <c r="L8" s="1087" t="s">
        <v>656</v>
      </c>
      <c r="M8" s="1087" t="s">
        <v>739</v>
      </c>
      <c r="N8" s="1085" t="s">
        <v>740</v>
      </c>
      <c r="O8" s="1085" t="s">
        <v>741</v>
      </c>
    </row>
    <row r="9" spans="1:22" ht="12.75" customHeight="1">
      <c r="A9" s="879">
        <v>1</v>
      </c>
      <c r="B9" s="893">
        <v>1</v>
      </c>
      <c r="C9" s="880"/>
      <c r="D9" s="881"/>
      <c r="E9" s="881"/>
      <c r="F9" s="881"/>
      <c r="G9" s="882"/>
      <c r="H9" s="123"/>
      <c r="I9" s="883">
        <f>$I71</f>
        <v>0</v>
      </c>
      <c r="J9" s="889">
        <f>('Actual Gross Rev Req'!$M$217*I9)*(1+'Actual Gross Rev Req'!$H$110)</f>
        <v>0</v>
      </c>
      <c r="K9" s="883">
        <f>$L$71</f>
        <v>0</v>
      </c>
      <c r="L9" s="890">
        <f>M51</f>
        <v>0</v>
      </c>
      <c r="M9" s="890">
        <f>M52</f>
        <v>0.63412352476290834</v>
      </c>
      <c r="N9" s="883">
        <f>K9*L9*(1+M9)</f>
        <v>0</v>
      </c>
      <c r="O9" s="891">
        <f>$J9+$N9</f>
        <v>0</v>
      </c>
      <c r="Q9" s="890"/>
      <c r="R9" s="88"/>
    </row>
    <row r="10" spans="1:22" ht="12.75" customHeight="1">
      <c r="A10" s="879">
        <f>A9+1</f>
        <v>2</v>
      </c>
      <c r="B10" s="893">
        <v>2</v>
      </c>
      <c r="C10" s="880"/>
      <c r="D10" s="887"/>
      <c r="E10" s="887"/>
      <c r="F10" s="887"/>
      <c r="G10" s="888"/>
      <c r="H10" s="123"/>
      <c r="I10" s="889">
        <f>$N71</f>
        <v>0</v>
      </c>
      <c r="J10" s="889">
        <f>('Actual Gross Rev Req'!$M$217*I10)*(1+'Actual Gross Rev Req'!$H$110)</f>
        <v>0</v>
      </c>
      <c r="K10" s="889">
        <f>$Q$71</f>
        <v>0</v>
      </c>
      <c r="L10" s="890">
        <f>R51</f>
        <v>0</v>
      </c>
      <c r="M10" s="890">
        <f>R52</f>
        <v>0.63412352476290834</v>
      </c>
      <c r="N10" s="889">
        <f>K10*L10*(1+M10)</f>
        <v>0</v>
      </c>
      <c r="O10" s="891">
        <f>$J10+$N10</f>
        <v>0</v>
      </c>
      <c r="Q10" s="1591"/>
      <c r="R10" s="88"/>
    </row>
    <row r="11" spans="1:22" ht="12.75" customHeight="1">
      <c r="A11" s="879">
        <f>A10+1</f>
        <v>3</v>
      </c>
      <c r="B11" s="930"/>
      <c r="C11" s="931"/>
      <c r="D11" s="932"/>
      <c r="E11" s="932"/>
      <c r="F11" s="932"/>
      <c r="G11" s="165"/>
      <c r="H11" s="165"/>
      <c r="I11" s="933">
        <f>$S71</f>
        <v>0</v>
      </c>
      <c r="J11" s="1308">
        <f>('Actual Gross Rev Req'!$M$217*I11)*(1+'Actual Gross Rev Req'!$H$110)</f>
        <v>0</v>
      </c>
      <c r="K11" s="933">
        <f>$V$71</f>
        <v>0</v>
      </c>
      <c r="L11" s="934">
        <f>W51</f>
        <v>0</v>
      </c>
      <c r="M11" s="934">
        <f>W52</f>
        <v>0.63412352476290834</v>
      </c>
      <c r="N11" s="933">
        <f>K11*L11*(1+M11)</f>
        <v>0</v>
      </c>
      <c r="O11" s="935">
        <f>$J11+$N11</f>
        <v>0</v>
      </c>
      <c r="Q11" s="88"/>
      <c r="R11" s="88"/>
    </row>
    <row r="12" spans="1:22" ht="12.75" customHeight="1">
      <c r="A12" s="879">
        <f>A11+1</f>
        <v>4</v>
      </c>
      <c r="B12" s="896" t="s">
        <v>54</v>
      </c>
      <c r="C12" s="897"/>
      <c r="D12" s="897"/>
      <c r="E12" s="897"/>
      <c r="F12" s="897"/>
      <c r="G12" s="248"/>
      <c r="H12" s="248"/>
      <c r="I12" s="907">
        <f>SUM(I9:I11)</f>
        <v>0</v>
      </c>
      <c r="J12" s="963">
        <f>SUM(J9:J11)</f>
        <v>0</v>
      </c>
      <c r="K12" s="907">
        <f>SUM(K9:K11)</f>
        <v>0</v>
      </c>
      <c r="L12" s="895"/>
      <c r="M12" s="895"/>
      <c r="N12" s="907">
        <f>SUM(N9:N11)</f>
        <v>0</v>
      </c>
      <c r="O12" s="907">
        <f>SUM(O9:O11)</f>
        <v>0</v>
      </c>
    </row>
    <row r="13" spans="1:22" ht="12.75" customHeight="1">
      <c r="A13" s="879"/>
      <c r="B13" s="116"/>
      <c r="C13" s="116"/>
      <c r="D13" s="116"/>
      <c r="E13" s="116"/>
      <c r="F13" s="116"/>
      <c r="I13" s="773"/>
      <c r="J13" s="88"/>
      <c r="K13" s="88"/>
      <c r="L13" s="88"/>
      <c r="M13" s="88"/>
      <c r="N13" s="88"/>
      <c r="O13" s="88"/>
    </row>
    <row r="14" spans="1:22" ht="71.25" customHeight="1">
      <c r="A14" s="879"/>
      <c r="B14" s="2231" t="s">
        <v>657</v>
      </c>
      <c r="C14" s="2232"/>
      <c r="D14" s="2232"/>
      <c r="E14" s="2232"/>
      <c r="F14" s="2233"/>
      <c r="G14" s="1085" t="s">
        <v>1403</v>
      </c>
      <c r="H14" s="1086"/>
      <c r="I14" s="1088" t="s">
        <v>137</v>
      </c>
      <c r="J14" s="1087" t="s">
        <v>742</v>
      </c>
      <c r="K14" s="1087" t="s">
        <v>1737</v>
      </c>
      <c r="L14" s="1087" t="s">
        <v>656</v>
      </c>
      <c r="M14" s="1087" t="s">
        <v>739</v>
      </c>
      <c r="N14" s="1085" t="s">
        <v>740</v>
      </c>
      <c r="O14" s="1085" t="s">
        <v>741</v>
      </c>
    </row>
    <row r="15" spans="1:22" ht="12.75" customHeight="1">
      <c r="A15" s="879">
        <f>A12+1</f>
        <v>5</v>
      </c>
      <c r="B15" s="893">
        <v>1</v>
      </c>
      <c r="C15" s="880"/>
      <c r="D15" s="887"/>
      <c r="E15" s="887"/>
      <c r="F15" s="887"/>
      <c r="G15" s="894"/>
      <c r="H15" s="123"/>
      <c r="I15" s="883">
        <f>$I119</f>
        <v>0</v>
      </c>
      <c r="J15" s="889">
        <f>('Actual Gross Rev Req'!$M$217*I15)*(1+'Actual Gross Rev Req'!$H$110)</f>
        <v>0</v>
      </c>
      <c r="K15" s="883">
        <f>$L$119</f>
        <v>0</v>
      </c>
      <c r="L15" s="890">
        <f>M99</f>
        <v>0</v>
      </c>
      <c r="M15" s="890">
        <f>M100</f>
        <v>0.63412352476290834</v>
      </c>
      <c r="N15" s="883">
        <f t="shared" ref="N15:N21" si="0">K15*L15*(1+M15)</f>
        <v>0</v>
      </c>
      <c r="O15" s="891">
        <f t="shared" ref="O15:O21" si="1">$J15+$N15</f>
        <v>0</v>
      </c>
    </row>
    <row r="16" spans="1:22" ht="12.75" customHeight="1">
      <c r="A16" s="879">
        <f t="shared" ref="A16:A22" si="2">A15+1</f>
        <v>6</v>
      </c>
      <c r="B16" s="893">
        <v>2</v>
      </c>
      <c r="C16" s="880"/>
      <c r="D16" s="887"/>
      <c r="E16" s="887"/>
      <c r="F16" s="887"/>
      <c r="G16" s="894"/>
      <c r="H16" s="123"/>
      <c r="I16" s="889">
        <f>$N119</f>
        <v>0</v>
      </c>
      <c r="J16" s="889">
        <f>('Actual Gross Rev Req'!$M$217*I16)*(1+'Actual Gross Rev Req'!$H$110)</f>
        <v>0</v>
      </c>
      <c r="K16" s="889">
        <f>$Q$119</f>
        <v>0</v>
      </c>
      <c r="L16" s="890">
        <f>R99</f>
        <v>0</v>
      </c>
      <c r="M16" s="890">
        <f>R100</f>
        <v>0.63412352476290834</v>
      </c>
      <c r="N16" s="889">
        <f t="shared" si="0"/>
        <v>0</v>
      </c>
      <c r="O16" s="889">
        <f t="shared" si="1"/>
        <v>0</v>
      </c>
    </row>
    <row r="17" spans="1:15" ht="12.75" customHeight="1">
      <c r="A17" s="879">
        <f t="shared" si="2"/>
        <v>7</v>
      </c>
      <c r="B17" s="893">
        <f>B16+1</f>
        <v>3</v>
      </c>
      <c r="C17" s="880"/>
      <c r="D17" s="887"/>
      <c r="E17" s="887"/>
      <c r="F17" s="887"/>
      <c r="G17" s="894"/>
      <c r="H17" s="135"/>
      <c r="I17" s="889"/>
      <c r="J17" s="889"/>
      <c r="K17" s="889"/>
      <c r="L17" s="890">
        <f>W95</f>
        <v>0</v>
      </c>
      <c r="M17" s="890">
        <f>W96</f>
        <v>0</v>
      </c>
      <c r="N17" s="889">
        <f t="shared" si="0"/>
        <v>0</v>
      </c>
      <c r="O17" s="889">
        <f t="shared" si="1"/>
        <v>0</v>
      </c>
    </row>
    <row r="18" spans="1:15" ht="12.75" customHeight="1">
      <c r="A18" s="879">
        <f t="shared" si="2"/>
        <v>8</v>
      </c>
      <c r="B18" s="893">
        <f>B17+1</f>
        <v>4</v>
      </c>
      <c r="C18" s="880"/>
      <c r="D18" s="887"/>
      <c r="E18" s="887"/>
      <c r="F18" s="887"/>
      <c r="G18" s="894"/>
      <c r="H18" s="135"/>
      <c r="I18" s="889"/>
      <c r="J18" s="889"/>
      <c r="K18" s="889"/>
      <c r="L18" s="890">
        <f>W96</f>
        <v>0</v>
      </c>
      <c r="M18" s="890">
        <f>W97</f>
        <v>0</v>
      </c>
      <c r="N18" s="889">
        <f t="shared" si="0"/>
        <v>0</v>
      </c>
      <c r="O18" s="889">
        <f t="shared" si="1"/>
        <v>0</v>
      </c>
    </row>
    <row r="19" spans="1:15" ht="12.75" customHeight="1">
      <c r="A19" s="879">
        <f t="shared" si="2"/>
        <v>9</v>
      </c>
      <c r="B19" s="893">
        <f>B18+1</f>
        <v>5</v>
      </c>
      <c r="C19" s="880"/>
      <c r="D19" s="887"/>
      <c r="E19" s="887"/>
      <c r="F19" s="887"/>
      <c r="G19" s="894"/>
      <c r="H19" s="135"/>
      <c r="I19" s="889"/>
      <c r="J19" s="889"/>
      <c r="K19" s="889"/>
      <c r="L19" s="890">
        <f>W97</f>
        <v>0</v>
      </c>
      <c r="M19" s="890">
        <f>W98</f>
        <v>0</v>
      </c>
      <c r="N19" s="889">
        <f t="shared" si="0"/>
        <v>0</v>
      </c>
      <c r="O19" s="889">
        <f t="shared" si="1"/>
        <v>0</v>
      </c>
    </row>
    <row r="20" spans="1:15" ht="12.75" customHeight="1">
      <c r="A20" s="879">
        <f t="shared" si="2"/>
        <v>10</v>
      </c>
      <c r="B20" s="893">
        <f>B19+1</f>
        <v>6</v>
      </c>
      <c r="C20" s="880"/>
      <c r="D20" s="887"/>
      <c r="E20" s="887"/>
      <c r="F20" s="887"/>
      <c r="G20" s="894"/>
      <c r="H20" s="135"/>
      <c r="I20" s="889"/>
      <c r="J20" s="889"/>
      <c r="K20" s="889"/>
      <c r="L20" s="890">
        <f>W98</f>
        <v>0</v>
      </c>
      <c r="M20" s="890">
        <f>W99</f>
        <v>0</v>
      </c>
      <c r="N20" s="889">
        <f t="shared" si="0"/>
        <v>0</v>
      </c>
      <c r="O20" s="889">
        <f t="shared" si="1"/>
        <v>0</v>
      </c>
    </row>
    <row r="21" spans="1:15" ht="12.75" customHeight="1">
      <c r="A21" s="879">
        <f t="shared" si="2"/>
        <v>11</v>
      </c>
      <c r="B21" s="930">
        <f>B20+1</f>
        <v>7</v>
      </c>
      <c r="C21" s="931"/>
      <c r="D21" s="932"/>
      <c r="E21" s="932"/>
      <c r="F21" s="932"/>
      <c r="G21" s="936"/>
      <c r="H21" s="165"/>
      <c r="I21" s="933">
        <f>$S119</f>
        <v>0</v>
      </c>
      <c r="J21" s="933">
        <f>('Actual Gross Rev Req'!$M$217*I21)*(1+'Actual Gross Rev Req'!$H$110)</f>
        <v>0</v>
      </c>
      <c r="K21" s="933">
        <f>$V$119</f>
        <v>0</v>
      </c>
      <c r="L21" s="934">
        <f>W99</f>
        <v>0</v>
      </c>
      <c r="M21" s="934">
        <f>W100</f>
        <v>0.63412352476290834</v>
      </c>
      <c r="N21" s="933">
        <f t="shared" si="0"/>
        <v>0</v>
      </c>
      <c r="O21" s="935">
        <f t="shared" si="1"/>
        <v>0</v>
      </c>
    </row>
    <row r="22" spans="1:15" ht="12.75" customHeight="1">
      <c r="A22" s="879">
        <f t="shared" si="2"/>
        <v>12</v>
      </c>
      <c r="B22" s="896" t="s">
        <v>54</v>
      </c>
      <c r="C22" s="897"/>
      <c r="D22" s="897"/>
      <c r="E22" s="897"/>
      <c r="F22" s="897"/>
      <c r="G22" s="915"/>
      <c r="H22" s="248"/>
      <c r="I22" s="907">
        <f>SUM(I15:I21)</f>
        <v>0</v>
      </c>
      <c r="J22" s="907">
        <f>SUM(J15:J21)</f>
        <v>0</v>
      </c>
      <c r="K22" s="907">
        <f>SUM(K15:K21)</f>
        <v>0</v>
      </c>
      <c r="L22" s="895"/>
      <c r="M22" s="895"/>
      <c r="N22" s="907">
        <f>SUM(N15:N21)</f>
        <v>0</v>
      </c>
      <c r="O22" s="907">
        <f>SUM(O15:O21)</f>
        <v>0</v>
      </c>
    </row>
    <row r="23" spans="1:15" ht="12.75" customHeight="1">
      <c r="A23" s="879"/>
      <c r="B23" s="887"/>
      <c r="C23" s="887"/>
      <c r="D23" s="887"/>
      <c r="E23" s="887"/>
      <c r="F23" s="887"/>
      <c r="G23" s="916"/>
      <c r="H23" s="123"/>
      <c r="I23" s="901"/>
      <c r="J23" s="88"/>
      <c r="K23" s="889"/>
      <c r="L23" s="889"/>
      <c r="M23" s="889"/>
      <c r="N23" s="889"/>
      <c r="O23" s="88"/>
    </row>
    <row r="24" spans="1:15" ht="66.75" customHeight="1">
      <c r="A24" s="879"/>
      <c r="B24" s="2227" t="s">
        <v>658</v>
      </c>
      <c r="C24" s="2228"/>
      <c r="D24" s="2228"/>
      <c r="E24" s="2228"/>
      <c r="F24" s="2229"/>
      <c r="G24" s="1085" t="s">
        <v>1403</v>
      </c>
      <c r="H24" s="1086"/>
      <c r="I24" s="1088" t="s">
        <v>137</v>
      </c>
      <c r="J24" s="1087" t="s">
        <v>742</v>
      </c>
      <c r="K24" s="1087" t="s">
        <v>1737</v>
      </c>
      <c r="L24" s="1087" t="s">
        <v>656</v>
      </c>
      <c r="M24" s="1087" t="s">
        <v>739</v>
      </c>
      <c r="N24" s="1085" t="s">
        <v>740</v>
      </c>
      <c r="O24" s="1085" t="s">
        <v>741</v>
      </c>
    </row>
    <row r="25" spans="1:15" ht="12.75" customHeight="1">
      <c r="A25" s="879">
        <f>A22+1</f>
        <v>13</v>
      </c>
      <c r="B25" s="893">
        <v>1</v>
      </c>
      <c r="C25" s="880"/>
      <c r="D25" s="887"/>
      <c r="E25" s="887"/>
      <c r="F25" s="887"/>
      <c r="G25" s="894"/>
      <c r="H25" s="123"/>
      <c r="I25" s="883">
        <f>$I167</f>
        <v>0</v>
      </c>
      <c r="J25" s="889">
        <f>('Actual Gross Rev Req'!$M$217*I25)*(1+'Actual Gross Rev Req'!$H$110)</f>
        <v>0</v>
      </c>
      <c r="K25" s="883">
        <f>$L$167</f>
        <v>0</v>
      </c>
      <c r="L25" s="890">
        <f>M147</f>
        <v>0</v>
      </c>
      <c r="M25" s="890">
        <f>M148</f>
        <v>0.63412352476290834</v>
      </c>
      <c r="N25" s="883">
        <f>K25*L25*(1+M25)</f>
        <v>0</v>
      </c>
      <c r="O25" s="891">
        <f>$J25+$N25</f>
        <v>0</v>
      </c>
    </row>
    <row r="26" spans="1:15" ht="12.75" customHeight="1">
      <c r="A26" s="879">
        <f>A25+1</f>
        <v>14</v>
      </c>
      <c r="B26" s="893">
        <v>2</v>
      </c>
      <c r="C26" s="880"/>
      <c r="D26" s="887"/>
      <c r="E26" s="887"/>
      <c r="F26" s="887"/>
      <c r="G26" s="894"/>
      <c r="H26" s="123"/>
      <c r="I26" s="889">
        <f>$N167</f>
        <v>0</v>
      </c>
      <c r="J26" s="889">
        <f>('Actual Gross Rev Req'!$M$217*I26)*(1+'Actual Gross Rev Req'!$H$110)</f>
        <v>0</v>
      </c>
      <c r="K26" s="889">
        <f>$Q$167</f>
        <v>0</v>
      </c>
      <c r="L26" s="890">
        <f>R147</f>
        <v>0</v>
      </c>
      <c r="M26" s="890">
        <f>R148</f>
        <v>0.63412352476290834</v>
      </c>
      <c r="N26" s="889">
        <f>K26*L26*(1+M26)</f>
        <v>0</v>
      </c>
      <c r="O26" s="891">
        <f>$J26+$N26</f>
        <v>0</v>
      </c>
    </row>
    <row r="27" spans="1:15" ht="12.75" customHeight="1">
      <c r="A27" s="879">
        <f>A26+1</f>
        <v>15</v>
      </c>
      <c r="B27" s="930"/>
      <c r="C27" s="931"/>
      <c r="D27" s="932"/>
      <c r="E27" s="932"/>
      <c r="F27" s="932"/>
      <c r="G27" s="936"/>
      <c r="H27" s="165"/>
      <c r="I27" s="933">
        <f>$S167</f>
        <v>0</v>
      </c>
      <c r="J27" s="1308">
        <f>('Actual Gross Rev Req'!$M$217*I27)*(1+'Actual Gross Rev Req'!$H$110)</f>
        <v>0</v>
      </c>
      <c r="K27" s="933">
        <f>$V$167</f>
        <v>0</v>
      </c>
      <c r="L27" s="934">
        <f>W147</f>
        <v>0</v>
      </c>
      <c r="M27" s="934">
        <f>W148</f>
        <v>0.63412352476290834</v>
      </c>
      <c r="N27" s="933">
        <f>K27*L27*(1+M27)</f>
        <v>0</v>
      </c>
      <c r="O27" s="935">
        <f>$J27+$N27</f>
        <v>0</v>
      </c>
    </row>
    <row r="28" spans="1:15" ht="12.75" customHeight="1">
      <c r="A28" s="879">
        <f>A27+1</f>
        <v>16</v>
      </c>
      <c r="B28" s="896" t="s">
        <v>54</v>
      </c>
      <c r="C28" s="897"/>
      <c r="D28" s="897"/>
      <c r="E28" s="897"/>
      <c r="F28" s="897"/>
      <c r="G28" s="915"/>
      <c r="H28" s="248"/>
      <c r="I28" s="907">
        <f>SUM(I25:I27)</f>
        <v>0</v>
      </c>
      <c r="J28" s="963">
        <f>SUM(J25:J27)</f>
        <v>0</v>
      </c>
      <c r="K28" s="907">
        <f>SUM(K25:K27)</f>
        <v>0</v>
      </c>
      <c r="L28" s="895"/>
      <c r="M28" s="895"/>
      <c r="N28" s="907">
        <f>SUM(N25:N27)</f>
        <v>0</v>
      </c>
      <c r="O28" s="907">
        <f>SUM(O25:O27)</f>
        <v>0</v>
      </c>
    </row>
    <row r="29" spans="1:15" ht="12.75" customHeight="1">
      <c r="A29" s="879"/>
      <c r="B29" s="887"/>
      <c r="C29" s="887"/>
      <c r="D29" s="887"/>
      <c r="E29" s="887"/>
      <c r="F29" s="887"/>
      <c r="G29" s="916"/>
      <c r="H29" s="123"/>
      <c r="I29" s="901"/>
      <c r="J29" s="88"/>
      <c r="K29" s="889"/>
      <c r="L29" s="889"/>
      <c r="M29" s="889"/>
      <c r="N29" s="889"/>
      <c r="O29" s="88"/>
    </row>
    <row r="30" spans="1:15" ht="68.25" customHeight="1">
      <c r="A30" s="879"/>
      <c r="B30" s="2227" t="s">
        <v>659</v>
      </c>
      <c r="C30" s="2228"/>
      <c r="D30" s="2228"/>
      <c r="E30" s="2228"/>
      <c r="F30" s="2229"/>
      <c r="G30" s="1085" t="s">
        <v>1403</v>
      </c>
      <c r="H30" s="1086"/>
      <c r="I30" s="1088" t="s">
        <v>137</v>
      </c>
      <c r="J30" s="1087" t="s">
        <v>742</v>
      </c>
      <c r="K30" s="1087" t="s">
        <v>1737</v>
      </c>
      <c r="L30" s="1087" t="s">
        <v>656</v>
      </c>
      <c r="M30" s="1087" t="s">
        <v>739</v>
      </c>
      <c r="N30" s="1085" t="s">
        <v>740</v>
      </c>
      <c r="O30" s="1085" t="s">
        <v>741</v>
      </c>
    </row>
    <row r="31" spans="1:15" ht="12.75" customHeight="1">
      <c r="A31" s="879">
        <f>A28+1</f>
        <v>17</v>
      </c>
      <c r="B31" s="893">
        <v>1</v>
      </c>
      <c r="C31" s="880"/>
      <c r="D31" s="887"/>
      <c r="E31" s="887"/>
      <c r="F31" s="887"/>
      <c r="G31" s="894"/>
      <c r="H31" s="123"/>
      <c r="I31" s="883">
        <f>$I214</f>
        <v>0</v>
      </c>
      <c r="J31" s="889">
        <f>('Actual Gross Rev Req'!$M$217*I31)*(1+'Actual Gross Rev Req'!$H$110)</f>
        <v>0</v>
      </c>
      <c r="K31" s="883">
        <f>$L$214</f>
        <v>0</v>
      </c>
      <c r="L31" s="890">
        <f>M194</f>
        <v>0</v>
      </c>
      <c r="M31" s="890">
        <f>M195</f>
        <v>0.63412352476290834</v>
      </c>
      <c r="N31" s="883">
        <f>K31*L31*(1+M31)</f>
        <v>0</v>
      </c>
      <c r="O31" s="891">
        <f>$J31+$N31</f>
        <v>0</v>
      </c>
    </row>
    <row r="32" spans="1:15" ht="12.75" customHeight="1">
      <c r="A32" s="879">
        <f>A31+1</f>
        <v>18</v>
      </c>
      <c r="B32" s="893">
        <v>2</v>
      </c>
      <c r="C32" s="880"/>
      <c r="D32" s="887"/>
      <c r="E32" s="887"/>
      <c r="F32" s="887"/>
      <c r="G32" s="894"/>
      <c r="H32" s="123"/>
      <c r="I32" s="889">
        <f>$N214</f>
        <v>0</v>
      </c>
      <c r="J32" s="889">
        <f>('Actual Gross Rev Req'!$M$217*I32)*(1+'Actual Gross Rev Req'!$H$110)</f>
        <v>0</v>
      </c>
      <c r="K32" s="889">
        <f>$Q$214</f>
        <v>0</v>
      </c>
      <c r="L32" s="890">
        <f>R194</f>
        <v>0</v>
      </c>
      <c r="M32" s="890">
        <f>R195</f>
        <v>0.63412352476290834</v>
      </c>
      <c r="N32" s="889">
        <f>K32*L32*(1+M32)</f>
        <v>0</v>
      </c>
      <c r="O32" s="891">
        <f>$J32+$N32</f>
        <v>0</v>
      </c>
    </row>
    <row r="33" spans="1:22" ht="12.75" customHeight="1">
      <c r="A33" s="879">
        <f>A32+1</f>
        <v>19</v>
      </c>
      <c r="B33" s="930"/>
      <c r="C33" s="931"/>
      <c r="D33" s="932"/>
      <c r="E33" s="932"/>
      <c r="F33" s="932"/>
      <c r="G33" s="936"/>
      <c r="H33" s="165"/>
      <c r="I33" s="933">
        <f>$S214</f>
        <v>0</v>
      </c>
      <c r="J33" s="933">
        <f>('Actual Gross Rev Req'!$M$217*I33)*(1+'Actual Gross Rev Req'!$H$110)</f>
        <v>0</v>
      </c>
      <c r="K33" s="933">
        <f>$V$214</f>
        <v>0</v>
      </c>
      <c r="L33" s="934">
        <f>W194</f>
        <v>0</v>
      </c>
      <c r="M33" s="934">
        <f>W195</f>
        <v>0.63412352476290834</v>
      </c>
      <c r="N33" s="933">
        <f>K33*L33*(1+M33)</f>
        <v>0</v>
      </c>
      <c r="O33" s="935">
        <f>$J33+$N33</f>
        <v>0</v>
      </c>
    </row>
    <row r="34" spans="1:22" ht="12.75" customHeight="1">
      <c r="A34" s="879">
        <f>A33+1</f>
        <v>20</v>
      </c>
      <c r="B34" s="896" t="s">
        <v>1018</v>
      </c>
      <c r="C34" s="897"/>
      <c r="D34" s="897"/>
      <c r="E34" s="897"/>
      <c r="F34" s="897"/>
      <c r="G34" s="915"/>
      <c r="H34" s="248"/>
      <c r="I34" s="907">
        <f>SUM(I31:I33)</f>
        <v>0</v>
      </c>
      <c r="J34" s="907">
        <f>SUM(J31:J33)</f>
        <v>0</v>
      </c>
      <c r="K34" s="907">
        <f>SUM(K31:K33)</f>
        <v>0</v>
      </c>
      <c r="L34" s="895"/>
      <c r="M34" s="895"/>
      <c r="N34" s="907">
        <f>SUM(N31:N33)</f>
        <v>0</v>
      </c>
      <c r="O34" s="907">
        <f>SUM(O31:O33)</f>
        <v>0</v>
      </c>
    </row>
    <row r="35" spans="1:22" ht="13.5" customHeight="1">
      <c r="A35" s="283"/>
      <c r="B35" s="116"/>
      <c r="C35" s="116"/>
      <c r="D35" s="116"/>
      <c r="E35" s="116"/>
      <c r="F35" s="116"/>
      <c r="G35" s="917"/>
      <c r="I35" s="773"/>
      <c r="J35" s="88"/>
      <c r="K35" s="88"/>
      <c r="L35" s="88"/>
      <c r="M35" s="88"/>
      <c r="N35" s="88"/>
      <c r="O35" s="88"/>
    </row>
    <row r="36" spans="1:22" ht="61.5" customHeight="1">
      <c r="B36" s="2227" t="s">
        <v>501</v>
      </c>
      <c r="C36" s="2228"/>
      <c r="D36" s="2228"/>
      <c r="E36" s="2228"/>
      <c r="F36" s="2229"/>
      <c r="G36" s="1085" t="s">
        <v>1403</v>
      </c>
      <c r="H36" s="1086"/>
      <c r="I36" s="1088" t="s">
        <v>137</v>
      </c>
      <c r="J36" s="1087" t="s">
        <v>742</v>
      </c>
      <c r="K36" s="1087" t="s">
        <v>1737</v>
      </c>
      <c r="L36" s="1087" t="s">
        <v>656</v>
      </c>
      <c r="M36" s="1087" t="s">
        <v>739</v>
      </c>
      <c r="N36" s="1085" t="s">
        <v>740</v>
      </c>
      <c r="O36" s="1085" t="s">
        <v>741</v>
      </c>
    </row>
    <row r="37" spans="1:22" ht="12.75" customHeight="1">
      <c r="A37" s="879">
        <f>A33+1</f>
        <v>20</v>
      </c>
      <c r="B37" s="893">
        <v>1</v>
      </c>
      <c r="C37" s="880"/>
      <c r="D37" s="887"/>
      <c r="E37" s="887"/>
      <c r="F37" s="887"/>
      <c r="G37" s="894"/>
      <c r="H37" s="123"/>
      <c r="I37" s="883">
        <f>$I264</f>
        <v>0</v>
      </c>
      <c r="J37" s="889">
        <f>('Actual Gross Rev Req'!$M$217*I37)*(1+'Actual Gross Rev Req'!$H$110)</f>
        <v>0</v>
      </c>
      <c r="K37" s="883">
        <f>$L$264</f>
        <v>0</v>
      </c>
      <c r="L37" s="890">
        <f>M244</f>
        <v>0</v>
      </c>
      <c r="M37" s="890">
        <f>M245</f>
        <v>0.63412352476290834</v>
      </c>
      <c r="N37" s="883">
        <f>K37*L37*(1+M37)</f>
        <v>0</v>
      </c>
      <c r="O37" s="891">
        <f>$J37+$N37</f>
        <v>0</v>
      </c>
    </row>
    <row r="38" spans="1:22" ht="12.75" customHeight="1">
      <c r="A38" s="879">
        <f>A37+1</f>
        <v>21</v>
      </c>
      <c r="B38" s="893">
        <v>2</v>
      </c>
      <c r="C38" s="880"/>
      <c r="D38" s="887"/>
      <c r="E38" s="887"/>
      <c r="F38" s="887"/>
      <c r="G38" s="894"/>
      <c r="H38" s="123"/>
      <c r="I38" s="889">
        <f>$N264</f>
        <v>0</v>
      </c>
      <c r="J38" s="889">
        <f>('Actual Gross Rev Req'!$M$217*I38)*(1+'Actual Gross Rev Req'!$H$110)</f>
        <v>0</v>
      </c>
      <c r="K38" s="889">
        <f>$Q$264</f>
        <v>0</v>
      </c>
      <c r="L38" s="890">
        <f>R244</f>
        <v>0</v>
      </c>
      <c r="M38" s="890">
        <f>R245</f>
        <v>0.63412352476290834</v>
      </c>
      <c r="N38" s="889">
        <f>K38*L38*(1+M38)</f>
        <v>0</v>
      </c>
      <c r="O38" s="891">
        <f>$J38+$N38</f>
        <v>0</v>
      </c>
    </row>
    <row r="39" spans="1:22" ht="12.75" customHeight="1">
      <c r="A39" s="879">
        <f>A38+1</f>
        <v>22</v>
      </c>
      <c r="B39" s="930"/>
      <c r="C39" s="931"/>
      <c r="D39" s="932"/>
      <c r="E39" s="932"/>
      <c r="F39" s="932"/>
      <c r="G39" s="936"/>
      <c r="H39" s="165"/>
      <c r="I39" s="933">
        <f>$S264</f>
        <v>0</v>
      </c>
      <c r="J39" s="933">
        <f>('Actual Gross Rev Req'!$M$217*I39)*(1+'Actual Gross Rev Req'!$H$110)</f>
        <v>0</v>
      </c>
      <c r="K39" s="933">
        <f>$V$264</f>
        <v>0</v>
      </c>
      <c r="L39" s="934">
        <f>W244</f>
        <v>0</v>
      </c>
      <c r="M39" s="934">
        <f>W245</f>
        <v>0.63412352476290834</v>
      </c>
      <c r="N39" s="933">
        <f>K39*L39*(1+M39)</f>
        <v>0</v>
      </c>
      <c r="O39" s="935">
        <f>$J39+$N39</f>
        <v>0</v>
      </c>
    </row>
    <row r="40" spans="1:22" ht="12.75" customHeight="1">
      <c r="A40" s="879">
        <f>A39+1</f>
        <v>23</v>
      </c>
      <c r="B40" s="896" t="s">
        <v>1018</v>
      </c>
      <c r="C40" s="897"/>
      <c r="D40" s="897"/>
      <c r="E40" s="897"/>
      <c r="F40" s="897"/>
      <c r="G40" s="907"/>
      <c r="H40" s="248"/>
      <c r="I40" s="907">
        <f>SUM(I37:I39)</f>
        <v>0</v>
      </c>
      <c r="J40" s="907">
        <f>SUM(J37:J39)</f>
        <v>0</v>
      </c>
      <c r="K40" s="907">
        <f>SUM(K37:K39)</f>
        <v>0</v>
      </c>
      <c r="L40" s="895"/>
      <c r="M40" s="895"/>
      <c r="N40" s="907">
        <f>SUM(N37:N39)</f>
        <v>0</v>
      </c>
      <c r="O40" s="907">
        <f>SUM(O37:O39)</f>
        <v>0</v>
      </c>
    </row>
    <row r="41" spans="1:22" ht="12.75" customHeight="1">
      <c r="A41" s="918"/>
      <c r="B41" s="887"/>
      <c r="C41" s="887"/>
      <c r="D41" s="887"/>
      <c r="E41" s="887"/>
      <c r="F41" s="887"/>
      <c r="G41" s="901"/>
      <c r="I41" s="901"/>
      <c r="J41" s="88"/>
      <c r="K41" s="889"/>
      <c r="L41" s="889"/>
      <c r="M41" s="889"/>
      <c r="N41" s="889"/>
      <c r="O41" s="88"/>
    </row>
    <row r="42" spans="1:22" ht="69" customHeight="1">
      <c r="B42" s="2227" t="s">
        <v>502</v>
      </c>
      <c r="C42" s="2228"/>
      <c r="D42" s="2228"/>
      <c r="E42" s="2228"/>
      <c r="F42" s="2229"/>
      <c r="G42" s="1085" t="s">
        <v>1403</v>
      </c>
      <c r="H42" s="1086"/>
      <c r="I42" s="1088" t="s">
        <v>137</v>
      </c>
      <c r="J42" s="1087" t="s">
        <v>742</v>
      </c>
      <c r="K42" s="1087" t="s">
        <v>1737</v>
      </c>
      <c r="L42" s="1087" t="s">
        <v>656</v>
      </c>
      <c r="M42" s="1087" t="s">
        <v>739</v>
      </c>
      <c r="N42" s="1085" t="s">
        <v>740</v>
      </c>
      <c r="O42" s="1085" t="s">
        <v>741</v>
      </c>
    </row>
    <row r="43" spans="1:22" ht="12.75" customHeight="1">
      <c r="A43" s="879">
        <f>A40+1</f>
        <v>24</v>
      </c>
      <c r="B43" s="893">
        <v>1</v>
      </c>
      <c r="C43" s="880"/>
      <c r="D43" s="887"/>
      <c r="E43" s="887"/>
      <c r="F43" s="887"/>
      <c r="G43" s="894"/>
      <c r="H43" s="123"/>
      <c r="I43" s="883">
        <f>$I313</f>
        <v>0</v>
      </c>
      <c r="J43" s="889">
        <f>('Actual Gross Rev Req'!$M$217*I43)*(1+'Actual Gross Rev Req'!$H$110)</f>
        <v>0</v>
      </c>
      <c r="K43" s="883">
        <f>$L$313</f>
        <v>0</v>
      </c>
      <c r="L43" s="890">
        <f>M293</f>
        <v>0</v>
      </c>
      <c r="M43" s="890">
        <f>M294</f>
        <v>0.63412352476290834</v>
      </c>
      <c r="N43" s="883">
        <f>K43*L43*(1+M43)</f>
        <v>0</v>
      </c>
      <c r="O43" s="891">
        <f>$J43+$N43</f>
        <v>0</v>
      </c>
    </row>
    <row r="44" spans="1:22" ht="12.75" customHeight="1">
      <c r="A44" s="879">
        <f>A43+1</f>
        <v>25</v>
      </c>
      <c r="B44" s="893">
        <v>2</v>
      </c>
      <c r="C44" s="880"/>
      <c r="D44" s="887"/>
      <c r="E44" s="887"/>
      <c r="F44" s="887"/>
      <c r="G44" s="894"/>
      <c r="H44" s="123"/>
      <c r="I44" s="889">
        <f>$N313</f>
        <v>0</v>
      </c>
      <c r="J44" s="889">
        <f>('Actual Gross Rev Req'!$M$217*I44)*(1+'Actual Gross Rev Req'!$H$110)</f>
        <v>0</v>
      </c>
      <c r="K44" s="889">
        <f>$Q$313</f>
        <v>0</v>
      </c>
      <c r="L44" s="890">
        <f>R293</f>
        <v>0</v>
      </c>
      <c r="M44" s="890">
        <f>R294</f>
        <v>0.63412352476290834</v>
      </c>
      <c r="N44" s="889">
        <f>K44*L44*(1+M44)</f>
        <v>0</v>
      </c>
      <c r="O44" s="891">
        <f>$J44+$N44</f>
        <v>0</v>
      </c>
    </row>
    <row r="45" spans="1:22" ht="12.75" customHeight="1">
      <c r="A45" s="879">
        <f>A44+1</f>
        <v>26</v>
      </c>
      <c r="B45" s="930"/>
      <c r="C45" s="931"/>
      <c r="D45" s="932"/>
      <c r="E45" s="932"/>
      <c r="F45" s="932"/>
      <c r="G45" s="936"/>
      <c r="H45" s="165"/>
      <c r="I45" s="933">
        <f>$S313</f>
        <v>0</v>
      </c>
      <c r="J45" s="1308">
        <f>('Actual Gross Rev Req'!$M$217*I45)*(1+'Actual Gross Rev Req'!$H$110)</f>
        <v>0</v>
      </c>
      <c r="K45" s="933">
        <f>$V$313</f>
        <v>0</v>
      </c>
      <c r="L45" s="934">
        <f>W293</f>
        <v>0</v>
      </c>
      <c r="M45" s="934">
        <f>W294</f>
        <v>0.63412352476290834</v>
      </c>
      <c r="N45" s="933">
        <f>K45*L45*(1+M45)</f>
        <v>0</v>
      </c>
      <c r="O45" s="935">
        <f>$J45+$N45</f>
        <v>0</v>
      </c>
    </row>
    <row r="46" spans="1:22" ht="12.75" customHeight="1">
      <c r="A46" s="879">
        <f>A45+1</f>
        <v>27</v>
      </c>
      <c r="B46" s="896" t="s">
        <v>1018</v>
      </c>
      <c r="C46" s="897"/>
      <c r="D46" s="897"/>
      <c r="E46" s="897"/>
      <c r="F46" s="897"/>
      <c r="G46" s="907"/>
      <c r="H46" s="248"/>
      <c r="I46" s="963">
        <f>SUM(I43:I45)</f>
        <v>0</v>
      </c>
      <c r="J46" s="963">
        <f>SUM(J43:J45)</f>
        <v>0</v>
      </c>
      <c r="K46" s="963">
        <f>SUM(K43:K45)</f>
        <v>0</v>
      </c>
      <c r="L46" s="907"/>
      <c r="M46" s="907"/>
      <c r="N46" s="963">
        <f>SUM(N43:N45)</f>
        <v>0</v>
      </c>
      <c r="O46" s="963">
        <f>SUM(O43:O45)</f>
        <v>0</v>
      </c>
    </row>
    <row r="47" spans="1:22" ht="15">
      <c r="A47" s="879">
        <f>A46+1</f>
        <v>28</v>
      </c>
      <c r="B47" s="903" t="s">
        <v>743</v>
      </c>
      <c r="C47" s="904"/>
      <c r="D47" s="904"/>
      <c r="E47" s="904"/>
      <c r="F47" s="904"/>
      <c r="G47" s="962"/>
      <c r="H47" s="435"/>
      <c r="I47" s="962">
        <f>I12+I22+I28+I34+I40+I46</f>
        <v>0</v>
      </c>
      <c r="J47" s="962">
        <f>J12+J22+J28+J34+J40+J46</f>
        <v>0</v>
      </c>
      <c r="K47" s="962">
        <f>K12+K22+K28+K34+K40+K46</f>
        <v>0</v>
      </c>
      <c r="L47" s="962"/>
      <c r="M47" s="962"/>
      <c r="N47" s="962">
        <f>N12+N22+N28+N34+N40+N46</f>
        <v>0</v>
      </c>
      <c r="O47" s="962">
        <f>O12+O22+O28+O34+O40+O46</f>
        <v>0</v>
      </c>
    </row>
    <row r="48" spans="1:22" ht="15.75">
      <c r="B48" s="887"/>
      <c r="C48" s="887"/>
      <c r="D48" s="887"/>
      <c r="E48" s="887"/>
      <c r="F48" s="887"/>
      <c r="G48" s="889"/>
      <c r="H48" s="135"/>
      <c r="I48" s="889"/>
      <c r="J48" s="889"/>
      <c r="K48" s="889"/>
      <c r="L48" s="889"/>
      <c r="M48" s="889"/>
      <c r="N48" s="889"/>
      <c r="O48" s="889"/>
      <c r="S48" s="2193" t="s">
        <v>176</v>
      </c>
      <c r="T48" s="2193"/>
      <c r="V48" s="76" t="s">
        <v>1242</v>
      </c>
    </row>
    <row r="49" spans="1:24" ht="18">
      <c r="B49" s="727" t="s">
        <v>693</v>
      </c>
      <c r="C49" s="727"/>
      <c r="M49" s="1239"/>
      <c r="T49" s="1100"/>
    </row>
    <row r="50" spans="1:24">
      <c r="A50" s="119">
        <v>1</v>
      </c>
      <c r="D50" s="88"/>
      <c r="E50" s="88"/>
      <c r="F50" s="88"/>
      <c r="G50" s="88"/>
      <c r="H50" s="88"/>
      <c r="I50" s="1777"/>
      <c r="J50" s="1778" t="s">
        <v>623</v>
      </c>
      <c r="K50" s="1779" t="s">
        <v>838</v>
      </c>
      <c r="L50" s="1765" t="s">
        <v>1349</v>
      </c>
      <c r="M50" s="1239">
        <v>0</v>
      </c>
      <c r="N50" s="1777"/>
      <c r="O50" s="1778" t="s">
        <v>623</v>
      </c>
      <c r="P50" s="1779" t="s">
        <v>839</v>
      </c>
      <c r="Q50" s="1765" t="s">
        <v>1349</v>
      </c>
      <c r="R50" s="1780">
        <v>0</v>
      </c>
      <c r="S50" s="1777"/>
      <c r="T50" s="1778" t="s">
        <v>623</v>
      </c>
      <c r="U50" s="1779" t="s">
        <v>1350</v>
      </c>
      <c r="V50" s="1765" t="s">
        <v>1349</v>
      </c>
      <c r="W50" s="1780">
        <v>0</v>
      </c>
      <c r="X50" s="88"/>
    </row>
    <row r="51" spans="1:24">
      <c r="A51" s="119">
        <f>A50+1</f>
        <v>2</v>
      </c>
      <c r="D51" s="88"/>
      <c r="E51" s="88"/>
      <c r="F51" s="88"/>
      <c r="G51" s="88"/>
      <c r="H51" s="88"/>
      <c r="I51" s="134"/>
      <c r="J51" s="135" t="s">
        <v>632</v>
      </c>
      <c r="K51" s="1550"/>
      <c r="L51" s="1765" t="s">
        <v>626</v>
      </c>
      <c r="M51" s="177">
        <f>'Actual Gross Rev Req'!$I$216*M50</f>
        <v>0</v>
      </c>
      <c r="N51" s="134"/>
      <c r="O51" s="135"/>
      <c r="P51" s="135"/>
      <c r="Q51" s="1765" t="s">
        <v>626</v>
      </c>
      <c r="R51" s="177">
        <f>'Actual Gross Rev Req'!$I$216*R50</f>
        <v>0</v>
      </c>
      <c r="S51" s="134"/>
      <c r="T51" s="135"/>
      <c r="U51" s="135"/>
      <c r="V51" s="1765" t="s">
        <v>626</v>
      </c>
      <c r="W51" s="177">
        <f>'Actual Gross Rev Req'!$I$216*W50</f>
        <v>0</v>
      </c>
      <c r="X51" s="88"/>
    </row>
    <row r="52" spans="1:24">
      <c r="A52" s="119">
        <f t="shared" ref="A52:A93" si="3">A51+1</f>
        <v>3</v>
      </c>
      <c r="D52" s="88"/>
      <c r="E52" s="88"/>
      <c r="F52" s="88"/>
      <c r="G52" s="88"/>
      <c r="H52" s="88"/>
      <c r="I52" s="134"/>
      <c r="J52" s="135"/>
      <c r="K52" s="88"/>
      <c r="L52" s="1765" t="s">
        <v>744</v>
      </c>
      <c r="M52" s="1239">
        <f>IF('Actual Gross Rev Req'!$M$217&gt;0,('Actual Gross Rev Req'!$H$109/(1-'Actual Gross Rev Req'!$H$109)),0)</f>
        <v>0.63412352476290834</v>
      </c>
      <c r="N52" s="134"/>
      <c r="O52" s="135"/>
      <c r="P52" s="1239"/>
      <c r="Q52" s="1765" t="s">
        <v>744</v>
      </c>
      <c r="R52" s="1239">
        <f>IF('Actual Gross Rev Req'!$M$217&gt;0,('Actual Gross Rev Req'!$H$109/(1-'Actual Gross Rev Req'!$H$109)),0)</f>
        <v>0.63412352476290834</v>
      </c>
      <c r="S52" s="134"/>
      <c r="T52" s="135"/>
      <c r="U52" s="1239"/>
      <c r="V52" s="1765" t="s">
        <v>744</v>
      </c>
      <c r="W52" s="1239">
        <f>IF('Actual Gross Rev Req'!$M$217&gt;0,('Actual Gross Rev Req'!$H$109/(1-'Actual Gross Rev Req'!$H$109)),0)</f>
        <v>0.63412352476290834</v>
      </c>
      <c r="X52" s="88"/>
    </row>
    <row r="53" spans="1:24" ht="24.75" customHeight="1">
      <c r="A53" s="119">
        <f t="shared" si="3"/>
        <v>4</v>
      </c>
      <c r="D53" s="88"/>
      <c r="E53" s="88"/>
      <c r="F53" s="88"/>
      <c r="G53" s="88"/>
      <c r="H53" s="88"/>
      <c r="I53" s="1762" t="s">
        <v>553</v>
      </c>
      <c r="J53" s="1763" t="s">
        <v>1351</v>
      </c>
      <c r="K53" s="1763" t="s">
        <v>1352</v>
      </c>
      <c r="L53" s="1763" t="s">
        <v>1353</v>
      </c>
      <c r="M53" s="88"/>
      <c r="N53" s="1762" t="s">
        <v>553</v>
      </c>
      <c r="O53" s="1763" t="s">
        <v>1351</v>
      </c>
      <c r="P53" s="1763" t="s">
        <v>1352</v>
      </c>
      <c r="Q53" s="1763" t="s">
        <v>1353</v>
      </c>
      <c r="R53" s="145"/>
      <c r="S53" s="1762" t="s">
        <v>553</v>
      </c>
      <c r="T53" s="1763" t="s">
        <v>1351</v>
      </c>
      <c r="U53" s="1763" t="s">
        <v>1352</v>
      </c>
      <c r="V53" s="1763" t="s">
        <v>1353</v>
      </c>
      <c r="W53" s="145"/>
      <c r="X53" s="88"/>
    </row>
    <row r="54" spans="1:24">
      <c r="A54" s="119">
        <f t="shared" si="3"/>
        <v>5</v>
      </c>
      <c r="D54" s="88"/>
      <c r="E54" s="88"/>
      <c r="F54" s="88"/>
      <c r="G54" s="88" t="s">
        <v>1354</v>
      </c>
      <c r="H54" s="88" t="s">
        <v>1355</v>
      </c>
      <c r="I54" s="1785">
        <v>0</v>
      </c>
      <c r="J54" s="210">
        <v>0</v>
      </c>
      <c r="K54" s="177"/>
      <c r="L54" s="135"/>
      <c r="M54" s="145"/>
      <c r="N54" s="1785">
        <v>0</v>
      </c>
      <c r="O54" s="133">
        <v>0</v>
      </c>
      <c r="P54" s="177"/>
      <c r="Q54" s="135"/>
      <c r="R54" s="145"/>
      <c r="S54" s="1785">
        <v>0</v>
      </c>
      <c r="T54" s="133">
        <v>0</v>
      </c>
      <c r="U54" s="177"/>
      <c r="V54" s="135"/>
      <c r="W54" s="145"/>
      <c r="X54" s="88"/>
    </row>
    <row r="55" spans="1:24">
      <c r="A55" s="119">
        <f t="shared" si="3"/>
        <v>6</v>
      </c>
      <c r="D55" s="88"/>
      <c r="E55" s="88"/>
      <c r="F55" s="88"/>
      <c r="G55" s="88" t="s">
        <v>1356</v>
      </c>
      <c r="H55" s="88" t="s">
        <v>674</v>
      </c>
      <c r="I55" s="1785">
        <v>0</v>
      </c>
      <c r="J55" s="210">
        <f>J54</f>
        <v>0</v>
      </c>
      <c r="K55" s="177">
        <f>(IF('Actual Gross Rev Req'!$H$16=0,0,'Actual Gross Rev Req'!$H$92/'Actual Gross Rev Req'!$H$16)/12)</f>
        <v>1.4936180092078701E-3</v>
      </c>
      <c r="L55" s="90">
        <f t="shared" ref="L55:L66" si="4">+K55*J54</f>
        <v>0</v>
      </c>
      <c r="M55" s="88"/>
      <c r="N55" s="1785">
        <v>0</v>
      </c>
      <c r="O55" s="133">
        <f>O54</f>
        <v>0</v>
      </c>
      <c r="P55" s="177">
        <f>(IF('Actual Gross Rev Req'!$H$16=0,0,'Actual Gross Rev Req'!$H$92/'Actual Gross Rev Req'!$H$16)/12)</f>
        <v>1.4936180092078701E-3</v>
      </c>
      <c r="Q55" s="90">
        <f>+P55*O54</f>
        <v>0</v>
      </c>
      <c r="R55" s="145"/>
      <c r="S55" s="1785">
        <v>0</v>
      </c>
      <c r="T55" s="133">
        <f>T54</f>
        <v>0</v>
      </c>
      <c r="U55" s="177">
        <f>(IF('Actual Gross Rev Req'!$H$16=0,0,'Actual Gross Rev Req'!$H$92/'Actual Gross Rev Req'!$H$16)/12)</f>
        <v>1.4936180092078701E-3</v>
      </c>
      <c r="V55" s="90">
        <f>+U55*T54</f>
        <v>0</v>
      </c>
      <c r="W55" s="145"/>
      <c r="X55" s="88"/>
    </row>
    <row r="56" spans="1:24">
      <c r="A56" s="119">
        <f t="shared" si="3"/>
        <v>7</v>
      </c>
      <c r="D56" s="88"/>
      <c r="E56" s="88"/>
      <c r="F56" s="88"/>
      <c r="G56" s="88" t="s">
        <v>1356</v>
      </c>
      <c r="H56" s="88" t="s">
        <v>1357</v>
      </c>
      <c r="I56" s="1785">
        <v>0</v>
      </c>
      <c r="J56" s="210">
        <f t="shared" ref="J56:K66" si="5">J55</f>
        <v>0</v>
      </c>
      <c r="K56" s="177">
        <f t="shared" si="5"/>
        <v>1.4936180092078701E-3</v>
      </c>
      <c r="L56" s="90">
        <f t="shared" si="4"/>
        <v>0</v>
      </c>
      <c r="M56" s="145"/>
      <c r="N56" s="1785">
        <v>0</v>
      </c>
      <c r="O56" s="133">
        <f t="shared" ref="O56:P66" si="6">O55</f>
        <v>0</v>
      </c>
      <c r="P56" s="177">
        <f t="shared" si="6"/>
        <v>1.4936180092078701E-3</v>
      </c>
      <c r="Q56" s="90">
        <f t="shared" ref="Q56:Q65" si="7">+P56*O55</f>
        <v>0</v>
      </c>
      <c r="R56" s="145"/>
      <c r="S56" s="1785">
        <v>0</v>
      </c>
      <c r="T56" s="133">
        <f t="shared" ref="T56:U66" si="8">T55</f>
        <v>0</v>
      </c>
      <c r="U56" s="177">
        <f t="shared" si="8"/>
        <v>1.4936180092078701E-3</v>
      </c>
      <c r="V56" s="90">
        <f t="shared" ref="V56:V65" si="9">+U56*T55</f>
        <v>0</v>
      </c>
      <c r="W56" s="145"/>
      <c r="X56" s="88"/>
    </row>
    <row r="57" spans="1:24">
      <c r="A57" s="119">
        <f t="shared" si="3"/>
        <v>8</v>
      </c>
      <c r="D57" s="88"/>
      <c r="E57" s="88"/>
      <c r="F57" s="88"/>
      <c r="G57" s="88" t="s">
        <v>1356</v>
      </c>
      <c r="H57" s="88" t="s">
        <v>1358</v>
      </c>
      <c r="I57" s="1785">
        <v>0</v>
      </c>
      <c r="J57" s="210">
        <v>0</v>
      </c>
      <c r="K57" s="177">
        <f t="shared" si="5"/>
        <v>1.4936180092078701E-3</v>
      </c>
      <c r="L57" s="90">
        <f t="shared" si="4"/>
        <v>0</v>
      </c>
      <c r="M57" s="145"/>
      <c r="N57" s="1785">
        <v>0</v>
      </c>
      <c r="O57" s="133">
        <v>0</v>
      </c>
      <c r="P57" s="177">
        <f t="shared" si="6"/>
        <v>1.4936180092078701E-3</v>
      </c>
      <c r="Q57" s="90">
        <f t="shared" si="7"/>
        <v>0</v>
      </c>
      <c r="R57" s="145"/>
      <c r="S57" s="1785">
        <v>0</v>
      </c>
      <c r="T57" s="133">
        <v>0</v>
      </c>
      <c r="U57" s="177">
        <f t="shared" si="8"/>
        <v>1.4936180092078701E-3</v>
      </c>
      <c r="V57" s="90">
        <f t="shared" si="9"/>
        <v>0</v>
      </c>
      <c r="W57" s="145"/>
      <c r="X57" s="88"/>
    </row>
    <row r="58" spans="1:24">
      <c r="A58" s="119">
        <f t="shared" si="3"/>
        <v>9</v>
      </c>
      <c r="D58" s="88"/>
      <c r="E58" s="88"/>
      <c r="F58" s="88"/>
      <c r="G58" s="88" t="s">
        <v>1356</v>
      </c>
      <c r="H58" s="88" t="s">
        <v>1359</v>
      </c>
      <c r="I58" s="1785">
        <v>0</v>
      </c>
      <c r="J58" s="210">
        <f t="shared" si="5"/>
        <v>0</v>
      </c>
      <c r="K58" s="177">
        <f t="shared" si="5"/>
        <v>1.4936180092078701E-3</v>
      </c>
      <c r="L58" s="90">
        <f t="shared" si="4"/>
        <v>0</v>
      </c>
      <c r="M58" s="145"/>
      <c r="N58" s="1785">
        <v>0</v>
      </c>
      <c r="O58" s="133">
        <f t="shared" si="6"/>
        <v>0</v>
      </c>
      <c r="P58" s="177">
        <f t="shared" si="6"/>
        <v>1.4936180092078701E-3</v>
      </c>
      <c r="Q58" s="90">
        <f t="shared" si="7"/>
        <v>0</v>
      </c>
      <c r="R58" s="145"/>
      <c r="S58" s="1785">
        <v>0</v>
      </c>
      <c r="T58" s="133">
        <f t="shared" si="8"/>
        <v>0</v>
      </c>
      <c r="U58" s="177">
        <f t="shared" si="8"/>
        <v>1.4936180092078701E-3</v>
      </c>
      <c r="V58" s="90">
        <f t="shared" si="9"/>
        <v>0</v>
      </c>
      <c r="W58" s="145"/>
      <c r="X58" s="88"/>
    </row>
    <row r="59" spans="1:24">
      <c r="A59" s="119">
        <f t="shared" si="3"/>
        <v>10</v>
      </c>
      <c r="D59" s="88"/>
      <c r="E59" s="88"/>
      <c r="F59" s="88"/>
      <c r="G59" s="88" t="s">
        <v>1356</v>
      </c>
      <c r="H59" s="88" t="s">
        <v>1125</v>
      </c>
      <c r="I59" s="1785">
        <v>0</v>
      </c>
      <c r="J59" s="210">
        <f t="shared" si="5"/>
        <v>0</v>
      </c>
      <c r="K59" s="177">
        <f t="shared" si="5"/>
        <v>1.4936180092078701E-3</v>
      </c>
      <c r="L59" s="90">
        <f t="shared" si="4"/>
        <v>0</v>
      </c>
      <c r="M59" s="145"/>
      <c r="N59" s="1785">
        <v>0</v>
      </c>
      <c r="O59" s="133">
        <f t="shared" si="6"/>
        <v>0</v>
      </c>
      <c r="P59" s="177">
        <f t="shared" si="6"/>
        <v>1.4936180092078701E-3</v>
      </c>
      <c r="Q59" s="90">
        <f t="shared" si="7"/>
        <v>0</v>
      </c>
      <c r="R59" s="145"/>
      <c r="S59" s="1785">
        <v>0</v>
      </c>
      <c r="T59" s="133">
        <f t="shared" si="8"/>
        <v>0</v>
      </c>
      <c r="U59" s="177">
        <f t="shared" si="8"/>
        <v>1.4936180092078701E-3</v>
      </c>
      <c r="V59" s="90">
        <f t="shared" si="9"/>
        <v>0</v>
      </c>
      <c r="W59" s="145"/>
      <c r="X59" s="88"/>
    </row>
    <row r="60" spans="1:24">
      <c r="A60" s="119">
        <f t="shared" si="3"/>
        <v>11</v>
      </c>
      <c r="D60" s="88"/>
      <c r="E60" s="88"/>
      <c r="F60" s="88"/>
      <c r="G60" s="88" t="s">
        <v>1356</v>
      </c>
      <c r="H60" s="88" t="s">
        <v>675</v>
      </c>
      <c r="I60" s="1785">
        <v>0</v>
      </c>
      <c r="J60" s="210">
        <f t="shared" si="5"/>
        <v>0</v>
      </c>
      <c r="K60" s="177">
        <f t="shared" si="5"/>
        <v>1.4936180092078701E-3</v>
      </c>
      <c r="L60" s="90">
        <f t="shared" si="4"/>
        <v>0</v>
      </c>
      <c r="M60" s="145"/>
      <c r="N60" s="1785">
        <v>0</v>
      </c>
      <c r="O60" s="133">
        <f t="shared" si="6"/>
        <v>0</v>
      </c>
      <c r="P60" s="177">
        <f t="shared" si="6"/>
        <v>1.4936180092078701E-3</v>
      </c>
      <c r="Q60" s="90">
        <f t="shared" si="7"/>
        <v>0</v>
      </c>
      <c r="R60" s="145"/>
      <c r="S60" s="1785">
        <v>0</v>
      </c>
      <c r="T60" s="133">
        <f t="shared" si="8"/>
        <v>0</v>
      </c>
      <c r="U60" s="177">
        <f t="shared" si="8"/>
        <v>1.4936180092078701E-3</v>
      </c>
      <c r="V60" s="90">
        <f t="shared" si="9"/>
        <v>0</v>
      </c>
      <c r="W60" s="145"/>
      <c r="X60" s="88"/>
    </row>
    <row r="61" spans="1:24">
      <c r="A61" s="119">
        <f t="shared" si="3"/>
        <v>12</v>
      </c>
      <c r="D61" s="88"/>
      <c r="E61" s="88"/>
      <c r="F61" s="88"/>
      <c r="G61" s="88" t="s">
        <v>1356</v>
      </c>
      <c r="H61" s="88" t="s">
        <v>1360</v>
      </c>
      <c r="I61" s="1785">
        <v>0</v>
      </c>
      <c r="J61" s="210">
        <f t="shared" si="5"/>
        <v>0</v>
      </c>
      <c r="K61" s="177">
        <f t="shared" si="5"/>
        <v>1.4936180092078701E-3</v>
      </c>
      <c r="L61" s="90">
        <f t="shared" si="4"/>
        <v>0</v>
      </c>
      <c r="M61" s="145"/>
      <c r="N61" s="1785">
        <v>0</v>
      </c>
      <c r="O61" s="133">
        <f t="shared" si="6"/>
        <v>0</v>
      </c>
      <c r="P61" s="177">
        <f t="shared" si="6"/>
        <v>1.4936180092078701E-3</v>
      </c>
      <c r="Q61" s="90">
        <f t="shared" si="7"/>
        <v>0</v>
      </c>
      <c r="R61" s="145"/>
      <c r="S61" s="1785">
        <v>0</v>
      </c>
      <c r="T61" s="133">
        <f t="shared" si="8"/>
        <v>0</v>
      </c>
      <c r="U61" s="177">
        <f t="shared" si="8"/>
        <v>1.4936180092078701E-3</v>
      </c>
      <c r="V61" s="90">
        <f t="shared" si="9"/>
        <v>0</v>
      </c>
      <c r="W61" s="145"/>
      <c r="X61" s="88"/>
    </row>
    <row r="62" spans="1:24">
      <c r="A62" s="119">
        <f t="shared" si="3"/>
        <v>13</v>
      </c>
      <c r="D62" s="88"/>
      <c r="E62" s="88"/>
      <c r="F62" s="88"/>
      <c r="G62" s="88" t="s">
        <v>1356</v>
      </c>
      <c r="H62" s="88" t="s">
        <v>1361</v>
      </c>
      <c r="I62" s="1785">
        <v>0</v>
      </c>
      <c r="J62" s="210">
        <f t="shared" si="5"/>
        <v>0</v>
      </c>
      <c r="K62" s="177">
        <f t="shared" si="5"/>
        <v>1.4936180092078701E-3</v>
      </c>
      <c r="L62" s="90">
        <f t="shared" si="4"/>
        <v>0</v>
      </c>
      <c r="M62" s="145"/>
      <c r="N62" s="1785">
        <v>0</v>
      </c>
      <c r="O62" s="133">
        <f t="shared" si="6"/>
        <v>0</v>
      </c>
      <c r="P62" s="177">
        <f t="shared" si="6"/>
        <v>1.4936180092078701E-3</v>
      </c>
      <c r="Q62" s="90">
        <f t="shared" si="7"/>
        <v>0</v>
      </c>
      <c r="R62" s="145"/>
      <c r="S62" s="1785">
        <v>0</v>
      </c>
      <c r="T62" s="133">
        <f t="shared" si="8"/>
        <v>0</v>
      </c>
      <c r="U62" s="177">
        <f t="shared" si="8"/>
        <v>1.4936180092078701E-3</v>
      </c>
      <c r="V62" s="90">
        <f t="shared" si="9"/>
        <v>0</v>
      </c>
      <c r="W62" s="145"/>
      <c r="X62" s="88"/>
    </row>
    <row r="63" spans="1:24">
      <c r="A63" s="119">
        <f t="shared" si="3"/>
        <v>14</v>
      </c>
      <c r="D63" s="88"/>
      <c r="E63" s="88"/>
      <c r="F63" s="88"/>
      <c r="G63" s="88" t="s">
        <v>1356</v>
      </c>
      <c r="H63" s="88" t="s">
        <v>1362</v>
      </c>
      <c r="I63" s="1785">
        <v>0</v>
      </c>
      <c r="J63" s="210">
        <f t="shared" si="5"/>
        <v>0</v>
      </c>
      <c r="K63" s="177">
        <f t="shared" si="5"/>
        <v>1.4936180092078701E-3</v>
      </c>
      <c r="L63" s="90">
        <f t="shared" si="4"/>
        <v>0</v>
      </c>
      <c r="M63" s="145"/>
      <c r="N63" s="1785">
        <v>0</v>
      </c>
      <c r="O63" s="133">
        <f t="shared" si="6"/>
        <v>0</v>
      </c>
      <c r="P63" s="177">
        <f t="shared" si="6"/>
        <v>1.4936180092078701E-3</v>
      </c>
      <c r="Q63" s="90">
        <f t="shared" si="7"/>
        <v>0</v>
      </c>
      <c r="R63" s="145"/>
      <c r="S63" s="1785">
        <v>0</v>
      </c>
      <c r="T63" s="133">
        <f t="shared" si="8"/>
        <v>0</v>
      </c>
      <c r="U63" s="177">
        <f t="shared" si="8"/>
        <v>1.4936180092078701E-3</v>
      </c>
      <c r="V63" s="90">
        <f t="shared" si="9"/>
        <v>0</v>
      </c>
      <c r="W63" s="145"/>
      <c r="X63" s="88"/>
    </row>
    <row r="64" spans="1:24">
      <c r="A64" s="119">
        <f t="shared" si="3"/>
        <v>15</v>
      </c>
      <c r="D64" s="88"/>
      <c r="E64" s="88"/>
      <c r="F64" s="88"/>
      <c r="G64" s="88" t="s">
        <v>1356</v>
      </c>
      <c r="H64" s="88" t="s">
        <v>676</v>
      </c>
      <c r="I64" s="1785">
        <v>0</v>
      </c>
      <c r="J64" s="210">
        <f t="shared" si="5"/>
        <v>0</v>
      </c>
      <c r="K64" s="177">
        <f t="shared" si="5"/>
        <v>1.4936180092078701E-3</v>
      </c>
      <c r="L64" s="90">
        <f t="shared" si="4"/>
        <v>0</v>
      </c>
      <c r="M64" s="145"/>
      <c r="N64" s="1785">
        <v>0</v>
      </c>
      <c r="O64" s="133">
        <f t="shared" si="6"/>
        <v>0</v>
      </c>
      <c r="P64" s="177">
        <f t="shared" si="6"/>
        <v>1.4936180092078701E-3</v>
      </c>
      <c r="Q64" s="90">
        <f t="shared" si="7"/>
        <v>0</v>
      </c>
      <c r="R64" s="145"/>
      <c r="S64" s="1785">
        <v>0</v>
      </c>
      <c r="T64" s="133">
        <f t="shared" si="8"/>
        <v>0</v>
      </c>
      <c r="U64" s="177">
        <f t="shared" si="8"/>
        <v>1.4936180092078701E-3</v>
      </c>
      <c r="V64" s="90">
        <f t="shared" si="9"/>
        <v>0</v>
      </c>
      <c r="W64" s="145"/>
      <c r="X64" s="88"/>
    </row>
    <row r="65" spans="1:24">
      <c r="A65" s="119">
        <f t="shared" si="3"/>
        <v>16</v>
      </c>
      <c r="D65" s="88"/>
      <c r="E65" s="88"/>
      <c r="F65" s="88"/>
      <c r="G65" s="88" t="s">
        <v>1356</v>
      </c>
      <c r="H65" s="88" t="s">
        <v>1363</v>
      </c>
      <c r="I65" s="1785">
        <v>0</v>
      </c>
      <c r="J65" s="210">
        <f t="shared" si="5"/>
        <v>0</v>
      </c>
      <c r="K65" s="177">
        <f t="shared" si="5"/>
        <v>1.4936180092078701E-3</v>
      </c>
      <c r="L65" s="90">
        <f t="shared" si="4"/>
        <v>0</v>
      </c>
      <c r="M65" s="145"/>
      <c r="N65" s="1785">
        <v>0</v>
      </c>
      <c r="O65" s="133">
        <f t="shared" si="6"/>
        <v>0</v>
      </c>
      <c r="P65" s="177">
        <f t="shared" si="6"/>
        <v>1.4936180092078701E-3</v>
      </c>
      <c r="Q65" s="90">
        <f t="shared" si="7"/>
        <v>0</v>
      </c>
      <c r="R65" s="145"/>
      <c r="S65" s="1785">
        <v>0</v>
      </c>
      <c r="T65" s="133">
        <f t="shared" si="8"/>
        <v>0</v>
      </c>
      <c r="U65" s="177">
        <f t="shared" si="8"/>
        <v>1.4936180092078701E-3</v>
      </c>
      <c r="V65" s="90">
        <f t="shared" si="9"/>
        <v>0</v>
      </c>
      <c r="W65" s="145"/>
      <c r="X65" s="88"/>
    </row>
    <row r="66" spans="1:24">
      <c r="A66" s="119">
        <f t="shared" si="3"/>
        <v>17</v>
      </c>
      <c r="D66" s="88"/>
      <c r="E66" s="88"/>
      <c r="F66" s="88"/>
      <c r="G66" s="88" t="s">
        <v>1356</v>
      </c>
      <c r="H66" s="88" t="s">
        <v>1355</v>
      </c>
      <c r="I66" s="1785">
        <v>0</v>
      </c>
      <c r="J66" s="210">
        <f t="shared" si="5"/>
        <v>0</v>
      </c>
      <c r="K66" s="177">
        <f t="shared" si="5"/>
        <v>1.4936180092078701E-3</v>
      </c>
      <c r="L66" s="363">
        <f t="shared" si="4"/>
        <v>0</v>
      </c>
      <c r="M66" s="145"/>
      <c r="N66" s="1785">
        <v>0</v>
      </c>
      <c r="O66" s="133">
        <f t="shared" si="6"/>
        <v>0</v>
      </c>
      <c r="P66" s="177">
        <f t="shared" si="6"/>
        <v>1.4936180092078701E-3</v>
      </c>
      <c r="Q66" s="363">
        <f>+P66*O65</f>
        <v>0</v>
      </c>
      <c r="R66" s="145"/>
      <c r="S66" s="1785">
        <v>0</v>
      </c>
      <c r="T66" s="133">
        <f t="shared" si="8"/>
        <v>0</v>
      </c>
      <c r="U66" s="177">
        <f t="shared" si="8"/>
        <v>1.4936180092078701E-3</v>
      </c>
      <c r="V66" s="363">
        <f>+U66*T65</f>
        <v>0</v>
      </c>
      <c r="W66" s="145"/>
      <c r="X66" s="88"/>
    </row>
    <row r="67" spans="1:24">
      <c r="A67" s="119">
        <f t="shared" si="3"/>
        <v>18</v>
      </c>
      <c r="D67" s="88"/>
      <c r="E67" s="88"/>
      <c r="F67" s="88"/>
      <c r="G67" s="88"/>
      <c r="H67" s="88"/>
      <c r="I67" s="134"/>
      <c r="J67" s="1765"/>
      <c r="K67" s="135" t="str">
        <f>"Sum lines "&amp;$A55&amp;" - "&amp;$A66&amp;""</f>
        <v>Sum lines 6 - 17</v>
      </c>
      <c r="L67" s="90">
        <f>SUM(L55:L66)</f>
        <v>0</v>
      </c>
      <c r="M67" s="145"/>
      <c r="N67" s="134"/>
      <c r="O67" s="1765"/>
      <c r="P67" s="135" t="str">
        <f>"Sum lines "&amp;$A55&amp;" - "&amp;$A66&amp;""</f>
        <v>Sum lines 6 - 17</v>
      </c>
      <c r="Q67" s="90">
        <f>SUM(Q55:Q66)</f>
        <v>0</v>
      </c>
      <c r="R67" s="145"/>
      <c r="S67" s="134"/>
      <c r="T67" s="1765"/>
      <c r="U67" s="135" t="str">
        <f>"Sum lines "&amp;$A55&amp;" - "&amp;$A66&amp;""</f>
        <v>Sum lines 6 - 17</v>
      </c>
      <c r="V67" s="90">
        <f>SUM(V55:V66)</f>
        <v>0</v>
      </c>
      <c r="W67" s="145"/>
      <c r="X67" s="88"/>
    </row>
    <row r="68" spans="1:24">
      <c r="A68" s="119">
        <f t="shared" si="3"/>
        <v>19</v>
      </c>
      <c r="D68" s="2211" t="s">
        <v>54</v>
      </c>
      <c r="E68" s="2211"/>
      <c r="F68" s="2211"/>
      <c r="G68" s="2211"/>
      <c r="H68" s="88"/>
      <c r="I68" s="134"/>
      <c r="J68" s="1781" t="s">
        <v>1512</v>
      </c>
      <c r="K68" s="133">
        <v>0</v>
      </c>
      <c r="L68" s="135"/>
      <c r="M68" s="145"/>
      <c r="N68" s="134"/>
      <c r="O68" s="1782" t="s">
        <v>1512</v>
      </c>
      <c r="P68" s="922">
        <v>0</v>
      </c>
      <c r="Q68" s="433"/>
      <c r="R68" s="980"/>
      <c r="S68" s="134"/>
      <c r="T68" s="1782" t="s">
        <v>1512</v>
      </c>
      <c r="U68" s="922">
        <v>0</v>
      </c>
      <c r="V68" s="433"/>
      <c r="W68" s="980"/>
      <c r="X68" s="88"/>
    </row>
    <row r="69" spans="1:24" ht="25.5">
      <c r="A69" s="119">
        <f t="shared" si="3"/>
        <v>20</v>
      </c>
      <c r="B69" s="141" t="s">
        <v>394</v>
      </c>
      <c r="C69" s="924" t="s">
        <v>137</v>
      </c>
      <c r="D69" s="1783" t="s">
        <v>1045</v>
      </c>
      <c r="E69" s="1783" t="s">
        <v>515</v>
      </c>
      <c r="F69" s="1783" t="s">
        <v>265</v>
      </c>
      <c r="G69" s="1910" t="s">
        <v>630</v>
      </c>
      <c r="H69" s="1911" t="s">
        <v>394</v>
      </c>
      <c r="I69" s="1912" t="s">
        <v>137</v>
      </c>
      <c r="J69" s="1912" t="s">
        <v>1045</v>
      </c>
      <c r="K69" s="1912" t="s">
        <v>634</v>
      </c>
      <c r="L69" s="1912" t="s">
        <v>265</v>
      </c>
      <c r="M69" s="1913" t="s">
        <v>630</v>
      </c>
      <c r="N69" s="1912" t="s">
        <v>137</v>
      </c>
      <c r="O69" s="1912" t="s">
        <v>1045</v>
      </c>
      <c r="P69" s="1912" t="s">
        <v>634</v>
      </c>
      <c r="Q69" s="1912" t="s">
        <v>265</v>
      </c>
      <c r="R69" s="1913" t="s">
        <v>630</v>
      </c>
      <c r="S69" s="1912" t="s">
        <v>137</v>
      </c>
      <c r="T69" s="1912" t="s">
        <v>1045</v>
      </c>
      <c r="U69" s="1912" t="s">
        <v>634</v>
      </c>
      <c r="V69" s="1912" t="s">
        <v>265</v>
      </c>
      <c r="W69" s="1913" t="s">
        <v>630</v>
      </c>
    </row>
    <row r="70" spans="1:24">
      <c r="A70" s="119">
        <f t="shared" si="3"/>
        <v>21</v>
      </c>
      <c r="I70" s="134"/>
      <c r="J70" s="1550"/>
      <c r="K70" s="1550"/>
      <c r="L70" s="1550"/>
      <c r="M70" s="526"/>
      <c r="N70" s="134"/>
      <c r="O70" s="1550"/>
      <c r="P70" s="1550"/>
      <c r="Q70" s="1550"/>
      <c r="R70" s="526"/>
      <c r="S70" s="134"/>
      <c r="T70" s="131"/>
      <c r="U70" s="131"/>
      <c r="V70" s="131"/>
      <c r="W70" s="148"/>
    </row>
    <row r="71" spans="1:24">
      <c r="A71" s="119">
        <f t="shared" si="3"/>
        <v>22</v>
      </c>
      <c r="B71" s="127">
        <v>2008</v>
      </c>
      <c r="C71" s="545">
        <f>I71+N71+S71</f>
        <v>0</v>
      </c>
      <c r="D71" s="773">
        <f>+J71+O71+T71</f>
        <v>0</v>
      </c>
      <c r="E71" s="773">
        <f>+K71+P71+U71</f>
        <v>0</v>
      </c>
      <c r="F71" s="773">
        <f>+L71+Q71+V71</f>
        <v>0</v>
      </c>
      <c r="G71" s="773">
        <f>+M71+R71+W71</f>
        <v>0</v>
      </c>
      <c r="H71" s="139">
        <f t="shared" ref="H71:H93" si="10">+B71</f>
        <v>2008</v>
      </c>
      <c r="I71" s="168">
        <f>SUM(I54:I66)/13</f>
        <v>0</v>
      </c>
      <c r="J71" s="168">
        <f>SUM(J54:J66)/13</f>
        <v>0</v>
      </c>
      <c r="K71" s="1767">
        <f>K68+SUM(L55*12,L56*11,L57*10,L58*9,L59*8,L60*7,L61*6,L62*5,L63*4,L64*3,L65*2,L66)/13</f>
        <v>0</v>
      </c>
      <c r="L71" s="132">
        <f>J71-K71</f>
        <v>0</v>
      </c>
      <c r="M71" s="171">
        <f>ROUND($L71*M51*(1+M52),2)</f>
        <v>0</v>
      </c>
      <c r="N71" s="168">
        <f>SUM(N54:N66)/13</f>
        <v>0</v>
      </c>
      <c r="O71" s="168">
        <f>SUM(O54:O66)/13</f>
        <v>0</v>
      </c>
      <c r="P71" s="1767">
        <f>P68+SUM(Q55*12,Q56*11,Q57*10,Q58*9,Q59*8,Q60*7,Q61*6,Q62*5,Q63*4,Q64*3,Q65*2,Q66)/13</f>
        <v>0</v>
      </c>
      <c r="Q71" s="132">
        <f>+O71-P71</f>
        <v>0</v>
      </c>
      <c r="R71" s="171">
        <f>ROUND($Q71*R51*(1+R52),2)</f>
        <v>0</v>
      </c>
      <c r="S71" s="168">
        <f>SUM(S54:S66)/13</f>
        <v>0</v>
      </c>
      <c r="T71" s="168">
        <f>SUM(T54:T66)/13</f>
        <v>0</v>
      </c>
      <c r="U71" s="1767">
        <f>U68+SUM(V55*12,V56*11,V57*10,V58*9,V59*8,V60*7,V61*6,V62*5,V63*4,V64*3,V65*2,V66)/13</f>
        <v>0</v>
      </c>
      <c r="V71" s="90">
        <f>+T71-U71</f>
        <v>0</v>
      </c>
      <c r="W71" s="171">
        <f>ROUND($V71*W51*(1+W52),2)</f>
        <v>0</v>
      </c>
    </row>
    <row r="72" spans="1:24">
      <c r="A72" s="119">
        <f t="shared" si="3"/>
        <v>23</v>
      </c>
      <c r="B72" s="127">
        <f>+B71+1</f>
        <v>2009</v>
      </c>
      <c r="C72" s="545">
        <v>0</v>
      </c>
      <c r="D72" s="773">
        <v>0</v>
      </c>
      <c r="E72" s="773">
        <v>0</v>
      </c>
      <c r="F72" s="773">
        <v>0</v>
      </c>
      <c r="G72" s="773">
        <v>0</v>
      </c>
      <c r="H72" s="139">
        <f t="shared" si="10"/>
        <v>2009</v>
      </c>
      <c r="I72" s="168"/>
      <c r="J72" s="799"/>
      <c r="K72" s="133"/>
      <c r="L72" s="132"/>
      <c r="M72" s="171"/>
      <c r="N72" s="168"/>
      <c r="O72" s="799"/>
      <c r="P72" s="133"/>
      <c r="Q72" s="132"/>
      <c r="R72" s="171"/>
      <c r="S72" s="168"/>
      <c r="T72" s="799"/>
      <c r="U72" s="133"/>
      <c r="V72" s="132"/>
      <c r="W72" s="171"/>
    </row>
    <row r="73" spans="1:24">
      <c r="A73" s="119">
        <f t="shared" si="3"/>
        <v>24</v>
      </c>
      <c r="B73" s="127">
        <f t="shared" ref="B73:B93" si="11">+B72+1</f>
        <v>2010</v>
      </c>
      <c r="C73" s="545"/>
      <c r="D73" s="773"/>
      <c r="E73" s="773"/>
      <c r="F73" s="773"/>
      <c r="G73" s="773"/>
      <c r="H73" s="139">
        <f t="shared" si="10"/>
        <v>2010</v>
      </c>
      <c r="I73" s="168"/>
      <c r="J73" s="799"/>
      <c r="K73" s="133"/>
      <c r="L73" s="132"/>
      <c r="M73" s="149"/>
      <c r="N73" s="168"/>
      <c r="O73" s="799"/>
      <c r="P73" s="133"/>
      <c r="Q73" s="132"/>
      <c r="R73" s="149"/>
      <c r="S73" s="168"/>
      <c r="T73" s="799"/>
      <c r="U73" s="133"/>
      <c r="V73" s="132"/>
      <c r="W73" s="149"/>
    </row>
    <row r="74" spans="1:24">
      <c r="A74" s="119">
        <f t="shared" si="3"/>
        <v>25</v>
      </c>
      <c r="B74" s="127">
        <f t="shared" si="11"/>
        <v>2011</v>
      </c>
      <c r="C74" s="139"/>
      <c r="H74" s="139">
        <f t="shared" si="10"/>
        <v>2011</v>
      </c>
      <c r="I74" s="168"/>
      <c r="J74" s="799"/>
      <c r="K74" s="133"/>
      <c r="L74" s="132"/>
      <c r="M74" s="149"/>
      <c r="N74" s="168"/>
      <c r="O74" s="799"/>
      <c r="P74" s="133"/>
      <c r="Q74" s="132"/>
      <c r="R74" s="149"/>
      <c r="S74" s="168"/>
      <c r="T74" s="799"/>
      <c r="U74" s="133"/>
      <c r="V74" s="132"/>
      <c r="W74" s="149"/>
    </row>
    <row r="75" spans="1:24">
      <c r="A75" s="119">
        <f t="shared" si="3"/>
        <v>26</v>
      </c>
      <c r="B75" s="127">
        <f t="shared" si="11"/>
        <v>2012</v>
      </c>
      <c r="C75" s="139"/>
      <c r="H75" s="139">
        <f t="shared" si="10"/>
        <v>2012</v>
      </c>
      <c r="I75" s="168"/>
      <c r="J75" s="799"/>
      <c r="K75" s="133"/>
      <c r="L75" s="132"/>
      <c r="M75" s="149"/>
      <c r="N75" s="168"/>
      <c r="O75" s="799"/>
      <c r="P75" s="133"/>
      <c r="Q75" s="132"/>
      <c r="R75" s="149"/>
      <c r="S75" s="168"/>
      <c r="T75" s="799"/>
      <c r="U75" s="133"/>
      <c r="V75" s="132"/>
      <c r="W75" s="149"/>
    </row>
    <row r="76" spans="1:24">
      <c r="A76" s="119">
        <f t="shared" si="3"/>
        <v>27</v>
      </c>
      <c r="B76" s="127">
        <f t="shared" si="11"/>
        <v>2013</v>
      </c>
      <c r="C76" s="139"/>
      <c r="H76" s="139">
        <f t="shared" si="10"/>
        <v>2013</v>
      </c>
      <c r="I76" s="168"/>
      <c r="J76" s="799"/>
      <c r="K76" s="133"/>
      <c r="L76" s="132"/>
      <c r="M76" s="149"/>
      <c r="N76" s="168"/>
      <c r="O76" s="799"/>
      <c r="P76" s="133"/>
      <c r="Q76" s="132"/>
      <c r="R76" s="149"/>
      <c r="S76" s="168"/>
      <c r="T76" s="799"/>
      <c r="U76" s="133"/>
      <c r="V76" s="132"/>
      <c r="W76" s="149"/>
    </row>
    <row r="77" spans="1:24">
      <c r="A77" s="119">
        <f t="shared" si="3"/>
        <v>28</v>
      </c>
      <c r="B77" s="127">
        <f t="shared" si="11"/>
        <v>2014</v>
      </c>
      <c r="C77" s="139"/>
      <c r="H77" s="139">
        <f t="shared" si="10"/>
        <v>2014</v>
      </c>
      <c r="I77" s="168"/>
      <c r="J77" s="799"/>
      <c r="K77" s="133"/>
      <c r="L77" s="132"/>
      <c r="M77" s="149"/>
      <c r="N77" s="168"/>
      <c r="O77" s="799"/>
      <c r="P77" s="133"/>
      <c r="Q77" s="132"/>
      <c r="R77" s="149"/>
      <c r="S77" s="168"/>
      <c r="T77" s="799"/>
      <c r="U77" s="133"/>
      <c r="V77" s="132"/>
      <c r="W77" s="149"/>
    </row>
    <row r="78" spans="1:24">
      <c r="A78" s="119">
        <f t="shared" si="3"/>
        <v>29</v>
      </c>
      <c r="B78" s="127">
        <f t="shared" si="11"/>
        <v>2015</v>
      </c>
      <c r="C78" s="139"/>
      <c r="H78" s="139">
        <f t="shared" si="10"/>
        <v>2015</v>
      </c>
      <c r="I78" s="168"/>
      <c r="J78" s="799"/>
      <c r="K78" s="133"/>
      <c r="L78" s="132"/>
      <c r="M78" s="149"/>
      <c r="N78" s="168"/>
      <c r="O78" s="799"/>
      <c r="P78" s="133"/>
      <c r="Q78" s="132"/>
      <c r="R78" s="149"/>
      <c r="S78" s="168"/>
      <c r="T78" s="799"/>
      <c r="U78" s="133"/>
      <c r="V78" s="132"/>
      <c r="W78" s="149"/>
    </row>
    <row r="79" spans="1:24">
      <c r="A79" s="119">
        <f t="shared" si="3"/>
        <v>30</v>
      </c>
      <c r="B79" s="127">
        <f t="shared" si="11"/>
        <v>2016</v>
      </c>
      <c r="C79" s="139"/>
      <c r="H79" s="139">
        <f t="shared" si="10"/>
        <v>2016</v>
      </c>
      <c r="I79" s="168"/>
      <c r="J79" s="799"/>
      <c r="K79" s="133"/>
      <c r="L79" s="132"/>
      <c r="M79" s="149"/>
      <c r="N79" s="168"/>
      <c r="O79" s="799"/>
      <c r="P79" s="133"/>
      <c r="Q79" s="132"/>
      <c r="R79" s="149"/>
      <c r="S79" s="168"/>
      <c r="T79" s="799"/>
      <c r="U79" s="133"/>
      <c r="V79" s="132"/>
      <c r="W79" s="149"/>
    </row>
    <row r="80" spans="1:24">
      <c r="A80" s="119">
        <f t="shared" si="3"/>
        <v>31</v>
      </c>
      <c r="B80" s="127">
        <f t="shared" si="11"/>
        <v>2017</v>
      </c>
      <c r="C80" s="139"/>
      <c r="H80" s="139">
        <f t="shared" si="10"/>
        <v>2017</v>
      </c>
      <c r="I80" s="168"/>
      <c r="J80" s="799"/>
      <c r="K80" s="133"/>
      <c r="L80" s="132"/>
      <c r="M80" s="149"/>
      <c r="N80" s="168"/>
      <c r="O80" s="799"/>
      <c r="P80" s="133"/>
      <c r="Q80" s="132"/>
      <c r="R80" s="149"/>
      <c r="S80" s="168"/>
      <c r="T80" s="799"/>
      <c r="U80" s="133"/>
      <c r="V80" s="132"/>
      <c r="W80" s="149"/>
    </row>
    <row r="81" spans="1:23">
      <c r="A81" s="119">
        <f t="shared" si="3"/>
        <v>32</v>
      </c>
      <c r="B81" s="127">
        <f t="shared" si="11"/>
        <v>2018</v>
      </c>
      <c r="C81" s="139"/>
      <c r="H81" s="139">
        <f t="shared" si="10"/>
        <v>2018</v>
      </c>
      <c r="I81" s="168"/>
      <c r="J81" s="799"/>
      <c r="K81" s="133"/>
      <c r="L81" s="132"/>
      <c r="M81" s="149"/>
      <c r="N81" s="168"/>
      <c r="O81" s="799"/>
      <c r="P81" s="133"/>
      <c r="Q81" s="132"/>
      <c r="R81" s="149"/>
      <c r="S81" s="168"/>
      <c r="T81" s="799"/>
      <c r="U81" s="133"/>
      <c r="V81" s="132"/>
      <c r="W81" s="149"/>
    </row>
    <row r="82" spans="1:23">
      <c r="A82" s="119">
        <f t="shared" si="3"/>
        <v>33</v>
      </c>
      <c r="B82" s="127">
        <f t="shared" si="11"/>
        <v>2019</v>
      </c>
      <c r="C82" s="139"/>
      <c r="H82" s="139">
        <f t="shared" si="10"/>
        <v>2019</v>
      </c>
      <c r="I82" s="168"/>
      <c r="J82" s="799"/>
      <c r="K82" s="133"/>
      <c r="L82" s="132"/>
      <c r="M82" s="149"/>
      <c r="N82" s="168"/>
      <c r="O82" s="799"/>
      <c r="P82" s="133"/>
      <c r="Q82" s="132"/>
      <c r="R82" s="149"/>
      <c r="S82" s="168"/>
      <c r="T82" s="799"/>
      <c r="U82" s="133"/>
      <c r="V82" s="132"/>
      <c r="W82" s="149"/>
    </row>
    <row r="83" spans="1:23">
      <c r="A83" s="119">
        <f t="shared" si="3"/>
        <v>34</v>
      </c>
      <c r="B83" s="127">
        <f t="shared" si="11"/>
        <v>2020</v>
      </c>
      <c r="C83" s="139"/>
      <c r="H83" s="139">
        <f t="shared" si="10"/>
        <v>2020</v>
      </c>
      <c r="I83" s="168"/>
      <c r="J83" s="799"/>
      <c r="K83" s="133"/>
      <c r="L83" s="132"/>
      <c r="M83" s="149"/>
      <c r="N83" s="168"/>
      <c r="O83" s="799"/>
      <c r="P83" s="133"/>
      <c r="Q83" s="132"/>
      <c r="R83" s="149"/>
      <c r="S83" s="168"/>
      <c r="T83" s="799"/>
      <c r="U83" s="133"/>
      <c r="V83" s="132"/>
      <c r="W83" s="149"/>
    </row>
    <row r="84" spans="1:23">
      <c r="A84" s="119">
        <f t="shared" si="3"/>
        <v>35</v>
      </c>
      <c r="B84" s="127">
        <f t="shared" si="11"/>
        <v>2021</v>
      </c>
      <c r="C84" s="139"/>
      <c r="H84" s="139">
        <f t="shared" si="10"/>
        <v>2021</v>
      </c>
      <c r="I84" s="168"/>
      <c r="J84" s="799"/>
      <c r="K84" s="133"/>
      <c r="L84" s="132"/>
      <c r="M84" s="149"/>
      <c r="N84" s="168"/>
      <c r="O84" s="799"/>
      <c r="P84" s="133"/>
      <c r="Q84" s="132"/>
      <c r="R84" s="149"/>
      <c r="S84" s="168"/>
      <c r="T84" s="799"/>
      <c r="U84" s="133"/>
      <c r="V84" s="132"/>
      <c r="W84" s="149"/>
    </row>
    <row r="85" spans="1:23">
      <c r="A85" s="119">
        <f t="shared" si="3"/>
        <v>36</v>
      </c>
      <c r="B85" s="127">
        <f t="shared" si="11"/>
        <v>2022</v>
      </c>
      <c r="C85" s="139"/>
      <c r="H85" s="139">
        <f t="shared" si="10"/>
        <v>2022</v>
      </c>
      <c r="I85" s="168"/>
      <c r="J85" s="799"/>
      <c r="K85" s="133"/>
      <c r="L85" s="132"/>
      <c r="M85" s="149"/>
      <c r="N85" s="168"/>
      <c r="O85" s="799"/>
      <c r="P85" s="133"/>
      <c r="Q85" s="132"/>
      <c r="R85" s="149"/>
      <c r="S85" s="168"/>
      <c r="T85" s="799"/>
      <c r="U85" s="133"/>
      <c r="V85" s="132"/>
      <c r="W85" s="149"/>
    </row>
    <row r="86" spans="1:23">
      <c r="A86" s="119">
        <f t="shared" si="3"/>
        <v>37</v>
      </c>
      <c r="B86" s="127">
        <f t="shared" si="11"/>
        <v>2023</v>
      </c>
      <c r="C86" s="139"/>
      <c r="H86" s="139">
        <f t="shared" si="10"/>
        <v>2023</v>
      </c>
      <c r="I86" s="168"/>
      <c r="J86" s="799"/>
      <c r="K86" s="133"/>
      <c r="L86" s="132"/>
      <c r="M86" s="149"/>
      <c r="N86" s="168"/>
      <c r="O86" s="799"/>
      <c r="P86" s="133"/>
      <c r="Q86" s="132"/>
      <c r="R86" s="149"/>
      <c r="S86" s="168"/>
      <c r="T86" s="799"/>
      <c r="U86" s="133"/>
      <c r="V86" s="132"/>
      <c r="W86" s="149"/>
    </row>
    <row r="87" spans="1:23">
      <c r="A87" s="119">
        <f t="shared" si="3"/>
        <v>38</v>
      </c>
      <c r="B87" s="127">
        <f t="shared" si="11"/>
        <v>2024</v>
      </c>
      <c r="C87" s="139"/>
      <c r="H87" s="139">
        <f t="shared" si="10"/>
        <v>2024</v>
      </c>
      <c r="I87" s="168"/>
      <c r="J87" s="799"/>
      <c r="K87" s="133"/>
      <c r="L87" s="132"/>
      <c r="M87" s="149"/>
      <c r="N87" s="168"/>
      <c r="O87" s="799"/>
      <c r="P87" s="133"/>
      <c r="Q87" s="132"/>
      <c r="R87" s="149"/>
      <c r="S87" s="168"/>
      <c r="T87" s="799"/>
      <c r="U87" s="133"/>
      <c r="V87" s="132"/>
      <c r="W87" s="149"/>
    </row>
    <row r="88" spans="1:23">
      <c r="A88" s="119">
        <f t="shared" si="3"/>
        <v>39</v>
      </c>
      <c r="B88" s="127">
        <f t="shared" si="11"/>
        <v>2025</v>
      </c>
      <c r="C88" s="139"/>
      <c r="H88" s="139">
        <f t="shared" si="10"/>
        <v>2025</v>
      </c>
      <c r="I88" s="168"/>
      <c r="J88" s="799"/>
      <c r="K88" s="133"/>
      <c r="L88" s="132"/>
      <c r="M88" s="149"/>
      <c r="N88" s="168"/>
      <c r="O88" s="799"/>
      <c r="P88" s="133"/>
      <c r="Q88" s="132"/>
      <c r="R88" s="149"/>
      <c r="S88" s="168"/>
      <c r="T88" s="799"/>
      <c r="U88" s="133"/>
      <c r="V88" s="132"/>
      <c r="W88" s="149"/>
    </row>
    <row r="89" spans="1:23">
      <c r="A89" s="119">
        <f t="shared" si="3"/>
        <v>40</v>
      </c>
      <c r="B89" s="127">
        <f t="shared" si="11"/>
        <v>2026</v>
      </c>
      <c r="C89" s="139"/>
      <c r="H89" s="139">
        <f t="shared" si="10"/>
        <v>2026</v>
      </c>
      <c r="I89" s="168"/>
      <c r="J89" s="799"/>
      <c r="K89" s="133"/>
      <c r="L89" s="132"/>
      <c r="M89" s="149"/>
      <c r="N89" s="168"/>
      <c r="O89" s="799"/>
      <c r="P89" s="133"/>
      <c r="Q89" s="132"/>
      <c r="R89" s="149"/>
      <c r="S89" s="168"/>
      <c r="T89" s="799"/>
      <c r="U89" s="133"/>
      <c r="V89" s="132"/>
      <c r="W89" s="149"/>
    </row>
    <row r="90" spans="1:23">
      <c r="A90" s="119">
        <f t="shared" si="3"/>
        <v>41</v>
      </c>
      <c r="B90" s="127">
        <f t="shared" si="11"/>
        <v>2027</v>
      </c>
      <c r="C90" s="139"/>
      <c r="H90" s="139">
        <f t="shared" si="10"/>
        <v>2027</v>
      </c>
      <c r="I90" s="168"/>
      <c r="J90" s="799"/>
      <c r="K90" s="133"/>
      <c r="L90" s="132"/>
      <c r="M90" s="149"/>
      <c r="N90" s="168"/>
      <c r="O90" s="799"/>
      <c r="P90" s="133"/>
      <c r="Q90" s="132"/>
      <c r="R90" s="149"/>
      <c r="S90" s="168"/>
      <c r="T90" s="799"/>
      <c r="U90" s="133"/>
      <c r="V90" s="132"/>
      <c r="W90" s="149"/>
    </row>
    <row r="91" spans="1:23">
      <c r="A91" s="119">
        <f t="shared" si="3"/>
        <v>42</v>
      </c>
      <c r="B91" s="127">
        <f t="shared" si="11"/>
        <v>2028</v>
      </c>
      <c r="C91" s="139"/>
      <c r="H91" s="139">
        <f t="shared" si="10"/>
        <v>2028</v>
      </c>
      <c r="I91" s="168"/>
      <c r="J91" s="799"/>
      <c r="K91" s="133"/>
      <c r="L91" s="132"/>
      <c r="M91" s="149"/>
      <c r="N91" s="168"/>
      <c r="O91" s="799"/>
      <c r="P91" s="133"/>
      <c r="Q91" s="132"/>
      <c r="R91" s="149"/>
      <c r="S91" s="168"/>
      <c r="T91" s="799"/>
      <c r="U91" s="133"/>
      <c r="V91" s="132"/>
      <c r="W91" s="149"/>
    </row>
    <row r="92" spans="1:23">
      <c r="A92" s="119">
        <f t="shared" si="3"/>
        <v>43</v>
      </c>
      <c r="B92" s="127">
        <f t="shared" si="11"/>
        <v>2029</v>
      </c>
      <c r="C92" s="139"/>
      <c r="H92" s="139">
        <f t="shared" si="10"/>
        <v>2029</v>
      </c>
      <c r="I92" s="168"/>
      <c r="J92" s="799"/>
      <c r="K92" s="133"/>
      <c r="L92" s="132"/>
      <c r="M92" s="149"/>
      <c r="N92" s="168"/>
      <c r="O92" s="799"/>
      <c r="P92" s="133"/>
      <c r="Q92" s="132"/>
      <c r="R92" s="149"/>
      <c r="S92" s="168"/>
      <c r="T92" s="799"/>
      <c r="U92" s="133"/>
      <c r="V92" s="132"/>
      <c r="W92" s="149"/>
    </row>
    <row r="93" spans="1:23">
      <c r="A93" s="119">
        <f t="shared" si="3"/>
        <v>44</v>
      </c>
      <c r="B93" s="127">
        <f t="shared" si="11"/>
        <v>2030</v>
      </c>
      <c r="C93" s="139"/>
      <c r="H93" s="139">
        <f t="shared" si="10"/>
        <v>2030</v>
      </c>
      <c r="I93" s="920"/>
      <c r="J93" s="921"/>
      <c r="K93" s="922"/>
      <c r="L93" s="138"/>
      <c r="M93" s="150"/>
      <c r="N93" s="920"/>
      <c r="O93" s="921"/>
      <c r="P93" s="922"/>
      <c r="Q93" s="138"/>
      <c r="R93" s="150"/>
      <c r="S93" s="920"/>
      <c r="T93" s="921"/>
      <c r="U93" s="922"/>
      <c r="V93" s="138"/>
      <c r="W93" s="150"/>
    </row>
    <row r="94" spans="1:23">
      <c r="A94" s="119">
        <f>A93+1</f>
        <v>45</v>
      </c>
      <c r="B94" s="127"/>
      <c r="C94" s="139"/>
      <c r="H94" s="139"/>
      <c r="I94" s="799"/>
      <c r="J94" s="799"/>
      <c r="K94" s="133"/>
      <c r="L94" s="132"/>
      <c r="M94" s="132"/>
      <c r="N94" s="799"/>
      <c r="O94" s="799"/>
      <c r="P94" s="133"/>
      <c r="Q94" s="132"/>
      <c r="R94" s="132"/>
      <c r="S94" s="799"/>
      <c r="T94" s="799"/>
      <c r="U94" s="133"/>
      <c r="V94" s="132"/>
      <c r="W94" s="132"/>
    </row>
    <row r="95" spans="1:23" ht="15.75">
      <c r="A95" s="119">
        <f>A94+1</f>
        <v>46</v>
      </c>
      <c r="B95" s="74" t="s">
        <v>1206</v>
      </c>
      <c r="C95" s="74"/>
      <c r="H95" s="139"/>
      <c r="I95" s="139"/>
      <c r="J95" s="155"/>
      <c r="K95" s="155"/>
      <c r="L95" s="155"/>
      <c r="M95" s="155"/>
      <c r="N95" s="155"/>
      <c r="O95" s="277"/>
      <c r="P95" s="155"/>
      <c r="Q95" s="132"/>
      <c r="R95" s="132"/>
      <c r="S95" s="132"/>
      <c r="T95" s="277"/>
      <c r="U95" s="155"/>
      <c r="V95" s="132"/>
    </row>
    <row r="96" spans="1:23" ht="15.75">
      <c r="H96" s="119"/>
      <c r="I96" s="119"/>
      <c r="J96" s="120"/>
      <c r="K96" s="120"/>
      <c r="L96" s="120"/>
      <c r="M96" s="120"/>
      <c r="N96" s="120"/>
      <c r="S96" s="2193" t="s">
        <v>177</v>
      </c>
      <c r="T96" s="2193"/>
      <c r="V96" s="76" t="s">
        <v>1241</v>
      </c>
    </row>
    <row r="97" spans="1:23" ht="18">
      <c r="B97" s="727" t="s">
        <v>339</v>
      </c>
      <c r="C97" s="727"/>
      <c r="T97" s="1100"/>
    </row>
    <row r="98" spans="1:23">
      <c r="A98" s="119">
        <v>1</v>
      </c>
      <c r="D98" s="88"/>
      <c r="E98" s="88"/>
      <c r="F98" s="88"/>
      <c r="G98" s="88"/>
      <c r="H98" s="88"/>
      <c r="I98" s="1777"/>
      <c r="J98" s="1778" t="s">
        <v>623</v>
      </c>
      <c r="K98" s="1779" t="s">
        <v>838</v>
      </c>
      <c r="L98" s="1787" t="s">
        <v>1349</v>
      </c>
      <c r="M98" s="1788">
        <v>0</v>
      </c>
      <c r="N98" s="1777"/>
      <c r="O98" s="1778" t="s">
        <v>623</v>
      </c>
      <c r="P98" s="1779" t="s">
        <v>839</v>
      </c>
      <c r="Q98" s="1787" t="s">
        <v>1349</v>
      </c>
      <c r="R98" s="1780">
        <v>0</v>
      </c>
      <c r="S98" s="1777"/>
      <c r="T98" s="1778" t="s">
        <v>623</v>
      </c>
      <c r="U98" s="1779" t="s">
        <v>1350</v>
      </c>
      <c r="V98" s="1787" t="s">
        <v>1349</v>
      </c>
      <c r="W98" s="1780">
        <v>0</v>
      </c>
    </row>
    <row r="99" spans="1:23">
      <c r="A99" s="119">
        <f>A98+1</f>
        <v>2</v>
      </c>
      <c r="D99" s="88"/>
      <c r="E99" s="88"/>
      <c r="F99" s="88"/>
      <c r="G99" s="88"/>
      <c r="H99" s="88"/>
      <c r="I99" s="134"/>
      <c r="J99" s="135" t="s">
        <v>632</v>
      </c>
      <c r="K99" s="1550"/>
      <c r="L99" s="1765" t="s">
        <v>626</v>
      </c>
      <c r="M99" s="177">
        <f>'Actual Gross Rev Req'!$I$216*M98</f>
        <v>0</v>
      </c>
      <c r="N99" s="134"/>
      <c r="O99" s="135"/>
      <c r="P99" s="135"/>
      <c r="Q99" s="1765" t="s">
        <v>626</v>
      </c>
      <c r="R99" s="177">
        <f>'Actual Gross Rev Req'!$I$216*R98</f>
        <v>0</v>
      </c>
      <c r="S99" s="134"/>
      <c r="T99" s="135"/>
      <c r="U99" s="135"/>
      <c r="V99" s="1765" t="s">
        <v>626</v>
      </c>
      <c r="W99" s="177">
        <f>'Actual Gross Rev Req'!$I$216*W98</f>
        <v>0</v>
      </c>
    </row>
    <row r="100" spans="1:23">
      <c r="A100" s="119">
        <f t="shared" ref="A100:A143" si="12">A99+1</f>
        <v>3</v>
      </c>
      <c r="D100" s="88"/>
      <c r="E100" s="88"/>
      <c r="F100" s="88"/>
      <c r="G100" s="88"/>
      <c r="H100" s="88"/>
      <c r="I100" s="134"/>
      <c r="J100" s="135"/>
      <c r="K100" s="135"/>
      <c r="L100" s="1765" t="s">
        <v>744</v>
      </c>
      <c r="M100" s="1239">
        <f>IF('Actual Gross Rev Req'!$M$217&gt;0,('Actual Gross Rev Req'!$H$109/(1-'Actual Gross Rev Req'!$H$109)),0)</f>
        <v>0.63412352476290834</v>
      </c>
      <c r="N100" s="134"/>
      <c r="O100" s="135"/>
      <c r="P100" s="1239"/>
      <c r="Q100" s="1765" t="s">
        <v>744</v>
      </c>
      <c r="R100" s="1239">
        <f>IF('Actual Gross Rev Req'!$M$217&gt;0,('Actual Gross Rev Req'!$H$109/(1-'Actual Gross Rev Req'!$H$109)),0)</f>
        <v>0.63412352476290834</v>
      </c>
      <c r="S100" s="134"/>
      <c r="T100" s="135"/>
      <c r="U100" s="1239"/>
      <c r="V100" s="1765" t="s">
        <v>744</v>
      </c>
      <c r="W100" s="1239">
        <f>IF('Actual Gross Rev Req'!$M$217&gt;0,('Actual Gross Rev Req'!$H$109/(1-'Actual Gross Rev Req'!$H$109)),0)</f>
        <v>0.63412352476290834</v>
      </c>
    </row>
    <row r="101" spans="1:23" ht="25.5">
      <c r="A101" s="119">
        <f t="shared" si="12"/>
        <v>4</v>
      </c>
      <c r="D101" s="88"/>
      <c r="E101" s="88"/>
      <c r="F101" s="88"/>
      <c r="G101" s="88"/>
      <c r="H101" s="88"/>
      <c r="I101" s="1762" t="s">
        <v>553</v>
      </c>
      <c r="J101" s="1763" t="s">
        <v>1351</v>
      </c>
      <c r="K101" s="1763" t="s">
        <v>1352</v>
      </c>
      <c r="L101" s="1763" t="s">
        <v>1353</v>
      </c>
      <c r="M101" s="135"/>
      <c r="N101" s="1762" t="s">
        <v>553</v>
      </c>
      <c r="O101" s="1763" t="s">
        <v>1351</v>
      </c>
      <c r="P101" s="1763" t="s">
        <v>1352</v>
      </c>
      <c r="Q101" s="1763" t="s">
        <v>1353</v>
      </c>
      <c r="R101" s="145"/>
      <c r="S101" s="1762" t="s">
        <v>553</v>
      </c>
      <c r="T101" s="1763" t="s">
        <v>1351</v>
      </c>
      <c r="U101" s="1763" t="s">
        <v>1352</v>
      </c>
      <c r="V101" s="1763" t="s">
        <v>1353</v>
      </c>
      <c r="W101" s="145"/>
    </row>
    <row r="102" spans="1:23">
      <c r="A102" s="119">
        <f t="shared" si="12"/>
        <v>5</v>
      </c>
      <c r="D102" s="88"/>
      <c r="E102" s="88"/>
      <c r="F102" s="88"/>
      <c r="G102" s="88" t="s">
        <v>1354</v>
      </c>
      <c r="H102" s="88" t="s">
        <v>1355</v>
      </c>
      <c r="I102" s="1785">
        <v>0</v>
      </c>
      <c r="J102" s="133">
        <v>0</v>
      </c>
      <c r="K102" s="177"/>
      <c r="L102" s="135"/>
      <c r="M102" s="145"/>
      <c r="N102" s="1785">
        <v>0</v>
      </c>
      <c r="O102" s="133">
        <v>0</v>
      </c>
      <c r="P102" s="177"/>
      <c r="Q102" s="135"/>
      <c r="R102" s="145"/>
      <c r="S102" s="1785">
        <v>0</v>
      </c>
      <c r="T102" s="133">
        <v>0</v>
      </c>
      <c r="U102" s="177"/>
      <c r="V102" s="135"/>
      <c r="W102" s="145"/>
    </row>
    <row r="103" spans="1:23">
      <c r="A103" s="119">
        <f t="shared" si="12"/>
        <v>6</v>
      </c>
      <c r="D103" s="88"/>
      <c r="E103" s="88"/>
      <c r="F103" s="88"/>
      <c r="G103" s="88" t="s">
        <v>1356</v>
      </c>
      <c r="H103" s="88" t="s">
        <v>674</v>
      </c>
      <c r="I103" s="1785">
        <v>0</v>
      </c>
      <c r="J103" s="133">
        <f>J102</f>
        <v>0</v>
      </c>
      <c r="K103" s="177">
        <f>(IF('Actual Gross Rev Req'!$H$16=0,0,'Actual Gross Rev Req'!$H$92/'Actual Gross Rev Req'!$H$16)/12)</f>
        <v>1.4936180092078701E-3</v>
      </c>
      <c r="L103" s="90">
        <f>+K103*J102</f>
        <v>0</v>
      </c>
      <c r="M103" s="135"/>
      <c r="N103" s="1785">
        <v>0</v>
      </c>
      <c r="O103" s="133">
        <f>O102</f>
        <v>0</v>
      </c>
      <c r="P103" s="177">
        <f>(IF('Actual Gross Rev Req'!$H$16=0,0,'Actual Gross Rev Req'!$H$92/'Actual Gross Rev Req'!$H$16)/12)</f>
        <v>1.4936180092078701E-3</v>
      </c>
      <c r="Q103" s="90">
        <f>+P103*O102</f>
        <v>0</v>
      </c>
      <c r="R103" s="145"/>
      <c r="S103" s="1785">
        <v>0</v>
      </c>
      <c r="T103" s="133">
        <f>T102</f>
        <v>0</v>
      </c>
      <c r="U103" s="177">
        <f>(IF('Actual Gross Rev Req'!$H$16=0,0,'Actual Gross Rev Req'!$H$92/'Actual Gross Rev Req'!$H$16)/12)</f>
        <v>1.4936180092078701E-3</v>
      </c>
      <c r="V103" s="90">
        <f>+U103*T102</f>
        <v>0</v>
      </c>
      <c r="W103" s="145"/>
    </row>
    <row r="104" spans="1:23">
      <c r="A104" s="119">
        <f t="shared" si="12"/>
        <v>7</v>
      </c>
      <c r="D104" s="88"/>
      <c r="E104" s="88"/>
      <c r="F104" s="88"/>
      <c r="G104" s="88" t="s">
        <v>1356</v>
      </c>
      <c r="H104" s="88" t="s">
        <v>1357</v>
      </c>
      <c r="I104" s="1785">
        <v>0</v>
      </c>
      <c r="J104" s="133">
        <f t="shared" ref="J104:J114" si="13">J103</f>
        <v>0</v>
      </c>
      <c r="K104" s="177">
        <f t="shared" ref="K104:K114" si="14">K103</f>
        <v>1.4936180092078701E-3</v>
      </c>
      <c r="L104" s="90">
        <f t="shared" ref="L104:L113" si="15">+K104*J103</f>
        <v>0</v>
      </c>
      <c r="M104" s="145"/>
      <c r="N104" s="1785">
        <v>0</v>
      </c>
      <c r="O104" s="133">
        <f t="shared" ref="O104:O114" si="16">O103</f>
        <v>0</v>
      </c>
      <c r="P104" s="177">
        <f t="shared" ref="P104:P114" si="17">P103</f>
        <v>1.4936180092078701E-3</v>
      </c>
      <c r="Q104" s="90">
        <f t="shared" ref="Q104:Q113" si="18">+P104*O103</f>
        <v>0</v>
      </c>
      <c r="R104" s="145"/>
      <c r="S104" s="1785">
        <v>0</v>
      </c>
      <c r="T104" s="133">
        <f t="shared" ref="T104:T114" si="19">T103</f>
        <v>0</v>
      </c>
      <c r="U104" s="177">
        <f t="shared" ref="U104:U114" si="20">U103</f>
        <v>1.4936180092078701E-3</v>
      </c>
      <c r="V104" s="90">
        <f t="shared" ref="V104:V113" si="21">+U104*T103</f>
        <v>0</v>
      </c>
      <c r="W104" s="145"/>
    </row>
    <row r="105" spans="1:23">
      <c r="A105" s="119">
        <f t="shared" si="12"/>
        <v>8</v>
      </c>
      <c r="D105" s="88"/>
      <c r="E105" s="88"/>
      <c r="F105" s="88"/>
      <c r="G105" s="88" t="s">
        <v>1356</v>
      </c>
      <c r="H105" s="88" t="s">
        <v>1358</v>
      </c>
      <c r="I105" s="1785">
        <v>0</v>
      </c>
      <c r="J105" s="133">
        <v>0</v>
      </c>
      <c r="K105" s="177">
        <f t="shared" si="14"/>
        <v>1.4936180092078701E-3</v>
      </c>
      <c r="L105" s="90">
        <f t="shared" si="15"/>
        <v>0</v>
      </c>
      <c r="M105" s="145"/>
      <c r="N105" s="1785">
        <v>0</v>
      </c>
      <c r="O105" s="133">
        <v>0</v>
      </c>
      <c r="P105" s="177">
        <f t="shared" si="17"/>
        <v>1.4936180092078701E-3</v>
      </c>
      <c r="Q105" s="90">
        <f t="shared" si="18"/>
        <v>0</v>
      </c>
      <c r="R105" s="145"/>
      <c r="S105" s="1785">
        <v>0</v>
      </c>
      <c r="T105" s="133">
        <v>0</v>
      </c>
      <c r="U105" s="177">
        <f t="shared" si="20"/>
        <v>1.4936180092078701E-3</v>
      </c>
      <c r="V105" s="90">
        <f t="shared" si="21"/>
        <v>0</v>
      </c>
      <c r="W105" s="145"/>
    </row>
    <row r="106" spans="1:23">
      <c r="A106" s="119">
        <f t="shared" si="12"/>
        <v>9</v>
      </c>
      <c r="D106" s="88"/>
      <c r="E106" s="88"/>
      <c r="F106" s="88"/>
      <c r="G106" s="88" t="s">
        <v>1356</v>
      </c>
      <c r="H106" s="88" t="s">
        <v>1359</v>
      </c>
      <c r="I106" s="1785">
        <v>0</v>
      </c>
      <c r="J106" s="133">
        <f t="shared" si="13"/>
        <v>0</v>
      </c>
      <c r="K106" s="177">
        <f t="shared" si="14"/>
        <v>1.4936180092078701E-3</v>
      </c>
      <c r="L106" s="90">
        <f t="shared" si="15"/>
        <v>0</v>
      </c>
      <c r="M106" s="145"/>
      <c r="N106" s="1785">
        <v>0</v>
      </c>
      <c r="O106" s="133">
        <f t="shared" si="16"/>
        <v>0</v>
      </c>
      <c r="P106" s="177">
        <f t="shared" si="17"/>
        <v>1.4936180092078701E-3</v>
      </c>
      <c r="Q106" s="90">
        <f t="shared" si="18"/>
        <v>0</v>
      </c>
      <c r="R106" s="145"/>
      <c r="S106" s="1785">
        <v>0</v>
      </c>
      <c r="T106" s="133">
        <f t="shared" si="19"/>
        <v>0</v>
      </c>
      <c r="U106" s="177">
        <f t="shared" si="20"/>
        <v>1.4936180092078701E-3</v>
      </c>
      <c r="V106" s="90">
        <f t="shared" si="21"/>
        <v>0</v>
      </c>
      <c r="W106" s="145"/>
    </row>
    <row r="107" spans="1:23">
      <c r="A107" s="119">
        <f t="shared" si="12"/>
        <v>10</v>
      </c>
      <c r="D107" s="88"/>
      <c r="E107" s="88"/>
      <c r="F107" s="88"/>
      <c r="G107" s="88" t="s">
        <v>1356</v>
      </c>
      <c r="H107" s="88" t="s">
        <v>1125</v>
      </c>
      <c r="I107" s="1785">
        <v>0</v>
      </c>
      <c r="J107" s="133">
        <f t="shared" si="13"/>
        <v>0</v>
      </c>
      <c r="K107" s="177">
        <f t="shared" si="14"/>
        <v>1.4936180092078701E-3</v>
      </c>
      <c r="L107" s="90">
        <f t="shared" si="15"/>
        <v>0</v>
      </c>
      <c r="M107" s="145"/>
      <c r="N107" s="1785">
        <v>0</v>
      </c>
      <c r="O107" s="133">
        <f t="shared" si="16"/>
        <v>0</v>
      </c>
      <c r="P107" s="177">
        <f t="shared" si="17"/>
        <v>1.4936180092078701E-3</v>
      </c>
      <c r="Q107" s="90">
        <f t="shared" si="18"/>
        <v>0</v>
      </c>
      <c r="R107" s="145"/>
      <c r="S107" s="1785">
        <v>0</v>
      </c>
      <c r="T107" s="133">
        <f t="shared" si="19"/>
        <v>0</v>
      </c>
      <c r="U107" s="177">
        <f t="shared" si="20"/>
        <v>1.4936180092078701E-3</v>
      </c>
      <c r="V107" s="90">
        <f t="shared" si="21"/>
        <v>0</v>
      </c>
      <c r="W107" s="145"/>
    </row>
    <row r="108" spans="1:23">
      <c r="A108" s="119">
        <f t="shared" si="12"/>
        <v>11</v>
      </c>
      <c r="D108" s="88"/>
      <c r="E108" s="88"/>
      <c r="F108" s="88"/>
      <c r="G108" s="88" t="s">
        <v>1356</v>
      </c>
      <c r="H108" s="88" t="s">
        <v>675</v>
      </c>
      <c r="I108" s="1785">
        <v>0</v>
      </c>
      <c r="J108" s="133">
        <f t="shared" si="13"/>
        <v>0</v>
      </c>
      <c r="K108" s="177">
        <f t="shared" si="14"/>
        <v>1.4936180092078701E-3</v>
      </c>
      <c r="L108" s="90">
        <f t="shared" si="15"/>
        <v>0</v>
      </c>
      <c r="M108" s="145"/>
      <c r="N108" s="1785">
        <v>0</v>
      </c>
      <c r="O108" s="133">
        <f t="shared" si="16"/>
        <v>0</v>
      </c>
      <c r="P108" s="177">
        <f t="shared" si="17"/>
        <v>1.4936180092078701E-3</v>
      </c>
      <c r="Q108" s="90">
        <f t="shared" si="18"/>
        <v>0</v>
      </c>
      <c r="R108" s="145"/>
      <c r="S108" s="1785">
        <v>0</v>
      </c>
      <c r="T108" s="133">
        <f t="shared" si="19"/>
        <v>0</v>
      </c>
      <c r="U108" s="177">
        <f t="shared" si="20"/>
        <v>1.4936180092078701E-3</v>
      </c>
      <c r="V108" s="90">
        <f t="shared" si="21"/>
        <v>0</v>
      </c>
      <c r="W108" s="145"/>
    </row>
    <row r="109" spans="1:23">
      <c r="A109" s="119">
        <f t="shared" si="12"/>
        <v>12</v>
      </c>
      <c r="D109" s="88"/>
      <c r="E109" s="88"/>
      <c r="F109" s="88"/>
      <c r="G109" s="88" t="s">
        <v>1356</v>
      </c>
      <c r="H109" s="88" t="s">
        <v>1360</v>
      </c>
      <c r="I109" s="1785">
        <v>0</v>
      </c>
      <c r="J109" s="133">
        <f t="shared" si="13"/>
        <v>0</v>
      </c>
      <c r="K109" s="177">
        <f t="shared" si="14"/>
        <v>1.4936180092078701E-3</v>
      </c>
      <c r="L109" s="90">
        <f t="shared" si="15"/>
        <v>0</v>
      </c>
      <c r="M109" s="145"/>
      <c r="N109" s="1785">
        <v>0</v>
      </c>
      <c r="O109" s="133">
        <f t="shared" si="16"/>
        <v>0</v>
      </c>
      <c r="P109" s="177">
        <f t="shared" si="17"/>
        <v>1.4936180092078701E-3</v>
      </c>
      <c r="Q109" s="90">
        <f t="shared" si="18"/>
        <v>0</v>
      </c>
      <c r="R109" s="145"/>
      <c r="S109" s="1785">
        <v>0</v>
      </c>
      <c r="T109" s="133">
        <f t="shared" si="19"/>
        <v>0</v>
      </c>
      <c r="U109" s="177">
        <f t="shared" si="20"/>
        <v>1.4936180092078701E-3</v>
      </c>
      <c r="V109" s="90">
        <f t="shared" si="21"/>
        <v>0</v>
      </c>
      <c r="W109" s="145"/>
    </row>
    <row r="110" spans="1:23">
      <c r="A110" s="119">
        <f t="shared" si="12"/>
        <v>13</v>
      </c>
      <c r="D110" s="88"/>
      <c r="E110" s="88"/>
      <c r="F110" s="88"/>
      <c r="G110" s="88" t="s">
        <v>1356</v>
      </c>
      <c r="H110" s="88" t="s">
        <v>1361</v>
      </c>
      <c r="I110" s="1785">
        <v>0</v>
      </c>
      <c r="J110" s="133">
        <f t="shared" si="13"/>
        <v>0</v>
      </c>
      <c r="K110" s="177">
        <f t="shared" si="14"/>
        <v>1.4936180092078701E-3</v>
      </c>
      <c r="L110" s="90">
        <f t="shared" si="15"/>
        <v>0</v>
      </c>
      <c r="M110" s="145"/>
      <c r="N110" s="1785">
        <v>0</v>
      </c>
      <c r="O110" s="133">
        <f t="shared" si="16"/>
        <v>0</v>
      </c>
      <c r="P110" s="177">
        <f t="shared" si="17"/>
        <v>1.4936180092078701E-3</v>
      </c>
      <c r="Q110" s="90">
        <f t="shared" si="18"/>
        <v>0</v>
      </c>
      <c r="R110" s="145"/>
      <c r="S110" s="1785">
        <v>0</v>
      </c>
      <c r="T110" s="133">
        <f t="shared" si="19"/>
        <v>0</v>
      </c>
      <c r="U110" s="177">
        <f t="shared" si="20"/>
        <v>1.4936180092078701E-3</v>
      </c>
      <c r="V110" s="90">
        <f t="shared" si="21"/>
        <v>0</v>
      </c>
      <c r="W110" s="145"/>
    </row>
    <row r="111" spans="1:23">
      <c r="A111" s="119">
        <f t="shared" si="12"/>
        <v>14</v>
      </c>
      <c r="D111" s="88"/>
      <c r="E111" s="88"/>
      <c r="F111" s="88"/>
      <c r="G111" s="88" t="s">
        <v>1356</v>
      </c>
      <c r="H111" s="88" t="s">
        <v>1362</v>
      </c>
      <c r="I111" s="1785">
        <v>0</v>
      </c>
      <c r="J111" s="133">
        <f t="shared" si="13"/>
        <v>0</v>
      </c>
      <c r="K111" s="177">
        <f t="shared" si="14"/>
        <v>1.4936180092078701E-3</v>
      </c>
      <c r="L111" s="90">
        <f t="shared" si="15"/>
        <v>0</v>
      </c>
      <c r="M111" s="145"/>
      <c r="N111" s="1785">
        <v>0</v>
      </c>
      <c r="O111" s="133">
        <f t="shared" si="16"/>
        <v>0</v>
      </c>
      <c r="P111" s="177">
        <f t="shared" si="17"/>
        <v>1.4936180092078701E-3</v>
      </c>
      <c r="Q111" s="90">
        <f t="shared" si="18"/>
        <v>0</v>
      </c>
      <c r="R111" s="145"/>
      <c r="S111" s="1785">
        <v>0</v>
      </c>
      <c r="T111" s="133">
        <f t="shared" si="19"/>
        <v>0</v>
      </c>
      <c r="U111" s="177">
        <f t="shared" si="20"/>
        <v>1.4936180092078701E-3</v>
      </c>
      <c r="V111" s="90">
        <f t="shared" si="21"/>
        <v>0</v>
      </c>
      <c r="W111" s="145"/>
    </row>
    <row r="112" spans="1:23">
      <c r="A112" s="119">
        <f t="shared" si="12"/>
        <v>15</v>
      </c>
      <c r="D112" s="88"/>
      <c r="E112" s="88"/>
      <c r="F112" s="88"/>
      <c r="G112" s="88" t="s">
        <v>1356</v>
      </c>
      <c r="H112" s="88" t="s">
        <v>676</v>
      </c>
      <c r="I112" s="1785">
        <v>0</v>
      </c>
      <c r="J112" s="133">
        <f t="shared" si="13"/>
        <v>0</v>
      </c>
      <c r="K112" s="177">
        <f t="shared" si="14"/>
        <v>1.4936180092078701E-3</v>
      </c>
      <c r="L112" s="90">
        <f t="shared" si="15"/>
        <v>0</v>
      </c>
      <c r="M112" s="145"/>
      <c r="N112" s="1785">
        <v>0</v>
      </c>
      <c r="O112" s="133">
        <f t="shared" si="16"/>
        <v>0</v>
      </c>
      <c r="P112" s="177">
        <f t="shared" si="17"/>
        <v>1.4936180092078701E-3</v>
      </c>
      <c r="Q112" s="90">
        <f t="shared" si="18"/>
        <v>0</v>
      </c>
      <c r="R112" s="145"/>
      <c r="S112" s="1785">
        <v>0</v>
      </c>
      <c r="T112" s="133">
        <f t="shared" si="19"/>
        <v>0</v>
      </c>
      <c r="U112" s="177">
        <f t="shared" si="20"/>
        <v>1.4936180092078701E-3</v>
      </c>
      <c r="V112" s="90">
        <f t="shared" si="21"/>
        <v>0</v>
      </c>
      <c r="W112" s="145"/>
    </row>
    <row r="113" spans="1:23">
      <c r="A113" s="119">
        <f t="shared" si="12"/>
        <v>16</v>
      </c>
      <c r="D113" s="88"/>
      <c r="E113" s="88"/>
      <c r="F113" s="88"/>
      <c r="G113" s="88" t="s">
        <v>1356</v>
      </c>
      <c r="H113" s="88" t="s">
        <v>1363</v>
      </c>
      <c r="I113" s="1785">
        <v>0</v>
      </c>
      <c r="J113" s="133">
        <f t="shared" si="13"/>
        <v>0</v>
      </c>
      <c r="K113" s="177">
        <f t="shared" si="14"/>
        <v>1.4936180092078701E-3</v>
      </c>
      <c r="L113" s="90">
        <f t="shared" si="15"/>
        <v>0</v>
      </c>
      <c r="M113" s="145"/>
      <c r="N113" s="1785">
        <v>0</v>
      </c>
      <c r="O113" s="133">
        <f t="shared" si="16"/>
        <v>0</v>
      </c>
      <c r="P113" s="177">
        <f t="shared" si="17"/>
        <v>1.4936180092078701E-3</v>
      </c>
      <c r="Q113" s="90">
        <f t="shared" si="18"/>
        <v>0</v>
      </c>
      <c r="R113" s="145"/>
      <c r="S113" s="1785">
        <v>0</v>
      </c>
      <c r="T113" s="133">
        <f t="shared" si="19"/>
        <v>0</v>
      </c>
      <c r="U113" s="177">
        <f t="shared" si="20"/>
        <v>1.4936180092078701E-3</v>
      </c>
      <c r="V113" s="90">
        <f t="shared" si="21"/>
        <v>0</v>
      </c>
      <c r="W113" s="145"/>
    </row>
    <row r="114" spans="1:23">
      <c r="A114" s="119">
        <f t="shared" si="12"/>
        <v>17</v>
      </c>
      <c r="D114" s="88"/>
      <c r="E114" s="88"/>
      <c r="F114" s="88"/>
      <c r="G114" s="88" t="s">
        <v>1356</v>
      </c>
      <c r="H114" s="88" t="s">
        <v>1355</v>
      </c>
      <c r="I114" s="1785">
        <v>0</v>
      </c>
      <c r="J114" s="133">
        <f t="shared" si="13"/>
        <v>0</v>
      </c>
      <c r="K114" s="177">
        <f t="shared" si="14"/>
        <v>1.4936180092078701E-3</v>
      </c>
      <c r="L114" s="363">
        <f>+K114*J113</f>
        <v>0</v>
      </c>
      <c r="M114" s="145"/>
      <c r="N114" s="1785">
        <v>0</v>
      </c>
      <c r="O114" s="133">
        <f t="shared" si="16"/>
        <v>0</v>
      </c>
      <c r="P114" s="177">
        <f t="shared" si="17"/>
        <v>1.4936180092078701E-3</v>
      </c>
      <c r="Q114" s="363">
        <f>+P114*O113</f>
        <v>0</v>
      </c>
      <c r="R114" s="145"/>
      <c r="S114" s="1785">
        <v>0</v>
      </c>
      <c r="T114" s="133">
        <f t="shared" si="19"/>
        <v>0</v>
      </c>
      <c r="U114" s="177">
        <f t="shared" si="20"/>
        <v>1.4936180092078701E-3</v>
      </c>
      <c r="V114" s="363">
        <f>+U114*T113</f>
        <v>0</v>
      </c>
      <c r="W114" s="145"/>
    </row>
    <row r="115" spans="1:23">
      <c r="A115" s="119">
        <f t="shared" si="12"/>
        <v>18</v>
      </c>
      <c r="D115" s="88"/>
      <c r="E115" s="88"/>
      <c r="F115" s="88"/>
      <c r="G115" s="88"/>
      <c r="H115" s="88"/>
      <c r="I115" s="134"/>
      <c r="J115" s="1765"/>
      <c r="K115" s="135" t="str">
        <f>"Sum lines "&amp;$A103&amp;" - "&amp;$A114&amp;""</f>
        <v>Sum lines 6 - 17</v>
      </c>
      <c r="L115" s="90">
        <f>SUM(L103:L114)</f>
        <v>0</v>
      </c>
      <c r="M115" s="145"/>
      <c r="N115" s="134"/>
      <c r="O115" s="1765"/>
      <c r="P115" s="135" t="str">
        <f>"Sum lines "&amp;$A103&amp;" - "&amp;$A114&amp;""</f>
        <v>Sum lines 6 - 17</v>
      </c>
      <c r="Q115" s="90">
        <f>SUM(Q103:Q114)</f>
        <v>0</v>
      </c>
      <c r="R115" s="145"/>
      <c r="S115" s="134"/>
      <c r="T115" s="1765"/>
      <c r="U115" s="135" t="str">
        <f>"Sum lines "&amp;$A103&amp;" - "&amp;$A114&amp;""</f>
        <v>Sum lines 6 - 17</v>
      </c>
      <c r="V115" s="90">
        <f>SUM(V103:V114)</f>
        <v>0</v>
      </c>
      <c r="W115" s="145"/>
    </row>
    <row r="116" spans="1:23">
      <c r="A116" s="119">
        <f t="shared" si="12"/>
        <v>19</v>
      </c>
      <c r="D116" s="2211" t="s">
        <v>54</v>
      </c>
      <c r="E116" s="2211"/>
      <c r="F116" s="2211"/>
      <c r="G116" s="2211"/>
      <c r="H116" s="88"/>
      <c r="I116" s="134"/>
      <c r="J116" s="1782" t="s">
        <v>1512</v>
      </c>
      <c r="K116" s="922">
        <v>0</v>
      </c>
      <c r="L116" s="433"/>
      <c r="M116" s="980"/>
      <c r="N116" s="134"/>
      <c r="O116" s="1782" t="s">
        <v>1512</v>
      </c>
      <c r="P116" s="922">
        <v>0</v>
      </c>
      <c r="Q116" s="433"/>
      <c r="R116" s="980"/>
      <c r="S116" s="134"/>
      <c r="T116" s="1782" t="s">
        <v>1512</v>
      </c>
      <c r="U116" s="922">
        <v>0</v>
      </c>
      <c r="V116" s="433"/>
      <c r="W116" s="980"/>
    </row>
    <row r="117" spans="1:23">
      <c r="A117" s="119">
        <f t="shared" si="12"/>
        <v>20</v>
      </c>
      <c r="B117" s="141" t="s">
        <v>394</v>
      </c>
      <c r="C117" s="924" t="s">
        <v>137</v>
      </c>
      <c r="D117" s="1783" t="s">
        <v>1045</v>
      </c>
      <c r="E117" s="1783" t="s">
        <v>62</v>
      </c>
      <c r="F117" s="1783" t="s">
        <v>265</v>
      </c>
      <c r="G117" s="1783" t="s">
        <v>630</v>
      </c>
      <c r="H117" s="1783" t="s">
        <v>394</v>
      </c>
      <c r="I117" s="1784" t="s">
        <v>137</v>
      </c>
      <c r="J117" s="1784" t="s">
        <v>1045</v>
      </c>
      <c r="K117" s="1784" t="s">
        <v>634</v>
      </c>
      <c r="L117" s="1784" t="s">
        <v>265</v>
      </c>
      <c r="M117" s="1784" t="s">
        <v>630</v>
      </c>
      <c r="N117" s="1784" t="s">
        <v>137</v>
      </c>
      <c r="O117" s="1784" t="s">
        <v>1045</v>
      </c>
      <c r="P117" s="1784" t="s">
        <v>634</v>
      </c>
      <c r="Q117" s="1784" t="s">
        <v>265</v>
      </c>
      <c r="R117" s="1784" t="s">
        <v>630</v>
      </c>
      <c r="S117" s="1784" t="s">
        <v>137</v>
      </c>
      <c r="T117" s="1784" t="s">
        <v>1045</v>
      </c>
      <c r="U117" s="1784" t="s">
        <v>634</v>
      </c>
      <c r="V117" s="1784" t="s">
        <v>265</v>
      </c>
      <c r="W117" s="1784" t="s">
        <v>630</v>
      </c>
    </row>
    <row r="118" spans="1:23">
      <c r="A118" s="119">
        <f t="shared" si="12"/>
        <v>21</v>
      </c>
      <c r="D118" s="88"/>
      <c r="E118" s="88"/>
      <c r="F118" s="88"/>
      <c r="G118" s="88"/>
      <c r="H118" s="88"/>
      <c r="I118" s="134"/>
      <c r="J118" s="1550"/>
      <c r="K118" s="1550"/>
      <c r="L118" s="1550"/>
      <c r="M118" s="526"/>
      <c r="N118" s="134"/>
      <c r="O118" s="1550"/>
      <c r="P118" s="1550"/>
      <c r="Q118" s="1550"/>
      <c r="R118" s="526"/>
      <c r="S118" s="134"/>
      <c r="T118" s="1550"/>
      <c r="U118" s="1550"/>
      <c r="V118" s="1550"/>
      <c r="W118" s="526"/>
    </row>
    <row r="119" spans="1:23">
      <c r="A119" s="119">
        <f t="shared" si="12"/>
        <v>22</v>
      </c>
      <c r="B119" s="127">
        <v>2008</v>
      </c>
      <c r="C119" s="925">
        <f>I119+N119+S119</f>
        <v>0</v>
      </c>
      <c r="D119" s="1001">
        <f>+J119+O119+T119</f>
        <v>0</v>
      </c>
      <c r="E119" s="1001">
        <f>+K119+P119+U119</f>
        <v>0</v>
      </c>
      <c r="F119" s="1001">
        <f>+L119+Q119+V119</f>
        <v>0</v>
      </c>
      <c r="G119" s="1001">
        <f>+M119+R119+W119</f>
        <v>0</v>
      </c>
      <c r="H119" s="139">
        <f t="shared" ref="H119:H140" si="22">+B119</f>
        <v>2008</v>
      </c>
      <c r="I119" s="168">
        <f>SUM(I102:I114)/13</f>
        <v>0</v>
      </c>
      <c r="J119" s="168">
        <f>SUM(J102:J114)/13</f>
        <v>0</v>
      </c>
      <c r="K119" s="1790">
        <f>K116+SUM(L103*12,L104*11,L105*10,L106*9,L107*8,L108*7,L109*6,L110*5,L111*4,L112*3,L113*2,L114)/13</f>
        <v>0</v>
      </c>
      <c r="L119" s="90">
        <f>+J119-K119</f>
        <v>0</v>
      </c>
      <c r="M119" s="171">
        <f>ROUND($L119*M99*(1+M100),2)</f>
        <v>0</v>
      </c>
      <c r="N119" s="986">
        <f>SUM(N102:N114)/13</f>
        <v>0</v>
      </c>
      <c r="O119" s="986">
        <f>SUM(O102:O114)/13</f>
        <v>0</v>
      </c>
      <c r="P119" s="1789">
        <f>P116+SUM(Q103*12,Q104*11,Q105*10,Q106*9,Q107*8,Q108*7,Q109*6,Q110*5,Q111*4,Q112*3,Q113*2,Q114)/13</f>
        <v>0</v>
      </c>
      <c r="Q119" s="90">
        <f>+O119-P119</f>
        <v>0</v>
      </c>
      <c r="R119" s="171">
        <f>ROUND($Q119*R99*(1+R100),2)</f>
        <v>0</v>
      </c>
      <c r="S119" s="986">
        <f>SUM(S102:S114)/13</f>
        <v>0</v>
      </c>
      <c r="T119" s="986">
        <f>SUM(T102:T114)/13</f>
        <v>0</v>
      </c>
      <c r="U119" s="1789">
        <f>U116+SUM(V103*12,V104*11,V105*10,V106*9,V107*8,V108*7,V109*6,V110*5,V111*4,V112*3,V113*2,V114)/13</f>
        <v>0</v>
      </c>
      <c r="V119" s="90">
        <f>+T119-U119</f>
        <v>0</v>
      </c>
      <c r="W119" s="171">
        <f>ROUND($V119*W99*(1+W100),2)</f>
        <v>0</v>
      </c>
    </row>
    <row r="120" spans="1:23">
      <c r="A120" s="119">
        <f t="shared" si="12"/>
        <v>23</v>
      </c>
      <c r="B120" s="127">
        <f>+B119+1</f>
        <v>2009</v>
      </c>
      <c r="C120" s="925">
        <f>I120+N120+S120</f>
        <v>0</v>
      </c>
      <c r="D120" s="773"/>
      <c r="E120" s="773"/>
      <c r="F120" s="773"/>
      <c r="G120" s="773"/>
      <c r="H120" s="139">
        <f t="shared" si="22"/>
        <v>2009</v>
      </c>
      <c r="I120" s="168"/>
      <c r="J120" s="799"/>
      <c r="K120" s="133"/>
      <c r="L120" s="132"/>
      <c r="M120" s="171"/>
      <c r="N120" s="168"/>
      <c r="O120" s="799"/>
      <c r="P120" s="133"/>
      <c r="Q120" s="132"/>
      <c r="R120" s="171"/>
      <c r="S120" s="168"/>
      <c r="T120" s="799"/>
      <c r="U120" s="133"/>
      <c r="V120" s="132"/>
      <c r="W120" s="171"/>
    </row>
    <row r="121" spans="1:23">
      <c r="A121" s="119">
        <f t="shared" si="12"/>
        <v>24</v>
      </c>
      <c r="B121" s="127">
        <f>+B120+1</f>
        <v>2010</v>
      </c>
      <c r="C121" s="127"/>
      <c r="H121" s="139">
        <f t="shared" si="22"/>
        <v>2010</v>
      </c>
      <c r="I121" s="168"/>
      <c r="J121" s="799"/>
      <c r="K121" s="133"/>
      <c r="L121" s="132"/>
      <c r="M121" s="149"/>
      <c r="N121" s="168"/>
      <c r="O121" s="799"/>
      <c r="P121" s="133"/>
      <c r="Q121" s="132"/>
      <c r="R121" s="149"/>
      <c r="S121" s="168"/>
      <c r="T121" s="799"/>
      <c r="U121" s="133"/>
      <c r="V121" s="132"/>
      <c r="W121" s="149"/>
    </row>
    <row r="122" spans="1:23">
      <c r="A122" s="119">
        <f t="shared" si="12"/>
        <v>25</v>
      </c>
      <c r="B122" s="127">
        <f t="shared" ref="B122:B140" si="23">+B121+1</f>
        <v>2011</v>
      </c>
      <c r="C122" s="127"/>
      <c r="H122" s="139">
        <f t="shared" si="22"/>
        <v>2011</v>
      </c>
      <c r="I122" s="168"/>
      <c r="J122" s="799"/>
      <c r="K122" s="133"/>
      <c r="L122" s="132"/>
      <c r="M122" s="149"/>
      <c r="N122" s="168"/>
      <c r="O122" s="799"/>
      <c r="P122" s="133"/>
      <c r="Q122" s="132"/>
      <c r="R122" s="149"/>
      <c r="S122" s="168"/>
      <c r="T122" s="799"/>
      <c r="U122" s="133"/>
      <c r="V122" s="132"/>
      <c r="W122" s="149"/>
    </row>
    <row r="123" spans="1:23">
      <c r="A123" s="119">
        <f t="shared" si="12"/>
        <v>26</v>
      </c>
      <c r="B123" s="127">
        <f t="shared" si="23"/>
        <v>2012</v>
      </c>
      <c r="C123" s="127"/>
      <c r="H123" s="139">
        <f t="shared" si="22"/>
        <v>2012</v>
      </c>
      <c r="I123" s="168"/>
      <c r="J123" s="799"/>
      <c r="K123" s="133"/>
      <c r="L123" s="132"/>
      <c r="M123" s="149"/>
      <c r="N123" s="168"/>
      <c r="O123" s="799"/>
      <c r="P123" s="133"/>
      <c r="Q123" s="132"/>
      <c r="R123" s="149"/>
      <c r="S123" s="168"/>
      <c r="T123" s="799"/>
      <c r="U123" s="133"/>
      <c r="V123" s="132"/>
      <c r="W123" s="149"/>
    </row>
    <row r="124" spans="1:23">
      <c r="A124" s="119">
        <f t="shared" si="12"/>
        <v>27</v>
      </c>
      <c r="B124" s="127">
        <f t="shared" si="23"/>
        <v>2013</v>
      </c>
      <c r="C124" s="127"/>
      <c r="H124" s="139">
        <f t="shared" si="22"/>
        <v>2013</v>
      </c>
      <c r="I124" s="168"/>
      <c r="J124" s="799"/>
      <c r="K124" s="133"/>
      <c r="L124" s="132"/>
      <c r="M124" s="149"/>
      <c r="N124" s="168"/>
      <c r="O124" s="799"/>
      <c r="P124" s="133"/>
      <c r="Q124" s="132"/>
      <c r="R124" s="149"/>
      <c r="S124" s="168"/>
      <c r="T124" s="799"/>
      <c r="U124" s="133"/>
      <c r="V124" s="132"/>
      <c r="W124" s="149"/>
    </row>
    <row r="125" spans="1:23">
      <c r="A125" s="119">
        <f t="shared" si="12"/>
        <v>28</v>
      </c>
      <c r="B125" s="127">
        <f t="shared" si="23"/>
        <v>2014</v>
      </c>
      <c r="C125" s="127"/>
      <c r="H125" s="139">
        <f t="shared" si="22"/>
        <v>2014</v>
      </c>
      <c r="I125" s="168"/>
      <c r="J125" s="799"/>
      <c r="K125" s="133"/>
      <c r="L125" s="132"/>
      <c r="M125" s="149"/>
      <c r="N125" s="168"/>
      <c r="O125" s="799"/>
      <c r="P125" s="133"/>
      <c r="Q125" s="132"/>
      <c r="R125" s="149"/>
      <c r="S125" s="168"/>
      <c r="T125" s="799"/>
      <c r="U125" s="133"/>
      <c r="V125" s="132"/>
      <c r="W125" s="149"/>
    </row>
    <row r="126" spans="1:23">
      <c r="A126" s="119">
        <f t="shared" si="12"/>
        <v>29</v>
      </c>
      <c r="B126" s="127">
        <f t="shared" si="23"/>
        <v>2015</v>
      </c>
      <c r="C126" s="127"/>
      <c r="H126" s="139">
        <f t="shared" si="22"/>
        <v>2015</v>
      </c>
      <c r="I126" s="168"/>
      <c r="J126" s="799"/>
      <c r="K126" s="133"/>
      <c r="L126" s="132"/>
      <c r="M126" s="149"/>
      <c r="N126" s="168"/>
      <c r="O126" s="799"/>
      <c r="P126" s="133"/>
      <c r="Q126" s="132"/>
      <c r="R126" s="149"/>
      <c r="S126" s="168"/>
      <c r="T126" s="799"/>
      <c r="U126" s="133"/>
      <c r="V126" s="132"/>
      <c r="W126" s="149"/>
    </row>
    <row r="127" spans="1:23">
      <c r="A127" s="119">
        <f t="shared" si="12"/>
        <v>30</v>
      </c>
      <c r="B127" s="127">
        <f t="shared" si="23"/>
        <v>2016</v>
      </c>
      <c r="C127" s="127"/>
      <c r="H127" s="139">
        <f t="shared" si="22"/>
        <v>2016</v>
      </c>
      <c r="I127" s="168"/>
      <c r="J127" s="799"/>
      <c r="K127" s="133"/>
      <c r="L127" s="132"/>
      <c r="M127" s="149"/>
      <c r="N127" s="168"/>
      <c r="O127" s="799"/>
      <c r="P127" s="133"/>
      <c r="Q127" s="132"/>
      <c r="R127" s="149"/>
      <c r="S127" s="168"/>
      <c r="T127" s="799"/>
      <c r="U127" s="133"/>
      <c r="V127" s="132"/>
      <c r="W127" s="149"/>
    </row>
    <row r="128" spans="1:23">
      <c r="A128" s="119">
        <f t="shared" si="12"/>
        <v>31</v>
      </c>
      <c r="B128" s="127">
        <f t="shared" si="23"/>
        <v>2017</v>
      </c>
      <c r="C128" s="127"/>
      <c r="H128" s="139">
        <f t="shared" si="22"/>
        <v>2017</v>
      </c>
      <c r="I128" s="168"/>
      <c r="J128" s="799"/>
      <c r="K128" s="133"/>
      <c r="L128" s="132"/>
      <c r="M128" s="149"/>
      <c r="N128" s="168"/>
      <c r="O128" s="799"/>
      <c r="P128" s="133"/>
      <c r="Q128" s="132"/>
      <c r="R128" s="149"/>
      <c r="S128" s="168"/>
      <c r="T128" s="799"/>
      <c r="U128" s="133"/>
      <c r="V128" s="132"/>
      <c r="W128" s="149"/>
    </row>
    <row r="129" spans="1:23">
      <c r="A129" s="119">
        <f t="shared" si="12"/>
        <v>32</v>
      </c>
      <c r="B129" s="127">
        <f t="shared" si="23"/>
        <v>2018</v>
      </c>
      <c r="C129" s="127"/>
      <c r="H129" s="139">
        <f t="shared" si="22"/>
        <v>2018</v>
      </c>
      <c r="I129" s="168"/>
      <c r="J129" s="799"/>
      <c r="K129" s="133"/>
      <c r="L129" s="132"/>
      <c r="M129" s="149"/>
      <c r="N129" s="168"/>
      <c r="O129" s="799"/>
      <c r="P129" s="133"/>
      <c r="Q129" s="132"/>
      <c r="R129" s="149"/>
      <c r="S129" s="168"/>
      <c r="T129" s="799"/>
      <c r="U129" s="133"/>
      <c r="V129" s="132"/>
      <c r="W129" s="149"/>
    </row>
    <row r="130" spans="1:23">
      <c r="A130" s="119">
        <f t="shared" si="12"/>
        <v>33</v>
      </c>
      <c r="B130" s="127">
        <f t="shared" si="23"/>
        <v>2019</v>
      </c>
      <c r="C130" s="127"/>
      <c r="H130" s="139">
        <f t="shared" si="22"/>
        <v>2019</v>
      </c>
      <c r="I130" s="168"/>
      <c r="J130" s="799"/>
      <c r="K130" s="133"/>
      <c r="L130" s="132"/>
      <c r="M130" s="149"/>
      <c r="N130" s="168"/>
      <c r="O130" s="799"/>
      <c r="P130" s="133"/>
      <c r="Q130" s="132"/>
      <c r="R130" s="149"/>
      <c r="S130" s="168"/>
      <c r="T130" s="799"/>
      <c r="U130" s="133"/>
      <c r="V130" s="132"/>
      <c r="W130" s="149"/>
    </row>
    <row r="131" spans="1:23">
      <c r="A131" s="119">
        <f t="shared" si="12"/>
        <v>34</v>
      </c>
      <c r="B131" s="127">
        <f t="shared" si="23"/>
        <v>2020</v>
      </c>
      <c r="C131" s="127"/>
      <c r="H131" s="139">
        <f t="shared" si="22"/>
        <v>2020</v>
      </c>
      <c r="I131" s="168"/>
      <c r="J131" s="799"/>
      <c r="K131" s="133"/>
      <c r="L131" s="132"/>
      <c r="M131" s="149"/>
      <c r="N131" s="168"/>
      <c r="O131" s="799"/>
      <c r="P131" s="133"/>
      <c r="Q131" s="132"/>
      <c r="R131" s="149"/>
      <c r="S131" s="168"/>
      <c r="T131" s="799"/>
      <c r="U131" s="133"/>
      <c r="V131" s="132"/>
      <c r="W131" s="149"/>
    </row>
    <row r="132" spans="1:23">
      <c r="A132" s="119">
        <f t="shared" si="12"/>
        <v>35</v>
      </c>
      <c r="B132" s="127">
        <f t="shared" si="23"/>
        <v>2021</v>
      </c>
      <c r="C132" s="127"/>
      <c r="H132" s="139">
        <f t="shared" si="22"/>
        <v>2021</v>
      </c>
      <c r="I132" s="168"/>
      <c r="J132" s="799"/>
      <c r="K132" s="133"/>
      <c r="L132" s="132"/>
      <c r="M132" s="149"/>
      <c r="N132" s="168"/>
      <c r="O132" s="799"/>
      <c r="P132" s="133"/>
      <c r="Q132" s="132"/>
      <c r="R132" s="149"/>
      <c r="S132" s="168"/>
      <c r="T132" s="799"/>
      <c r="U132" s="133"/>
      <c r="V132" s="132"/>
      <c r="W132" s="149"/>
    </row>
    <row r="133" spans="1:23">
      <c r="A133" s="119">
        <f t="shared" si="12"/>
        <v>36</v>
      </c>
      <c r="B133" s="127">
        <f t="shared" si="23"/>
        <v>2022</v>
      </c>
      <c r="C133" s="127"/>
      <c r="H133" s="139">
        <f t="shared" si="22"/>
        <v>2022</v>
      </c>
      <c r="I133" s="168"/>
      <c r="J133" s="799"/>
      <c r="K133" s="133"/>
      <c r="L133" s="132"/>
      <c r="M133" s="149"/>
      <c r="N133" s="168"/>
      <c r="O133" s="799"/>
      <c r="P133" s="133"/>
      <c r="Q133" s="132"/>
      <c r="R133" s="149"/>
      <c r="S133" s="168"/>
      <c r="T133" s="799"/>
      <c r="U133" s="133"/>
      <c r="V133" s="132"/>
      <c r="W133" s="149"/>
    </row>
    <row r="134" spans="1:23">
      <c r="A134" s="119">
        <f t="shared" si="12"/>
        <v>37</v>
      </c>
      <c r="B134" s="127">
        <f t="shared" si="23"/>
        <v>2023</v>
      </c>
      <c r="C134" s="127"/>
      <c r="H134" s="139">
        <f t="shared" si="22"/>
        <v>2023</v>
      </c>
      <c r="I134" s="168"/>
      <c r="J134" s="799"/>
      <c r="K134" s="133"/>
      <c r="L134" s="132"/>
      <c r="M134" s="149"/>
      <c r="N134" s="168"/>
      <c r="O134" s="799"/>
      <c r="P134" s="133"/>
      <c r="Q134" s="132"/>
      <c r="R134" s="149"/>
      <c r="S134" s="168"/>
      <c r="T134" s="799"/>
      <c r="U134" s="133"/>
      <c r="V134" s="132"/>
      <c r="W134" s="149"/>
    </row>
    <row r="135" spans="1:23">
      <c r="A135" s="119">
        <f t="shared" si="12"/>
        <v>38</v>
      </c>
      <c r="B135" s="127">
        <f t="shared" si="23"/>
        <v>2024</v>
      </c>
      <c r="C135" s="127"/>
      <c r="H135" s="139">
        <f t="shared" si="22"/>
        <v>2024</v>
      </c>
      <c r="I135" s="168"/>
      <c r="J135" s="799"/>
      <c r="K135" s="133"/>
      <c r="L135" s="132"/>
      <c r="M135" s="149"/>
      <c r="N135" s="168"/>
      <c r="O135" s="799"/>
      <c r="P135" s="133"/>
      <c r="Q135" s="132"/>
      <c r="R135" s="149"/>
      <c r="S135" s="168"/>
      <c r="T135" s="799"/>
      <c r="U135" s="133"/>
      <c r="V135" s="132"/>
      <c r="W135" s="149"/>
    </row>
    <row r="136" spans="1:23">
      <c r="A136" s="119">
        <f t="shared" si="12"/>
        <v>39</v>
      </c>
      <c r="B136" s="127">
        <f t="shared" si="23"/>
        <v>2025</v>
      </c>
      <c r="C136" s="127"/>
      <c r="H136" s="139">
        <f t="shared" si="22"/>
        <v>2025</v>
      </c>
      <c r="I136" s="168"/>
      <c r="J136" s="799"/>
      <c r="K136" s="133"/>
      <c r="L136" s="132"/>
      <c r="M136" s="149"/>
      <c r="N136" s="168"/>
      <c r="O136" s="799"/>
      <c r="P136" s="133"/>
      <c r="Q136" s="132"/>
      <c r="R136" s="149"/>
      <c r="S136" s="168"/>
      <c r="T136" s="799"/>
      <c r="U136" s="133"/>
      <c r="V136" s="132"/>
      <c r="W136" s="149"/>
    </row>
    <row r="137" spans="1:23">
      <c r="A137" s="119">
        <f t="shared" si="12"/>
        <v>40</v>
      </c>
      <c r="B137" s="127">
        <f t="shared" si="23"/>
        <v>2026</v>
      </c>
      <c r="C137" s="127"/>
      <c r="H137" s="139">
        <f t="shared" si="22"/>
        <v>2026</v>
      </c>
      <c r="I137" s="168"/>
      <c r="J137" s="799"/>
      <c r="K137" s="133"/>
      <c r="L137" s="132"/>
      <c r="M137" s="149"/>
      <c r="N137" s="168"/>
      <c r="O137" s="799"/>
      <c r="P137" s="133"/>
      <c r="Q137" s="132"/>
      <c r="R137" s="149"/>
      <c r="S137" s="168"/>
      <c r="T137" s="799"/>
      <c r="U137" s="133"/>
      <c r="V137" s="132"/>
      <c r="W137" s="149"/>
    </row>
    <row r="138" spans="1:23">
      <c r="A138" s="119">
        <f t="shared" si="12"/>
        <v>41</v>
      </c>
      <c r="B138" s="127">
        <f t="shared" si="23"/>
        <v>2027</v>
      </c>
      <c r="C138" s="127"/>
      <c r="H138" s="139">
        <f t="shared" si="22"/>
        <v>2027</v>
      </c>
      <c r="I138" s="168"/>
      <c r="J138" s="799"/>
      <c r="K138" s="133"/>
      <c r="L138" s="132"/>
      <c r="M138" s="149"/>
      <c r="N138" s="168"/>
      <c r="O138" s="799"/>
      <c r="P138" s="133"/>
      <c r="Q138" s="132"/>
      <c r="R138" s="149"/>
      <c r="S138" s="168"/>
      <c r="T138" s="799"/>
      <c r="U138" s="133"/>
      <c r="V138" s="132"/>
      <c r="W138" s="149"/>
    </row>
    <row r="139" spans="1:23">
      <c r="A139" s="119">
        <f t="shared" si="12"/>
        <v>42</v>
      </c>
      <c r="B139" s="127">
        <f t="shared" si="23"/>
        <v>2028</v>
      </c>
      <c r="C139" s="127"/>
      <c r="H139" s="139">
        <f t="shared" si="22"/>
        <v>2028</v>
      </c>
      <c r="I139" s="168"/>
      <c r="J139" s="799"/>
      <c r="K139" s="133"/>
      <c r="L139" s="132"/>
      <c r="M139" s="149"/>
      <c r="N139" s="168"/>
      <c r="O139" s="799"/>
      <c r="P139" s="133"/>
      <c r="Q139" s="132"/>
      <c r="R139" s="149"/>
      <c r="S139" s="168"/>
      <c r="T139" s="799"/>
      <c r="U139" s="133"/>
      <c r="V139" s="132"/>
      <c r="W139" s="149"/>
    </row>
    <row r="140" spans="1:23">
      <c r="A140" s="119">
        <f t="shared" si="12"/>
        <v>43</v>
      </c>
      <c r="B140" s="127">
        <f t="shared" si="23"/>
        <v>2029</v>
      </c>
      <c r="C140" s="127"/>
      <c r="H140" s="139">
        <f t="shared" si="22"/>
        <v>2029</v>
      </c>
      <c r="I140" s="920"/>
      <c r="J140" s="921"/>
      <c r="K140" s="922"/>
      <c r="L140" s="138"/>
      <c r="M140" s="150"/>
      <c r="N140" s="920"/>
      <c r="O140" s="921"/>
      <c r="P140" s="922"/>
      <c r="Q140" s="138"/>
      <c r="R140" s="150"/>
      <c r="S140" s="920"/>
      <c r="T140" s="921"/>
      <c r="U140" s="922"/>
      <c r="V140" s="138"/>
      <c r="W140" s="150"/>
    </row>
    <row r="141" spans="1:23">
      <c r="A141" s="119">
        <f t="shared" si="12"/>
        <v>44</v>
      </c>
      <c r="B141" s="127"/>
      <c r="C141" s="127"/>
      <c r="H141" s="139"/>
      <c r="I141" s="560"/>
      <c r="J141" s="648"/>
      <c r="K141" s="648"/>
      <c r="L141" s="648"/>
      <c r="M141" s="648"/>
      <c r="N141" s="560"/>
      <c r="O141" s="923"/>
      <c r="P141" s="648"/>
      <c r="Q141" s="90"/>
      <c r="R141" s="90"/>
      <c r="S141" s="560"/>
      <c r="T141" s="277"/>
      <c r="U141" s="155"/>
      <c r="V141" s="132"/>
      <c r="W141" s="132"/>
    </row>
    <row r="142" spans="1:23" ht="15">
      <c r="A142" s="119">
        <f t="shared" si="12"/>
        <v>45</v>
      </c>
      <c r="B142" s="22"/>
      <c r="C142" s="22"/>
      <c r="I142" s="135"/>
      <c r="J142" s="135"/>
      <c r="K142" s="135"/>
      <c r="L142" s="135"/>
      <c r="M142" s="135"/>
      <c r="N142" s="135"/>
      <c r="O142" s="135"/>
      <c r="P142" s="135"/>
      <c r="Q142" s="135"/>
      <c r="R142" s="135"/>
      <c r="S142" s="135"/>
      <c r="T142" s="123"/>
      <c r="U142" s="123"/>
      <c r="V142" s="123"/>
      <c r="W142" s="123"/>
    </row>
    <row r="143" spans="1:23" ht="15.75">
      <c r="A143" s="119">
        <f t="shared" si="12"/>
        <v>46</v>
      </c>
      <c r="B143" s="74" t="s">
        <v>1206</v>
      </c>
      <c r="C143" s="74"/>
    </row>
    <row r="144" spans="1:23" ht="15.75">
      <c r="S144" s="2193" t="s">
        <v>178</v>
      </c>
      <c r="T144" s="2193"/>
      <c r="V144" s="76" t="s">
        <v>1240</v>
      </c>
    </row>
    <row r="145" spans="1:23" ht="18">
      <c r="B145" s="727" t="s">
        <v>260</v>
      </c>
      <c r="C145" s="727"/>
      <c r="T145" s="1100"/>
    </row>
    <row r="146" spans="1:23">
      <c r="A146" s="119">
        <v>1</v>
      </c>
      <c r="D146" s="88"/>
      <c r="E146" s="88"/>
      <c r="F146" s="88"/>
      <c r="G146" s="88"/>
      <c r="H146" s="88"/>
      <c r="I146" s="1777"/>
      <c r="J146" s="1778" t="s">
        <v>623</v>
      </c>
      <c r="K146" s="1779" t="s">
        <v>838</v>
      </c>
      <c r="L146" s="1787" t="s">
        <v>1349</v>
      </c>
      <c r="M146" s="1788">
        <v>0</v>
      </c>
      <c r="N146" s="1777"/>
      <c r="O146" s="1778" t="s">
        <v>623</v>
      </c>
      <c r="P146" s="1779" t="s">
        <v>839</v>
      </c>
      <c r="Q146" s="1787" t="s">
        <v>1349</v>
      </c>
      <c r="R146" s="1780">
        <v>0</v>
      </c>
      <c r="S146" s="1777"/>
      <c r="T146" s="1778" t="s">
        <v>623</v>
      </c>
      <c r="U146" s="1779" t="s">
        <v>1350</v>
      </c>
      <c r="V146" s="1787" t="s">
        <v>1349</v>
      </c>
      <c r="W146" s="1780">
        <v>0</v>
      </c>
    </row>
    <row r="147" spans="1:23">
      <c r="A147" s="119">
        <f>A146+1</f>
        <v>2</v>
      </c>
      <c r="D147" s="88"/>
      <c r="E147" s="88"/>
      <c r="F147" s="88"/>
      <c r="G147" s="88"/>
      <c r="H147" s="88"/>
      <c r="I147" s="134"/>
      <c r="J147" s="135" t="s">
        <v>632</v>
      </c>
      <c r="K147" s="1550"/>
      <c r="L147" s="1765" t="s">
        <v>626</v>
      </c>
      <c r="M147" s="177">
        <f>'Actual Gross Rev Req'!$I$216*M146</f>
        <v>0</v>
      </c>
      <c r="N147" s="134"/>
      <c r="O147" s="135"/>
      <c r="P147" s="135"/>
      <c r="Q147" s="1765" t="s">
        <v>626</v>
      </c>
      <c r="R147" s="177">
        <f>'Actual Gross Rev Req'!$I$216*R146</f>
        <v>0</v>
      </c>
      <c r="S147" s="134"/>
      <c r="T147" s="135"/>
      <c r="U147" s="135"/>
      <c r="V147" s="1765" t="s">
        <v>626</v>
      </c>
      <c r="W147" s="177">
        <f>'Actual Gross Rev Req'!$I$216*W146</f>
        <v>0</v>
      </c>
    </row>
    <row r="148" spans="1:23">
      <c r="A148" s="119">
        <f t="shared" ref="A148:A190" si="24">A147+1</f>
        <v>3</v>
      </c>
      <c r="D148" s="88"/>
      <c r="E148" s="88"/>
      <c r="F148" s="88"/>
      <c r="G148" s="88"/>
      <c r="H148" s="88"/>
      <c r="I148" s="134"/>
      <c r="J148" s="135"/>
      <c r="K148" s="135"/>
      <c r="L148" s="1765" t="s">
        <v>744</v>
      </c>
      <c r="M148" s="1239">
        <f>IF('Actual Gross Rev Req'!$M$217&gt;0,('Actual Gross Rev Req'!$H$109/(1-'Actual Gross Rev Req'!$H$109)),0)</f>
        <v>0.63412352476290834</v>
      </c>
      <c r="N148" s="134"/>
      <c r="O148" s="135"/>
      <c r="P148" s="1239"/>
      <c r="Q148" s="1765" t="s">
        <v>744</v>
      </c>
      <c r="R148" s="1239">
        <f>IF('Actual Gross Rev Req'!$M$217&gt;0,('Actual Gross Rev Req'!$H$109/(1-'Actual Gross Rev Req'!$H$109)),0)</f>
        <v>0.63412352476290834</v>
      </c>
      <c r="S148" s="134"/>
      <c r="T148" s="135"/>
      <c r="U148" s="1239"/>
      <c r="V148" s="1765" t="s">
        <v>744</v>
      </c>
      <c r="W148" s="1239">
        <f>IF('Actual Gross Rev Req'!$M$217&gt;0,('Actual Gross Rev Req'!$H$109/(1-'Actual Gross Rev Req'!$H$109)),0)</f>
        <v>0.63412352476290834</v>
      </c>
    </row>
    <row r="149" spans="1:23" ht="25.5">
      <c r="A149" s="119">
        <f t="shared" si="24"/>
        <v>4</v>
      </c>
      <c r="D149" s="88"/>
      <c r="E149" s="88"/>
      <c r="F149" s="88"/>
      <c r="G149" s="88"/>
      <c r="H149" s="88"/>
      <c r="I149" s="1762" t="s">
        <v>553</v>
      </c>
      <c r="J149" s="1763" t="s">
        <v>1351</v>
      </c>
      <c r="K149" s="1763" t="s">
        <v>1352</v>
      </c>
      <c r="L149" s="1763" t="s">
        <v>1353</v>
      </c>
      <c r="M149" s="135"/>
      <c r="N149" s="1762" t="s">
        <v>553</v>
      </c>
      <c r="O149" s="1763" t="s">
        <v>1351</v>
      </c>
      <c r="P149" s="1763" t="s">
        <v>1352</v>
      </c>
      <c r="Q149" s="1763" t="s">
        <v>1353</v>
      </c>
      <c r="R149" s="145"/>
      <c r="S149" s="1762" t="s">
        <v>553</v>
      </c>
      <c r="T149" s="1763" t="s">
        <v>1351</v>
      </c>
      <c r="U149" s="1763" t="s">
        <v>1352</v>
      </c>
      <c r="V149" s="1763" t="s">
        <v>1353</v>
      </c>
      <c r="W149" s="145"/>
    </row>
    <row r="150" spans="1:23">
      <c r="A150" s="119">
        <f t="shared" si="24"/>
        <v>5</v>
      </c>
      <c r="D150" s="88"/>
      <c r="E150" s="88"/>
      <c r="F150" s="88"/>
      <c r="G150" s="88" t="s">
        <v>1354</v>
      </c>
      <c r="H150" s="88" t="s">
        <v>1355</v>
      </c>
      <c r="I150" s="1785">
        <v>0</v>
      </c>
      <c r="J150" s="133">
        <v>0</v>
      </c>
      <c r="K150" s="177"/>
      <c r="L150" s="135"/>
      <c r="M150" s="145"/>
      <c r="N150" s="988">
        <v>0</v>
      </c>
      <c r="O150" s="133">
        <v>0</v>
      </c>
      <c r="P150" s="177"/>
      <c r="Q150" s="135"/>
      <c r="R150" s="145"/>
      <c r="S150" s="988">
        <v>0</v>
      </c>
      <c r="T150" s="133">
        <v>0</v>
      </c>
      <c r="U150" s="177"/>
      <c r="V150" s="135"/>
      <c r="W150" s="145"/>
    </row>
    <row r="151" spans="1:23">
      <c r="A151" s="119">
        <f t="shared" si="24"/>
        <v>6</v>
      </c>
      <c r="D151" s="88"/>
      <c r="E151" s="88"/>
      <c r="F151" s="88"/>
      <c r="G151" s="88" t="s">
        <v>1356</v>
      </c>
      <c r="H151" s="88" t="s">
        <v>674</v>
      </c>
      <c r="I151" s="1785">
        <v>0</v>
      </c>
      <c r="J151" s="133">
        <f>J150</f>
        <v>0</v>
      </c>
      <c r="K151" s="177">
        <f>(IF('Actual Gross Rev Req'!$H$16=0,0,'Actual Gross Rev Req'!$H$92/'Actual Gross Rev Req'!$H$16)/12)</f>
        <v>1.4936180092078701E-3</v>
      </c>
      <c r="L151" s="90">
        <f t="shared" ref="L151:L162" si="25">+K151*J150</f>
        <v>0</v>
      </c>
      <c r="M151" s="135"/>
      <c r="N151" s="988">
        <v>0</v>
      </c>
      <c r="O151" s="133">
        <f>O150</f>
        <v>0</v>
      </c>
      <c r="P151" s="177">
        <f>(IF('Actual Gross Rev Req'!$H$16=0,0,'Actual Gross Rev Req'!$H$92/'Actual Gross Rev Req'!$H$16)/12)</f>
        <v>1.4936180092078701E-3</v>
      </c>
      <c r="Q151" s="90">
        <f t="shared" ref="Q151:Q162" si="26">+P151*O150</f>
        <v>0</v>
      </c>
      <c r="R151" s="145"/>
      <c r="S151" s="988">
        <v>0</v>
      </c>
      <c r="T151" s="133">
        <f>T150</f>
        <v>0</v>
      </c>
      <c r="U151" s="177">
        <f>(IF('Actual Gross Rev Req'!$H$16=0,0,'Actual Gross Rev Req'!$H$92/'Actual Gross Rev Req'!$H$16)/12)</f>
        <v>1.4936180092078701E-3</v>
      </c>
      <c r="V151" s="90">
        <f t="shared" ref="V151:V162" si="27">+U151*T150</f>
        <v>0</v>
      </c>
      <c r="W151" s="145"/>
    </row>
    <row r="152" spans="1:23">
      <c r="A152" s="119">
        <f t="shared" si="24"/>
        <v>7</v>
      </c>
      <c r="D152" s="88"/>
      <c r="E152" s="88"/>
      <c r="F152" s="88"/>
      <c r="G152" s="88" t="s">
        <v>1356</v>
      </c>
      <c r="H152" s="88" t="s">
        <v>1357</v>
      </c>
      <c r="I152" s="1785">
        <v>0</v>
      </c>
      <c r="J152" s="133">
        <f t="shared" ref="J152:J162" si="28">J151</f>
        <v>0</v>
      </c>
      <c r="K152" s="177">
        <f t="shared" ref="K152:K162" si="29">K151</f>
        <v>1.4936180092078701E-3</v>
      </c>
      <c r="L152" s="90">
        <f t="shared" si="25"/>
        <v>0</v>
      </c>
      <c r="M152" s="145"/>
      <c r="N152" s="988">
        <v>0</v>
      </c>
      <c r="O152" s="133">
        <f t="shared" ref="O152:O162" si="30">O151</f>
        <v>0</v>
      </c>
      <c r="P152" s="177">
        <f t="shared" ref="P152:P162" si="31">P151</f>
        <v>1.4936180092078701E-3</v>
      </c>
      <c r="Q152" s="90">
        <f t="shared" si="26"/>
        <v>0</v>
      </c>
      <c r="R152" s="145"/>
      <c r="S152" s="988">
        <v>0</v>
      </c>
      <c r="T152" s="133">
        <f t="shared" ref="T152:T162" si="32">T151</f>
        <v>0</v>
      </c>
      <c r="U152" s="177">
        <f t="shared" ref="U152:U162" si="33">U151</f>
        <v>1.4936180092078701E-3</v>
      </c>
      <c r="V152" s="90">
        <f t="shared" si="27"/>
        <v>0</v>
      </c>
      <c r="W152" s="145"/>
    </row>
    <row r="153" spans="1:23">
      <c r="A153" s="119">
        <f t="shared" si="24"/>
        <v>8</v>
      </c>
      <c r="D153" s="88"/>
      <c r="E153" s="88"/>
      <c r="F153" s="88"/>
      <c r="G153" s="88" t="s">
        <v>1356</v>
      </c>
      <c r="H153" s="88" t="s">
        <v>1358</v>
      </c>
      <c r="I153" s="1785">
        <v>0</v>
      </c>
      <c r="J153" s="133">
        <v>0</v>
      </c>
      <c r="K153" s="177">
        <f t="shared" si="29"/>
        <v>1.4936180092078701E-3</v>
      </c>
      <c r="L153" s="90">
        <f t="shared" si="25"/>
        <v>0</v>
      </c>
      <c r="M153" s="145"/>
      <c r="N153" s="988">
        <v>0</v>
      </c>
      <c r="O153" s="133">
        <v>0</v>
      </c>
      <c r="P153" s="177">
        <f t="shared" si="31"/>
        <v>1.4936180092078701E-3</v>
      </c>
      <c r="Q153" s="90">
        <f t="shared" si="26"/>
        <v>0</v>
      </c>
      <c r="R153" s="145"/>
      <c r="S153" s="988">
        <v>0</v>
      </c>
      <c r="T153" s="133">
        <v>0</v>
      </c>
      <c r="U153" s="177">
        <f t="shared" si="33"/>
        <v>1.4936180092078701E-3</v>
      </c>
      <c r="V153" s="90">
        <f t="shared" si="27"/>
        <v>0</v>
      </c>
      <c r="W153" s="145"/>
    </row>
    <row r="154" spans="1:23">
      <c r="A154" s="119">
        <f t="shared" si="24"/>
        <v>9</v>
      </c>
      <c r="D154" s="88"/>
      <c r="E154" s="88"/>
      <c r="F154" s="88"/>
      <c r="G154" s="88" t="s">
        <v>1356</v>
      </c>
      <c r="H154" s="88" t="s">
        <v>1359</v>
      </c>
      <c r="I154" s="1785">
        <v>0</v>
      </c>
      <c r="J154" s="133">
        <f t="shared" si="28"/>
        <v>0</v>
      </c>
      <c r="K154" s="177">
        <f t="shared" si="29"/>
        <v>1.4936180092078701E-3</v>
      </c>
      <c r="L154" s="90">
        <f t="shared" si="25"/>
        <v>0</v>
      </c>
      <c r="M154" s="145"/>
      <c r="N154" s="988">
        <v>0</v>
      </c>
      <c r="O154" s="133">
        <f t="shared" si="30"/>
        <v>0</v>
      </c>
      <c r="P154" s="177">
        <f t="shared" si="31"/>
        <v>1.4936180092078701E-3</v>
      </c>
      <c r="Q154" s="90">
        <f t="shared" si="26"/>
        <v>0</v>
      </c>
      <c r="R154" s="145"/>
      <c r="S154" s="988">
        <v>0</v>
      </c>
      <c r="T154" s="133">
        <f t="shared" si="32"/>
        <v>0</v>
      </c>
      <c r="U154" s="177">
        <f t="shared" si="33"/>
        <v>1.4936180092078701E-3</v>
      </c>
      <c r="V154" s="90">
        <f t="shared" si="27"/>
        <v>0</v>
      </c>
      <c r="W154" s="145"/>
    </row>
    <row r="155" spans="1:23">
      <c r="A155" s="119">
        <f t="shared" si="24"/>
        <v>10</v>
      </c>
      <c r="D155" s="88"/>
      <c r="E155" s="88"/>
      <c r="F155" s="88"/>
      <c r="G155" s="88" t="s">
        <v>1356</v>
      </c>
      <c r="H155" s="88" t="s">
        <v>1125</v>
      </c>
      <c r="I155" s="1785">
        <v>0</v>
      </c>
      <c r="J155" s="133">
        <f t="shared" si="28"/>
        <v>0</v>
      </c>
      <c r="K155" s="177">
        <f t="shared" si="29"/>
        <v>1.4936180092078701E-3</v>
      </c>
      <c r="L155" s="90">
        <f t="shared" si="25"/>
        <v>0</v>
      </c>
      <c r="M155" s="145"/>
      <c r="N155" s="988">
        <v>0</v>
      </c>
      <c r="O155" s="133">
        <f t="shared" si="30"/>
        <v>0</v>
      </c>
      <c r="P155" s="177">
        <f t="shared" si="31"/>
        <v>1.4936180092078701E-3</v>
      </c>
      <c r="Q155" s="90">
        <f t="shared" si="26"/>
        <v>0</v>
      </c>
      <c r="R155" s="145"/>
      <c r="S155" s="988">
        <v>0</v>
      </c>
      <c r="T155" s="133">
        <f t="shared" si="32"/>
        <v>0</v>
      </c>
      <c r="U155" s="177">
        <f t="shared" si="33"/>
        <v>1.4936180092078701E-3</v>
      </c>
      <c r="V155" s="90">
        <f t="shared" si="27"/>
        <v>0</v>
      </c>
      <c r="W155" s="145"/>
    </row>
    <row r="156" spans="1:23">
      <c r="A156" s="119">
        <f t="shared" si="24"/>
        <v>11</v>
      </c>
      <c r="D156" s="88"/>
      <c r="E156" s="88"/>
      <c r="F156" s="88"/>
      <c r="G156" s="88" t="s">
        <v>1356</v>
      </c>
      <c r="H156" s="88" t="s">
        <v>675</v>
      </c>
      <c r="I156" s="1785">
        <v>0</v>
      </c>
      <c r="J156" s="133">
        <f t="shared" si="28"/>
        <v>0</v>
      </c>
      <c r="K156" s="177">
        <f t="shared" si="29"/>
        <v>1.4936180092078701E-3</v>
      </c>
      <c r="L156" s="90">
        <f t="shared" si="25"/>
        <v>0</v>
      </c>
      <c r="M156" s="145"/>
      <c r="N156" s="988">
        <v>0</v>
      </c>
      <c r="O156" s="133">
        <f t="shared" si="30"/>
        <v>0</v>
      </c>
      <c r="P156" s="177">
        <f t="shared" si="31"/>
        <v>1.4936180092078701E-3</v>
      </c>
      <c r="Q156" s="90">
        <f t="shared" si="26"/>
        <v>0</v>
      </c>
      <c r="R156" s="145"/>
      <c r="S156" s="988">
        <v>0</v>
      </c>
      <c r="T156" s="133">
        <f t="shared" si="32"/>
        <v>0</v>
      </c>
      <c r="U156" s="177">
        <f t="shared" si="33"/>
        <v>1.4936180092078701E-3</v>
      </c>
      <c r="V156" s="90">
        <f t="shared" si="27"/>
        <v>0</v>
      </c>
      <c r="W156" s="145"/>
    </row>
    <row r="157" spans="1:23">
      <c r="A157" s="119">
        <f t="shared" si="24"/>
        <v>12</v>
      </c>
      <c r="D157" s="88"/>
      <c r="E157" s="88"/>
      <c r="F157" s="88"/>
      <c r="G157" s="88" t="s">
        <v>1356</v>
      </c>
      <c r="H157" s="88" t="s">
        <v>1360</v>
      </c>
      <c r="I157" s="1785">
        <v>0</v>
      </c>
      <c r="J157" s="133">
        <f t="shared" si="28"/>
        <v>0</v>
      </c>
      <c r="K157" s="177">
        <f t="shared" si="29"/>
        <v>1.4936180092078701E-3</v>
      </c>
      <c r="L157" s="90">
        <f t="shared" si="25"/>
        <v>0</v>
      </c>
      <c r="M157" s="145"/>
      <c r="N157" s="988">
        <v>0</v>
      </c>
      <c r="O157" s="133">
        <f t="shared" si="30"/>
        <v>0</v>
      </c>
      <c r="P157" s="177">
        <f t="shared" si="31"/>
        <v>1.4936180092078701E-3</v>
      </c>
      <c r="Q157" s="90">
        <f t="shared" si="26"/>
        <v>0</v>
      </c>
      <c r="R157" s="145"/>
      <c r="S157" s="988">
        <v>0</v>
      </c>
      <c r="T157" s="133">
        <f t="shared" si="32"/>
        <v>0</v>
      </c>
      <c r="U157" s="177">
        <f t="shared" si="33"/>
        <v>1.4936180092078701E-3</v>
      </c>
      <c r="V157" s="90">
        <f t="shared" si="27"/>
        <v>0</v>
      </c>
      <c r="W157" s="145"/>
    </row>
    <row r="158" spans="1:23">
      <c r="A158" s="119">
        <f t="shared" si="24"/>
        <v>13</v>
      </c>
      <c r="D158" s="88"/>
      <c r="E158" s="88"/>
      <c r="F158" s="88"/>
      <c r="G158" s="88" t="s">
        <v>1356</v>
      </c>
      <c r="H158" s="88" t="s">
        <v>1361</v>
      </c>
      <c r="I158" s="1785">
        <v>0</v>
      </c>
      <c r="J158" s="133">
        <f t="shared" si="28"/>
        <v>0</v>
      </c>
      <c r="K158" s="177">
        <f t="shared" si="29"/>
        <v>1.4936180092078701E-3</v>
      </c>
      <c r="L158" s="90">
        <f t="shared" si="25"/>
        <v>0</v>
      </c>
      <c r="M158" s="145"/>
      <c r="N158" s="988">
        <v>0</v>
      </c>
      <c r="O158" s="133">
        <f t="shared" si="30"/>
        <v>0</v>
      </c>
      <c r="P158" s="177">
        <f t="shared" si="31"/>
        <v>1.4936180092078701E-3</v>
      </c>
      <c r="Q158" s="90">
        <f t="shared" si="26"/>
        <v>0</v>
      </c>
      <c r="R158" s="145"/>
      <c r="S158" s="988">
        <v>0</v>
      </c>
      <c r="T158" s="133">
        <f t="shared" si="32"/>
        <v>0</v>
      </c>
      <c r="U158" s="177">
        <f t="shared" si="33"/>
        <v>1.4936180092078701E-3</v>
      </c>
      <c r="V158" s="90">
        <f t="shared" si="27"/>
        <v>0</v>
      </c>
      <c r="W158" s="145"/>
    </row>
    <row r="159" spans="1:23">
      <c r="A159" s="119">
        <f t="shared" si="24"/>
        <v>14</v>
      </c>
      <c r="D159" s="88"/>
      <c r="E159" s="88"/>
      <c r="F159" s="88"/>
      <c r="G159" s="88" t="s">
        <v>1356</v>
      </c>
      <c r="H159" s="88" t="s">
        <v>1362</v>
      </c>
      <c r="I159" s="1785">
        <v>0</v>
      </c>
      <c r="J159" s="133">
        <f t="shared" si="28"/>
        <v>0</v>
      </c>
      <c r="K159" s="177">
        <f t="shared" si="29"/>
        <v>1.4936180092078701E-3</v>
      </c>
      <c r="L159" s="90">
        <f t="shared" si="25"/>
        <v>0</v>
      </c>
      <c r="M159" s="145"/>
      <c r="N159" s="988">
        <v>0</v>
      </c>
      <c r="O159" s="133">
        <f t="shared" si="30"/>
        <v>0</v>
      </c>
      <c r="P159" s="177">
        <f t="shared" si="31"/>
        <v>1.4936180092078701E-3</v>
      </c>
      <c r="Q159" s="90">
        <f t="shared" si="26"/>
        <v>0</v>
      </c>
      <c r="R159" s="145"/>
      <c r="S159" s="988">
        <v>0</v>
      </c>
      <c r="T159" s="133">
        <f t="shared" si="32"/>
        <v>0</v>
      </c>
      <c r="U159" s="177">
        <f t="shared" si="33"/>
        <v>1.4936180092078701E-3</v>
      </c>
      <c r="V159" s="90">
        <f t="shared" si="27"/>
        <v>0</v>
      </c>
      <c r="W159" s="145"/>
    </row>
    <row r="160" spans="1:23">
      <c r="A160" s="119">
        <f t="shared" si="24"/>
        <v>15</v>
      </c>
      <c r="D160" s="88"/>
      <c r="E160" s="88"/>
      <c r="F160" s="88"/>
      <c r="G160" s="88" t="s">
        <v>1356</v>
      </c>
      <c r="H160" s="88" t="s">
        <v>676</v>
      </c>
      <c r="I160" s="1785">
        <v>0</v>
      </c>
      <c r="J160" s="133">
        <f t="shared" si="28"/>
        <v>0</v>
      </c>
      <c r="K160" s="177">
        <f t="shared" si="29"/>
        <v>1.4936180092078701E-3</v>
      </c>
      <c r="L160" s="90">
        <f t="shared" si="25"/>
        <v>0</v>
      </c>
      <c r="M160" s="145"/>
      <c r="N160" s="988">
        <v>0</v>
      </c>
      <c r="O160" s="133">
        <f t="shared" si="30"/>
        <v>0</v>
      </c>
      <c r="P160" s="177">
        <f t="shared" si="31"/>
        <v>1.4936180092078701E-3</v>
      </c>
      <c r="Q160" s="90">
        <f t="shared" si="26"/>
        <v>0</v>
      </c>
      <c r="R160" s="145"/>
      <c r="S160" s="988">
        <v>0</v>
      </c>
      <c r="T160" s="133">
        <f t="shared" si="32"/>
        <v>0</v>
      </c>
      <c r="U160" s="177">
        <f t="shared" si="33"/>
        <v>1.4936180092078701E-3</v>
      </c>
      <c r="V160" s="90">
        <f t="shared" si="27"/>
        <v>0</v>
      </c>
      <c r="W160" s="145"/>
    </row>
    <row r="161" spans="1:23">
      <c r="A161" s="119">
        <f t="shared" si="24"/>
        <v>16</v>
      </c>
      <c r="D161" s="88"/>
      <c r="E161" s="88"/>
      <c r="F161" s="88"/>
      <c r="G161" s="88" t="s">
        <v>1356</v>
      </c>
      <c r="H161" s="88" t="s">
        <v>1363</v>
      </c>
      <c r="I161" s="1785">
        <v>0</v>
      </c>
      <c r="J161" s="133">
        <f t="shared" si="28"/>
        <v>0</v>
      </c>
      <c r="K161" s="177">
        <f t="shared" si="29"/>
        <v>1.4936180092078701E-3</v>
      </c>
      <c r="L161" s="90">
        <f t="shared" si="25"/>
        <v>0</v>
      </c>
      <c r="M161" s="145"/>
      <c r="N161" s="988">
        <v>0</v>
      </c>
      <c r="O161" s="133">
        <f t="shared" si="30"/>
        <v>0</v>
      </c>
      <c r="P161" s="177">
        <f t="shared" si="31"/>
        <v>1.4936180092078701E-3</v>
      </c>
      <c r="Q161" s="90">
        <f t="shared" si="26"/>
        <v>0</v>
      </c>
      <c r="R161" s="145"/>
      <c r="S161" s="988">
        <v>0</v>
      </c>
      <c r="T161" s="133">
        <f t="shared" si="32"/>
        <v>0</v>
      </c>
      <c r="U161" s="177">
        <f t="shared" si="33"/>
        <v>1.4936180092078701E-3</v>
      </c>
      <c r="V161" s="90">
        <f t="shared" si="27"/>
        <v>0</v>
      </c>
      <c r="W161" s="145"/>
    </row>
    <row r="162" spans="1:23">
      <c r="A162" s="119">
        <f t="shared" si="24"/>
        <v>17</v>
      </c>
      <c r="D162" s="88"/>
      <c r="E162" s="88"/>
      <c r="F162" s="88"/>
      <c r="G162" s="88" t="s">
        <v>1356</v>
      </c>
      <c r="H162" s="88" t="s">
        <v>1355</v>
      </c>
      <c r="I162" s="1785">
        <v>0</v>
      </c>
      <c r="J162" s="133">
        <f t="shared" si="28"/>
        <v>0</v>
      </c>
      <c r="K162" s="177">
        <f t="shared" si="29"/>
        <v>1.4936180092078701E-3</v>
      </c>
      <c r="L162" s="363">
        <f t="shared" si="25"/>
        <v>0</v>
      </c>
      <c r="M162" s="145"/>
      <c r="N162" s="988">
        <v>0</v>
      </c>
      <c r="O162" s="133">
        <f t="shared" si="30"/>
        <v>0</v>
      </c>
      <c r="P162" s="177">
        <f t="shared" si="31"/>
        <v>1.4936180092078701E-3</v>
      </c>
      <c r="Q162" s="363">
        <f t="shared" si="26"/>
        <v>0</v>
      </c>
      <c r="R162" s="145"/>
      <c r="S162" s="988">
        <v>0</v>
      </c>
      <c r="T162" s="133">
        <f t="shared" si="32"/>
        <v>0</v>
      </c>
      <c r="U162" s="177">
        <f t="shared" si="33"/>
        <v>1.4936180092078701E-3</v>
      </c>
      <c r="V162" s="363">
        <f t="shared" si="27"/>
        <v>0</v>
      </c>
      <c r="W162" s="145"/>
    </row>
    <row r="163" spans="1:23">
      <c r="A163" s="119">
        <f t="shared" si="24"/>
        <v>18</v>
      </c>
      <c r="D163" s="88"/>
      <c r="E163" s="88"/>
      <c r="F163" s="88"/>
      <c r="G163" s="88"/>
      <c r="H163" s="88"/>
      <c r="I163" s="134"/>
      <c r="J163" s="1765"/>
      <c r="K163" s="135" t="str">
        <f>"Sum lines "&amp;$A151&amp;" - "&amp;$A162&amp;""</f>
        <v>Sum lines 6 - 17</v>
      </c>
      <c r="L163" s="90">
        <f>SUM(L151:L162)</f>
        <v>0</v>
      </c>
      <c r="M163" s="145"/>
      <c r="N163" s="134"/>
      <c r="O163" s="1765"/>
      <c r="P163" s="135" t="str">
        <f>"Sum lines "&amp;$A151&amp;" - "&amp;$A162&amp;""</f>
        <v>Sum lines 6 - 17</v>
      </c>
      <c r="Q163" s="90">
        <f>SUM(Q151:Q162)</f>
        <v>0</v>
      </c>
      <c r="R163" s="145"/>
      <c r="S163" s="134"/>
      <c r="T163" s="1765"/>
      <c r="U163" s="135" t="str">
        <f>"Sum lines "&amp;$A151&amp;" - "&amp;$A162&amp;""</f>
        <v>Sum lines 6 - 17</v>
      </c>
      <c r="V163" s="90">
        <f>SUM(V151:V162)</f>
        <v>0</v>
      </c>
      <c r="W163" s="145"/>
    </row>
    <row r="164" spans="1:23">
      <c r="A164" s="119">
        <f t="shared" si="24"/>
        <v>19</v>
      </c>
      <c r="D164" s="2211" t="s">
        <v>54</v>
      </c>
      <c r="E164" s="2211"/>
      <c r="F164" s="2211"/>
      <c r="G164" s="2211"/>
      <c r="H164" s="88"/>
      <c r="I164" s="134"/>
      <c r="J164" s="1782" t="s">
        <v>1512</v>
      </c>
      <c r="K164" s="922">
        <v>0</v>
      </c>
      <c r="L164" s="433"/>
      <c r="M164" s="980"/>
      <c r="N164" s="134"/>
      <c r="O164" s="1782" t="s">
        <v>1512</v>
      </c>
      <c r="P164" s="922">
        <v>0</v>
      </c>
      <c r="Q164" s="433"/>
      <c r="R164" s="980"/>
      <c r="S164" s="134"/>
      <c r="T164" s="1782" t="s">
        <v>1512</v>
      </c>
      <c r="U164" s="922">
        <v>0</v>
      </c>
      <c r="V164" s="433"/>
      <c r="W164" s="980"/>
    </row>
    <row r="165" spans="1:23">
      <c r="A165" s="119">
        <f t="shared" si="24"/>
        <v>20</v>
      </c>
      <c r="B165" s="141" t="s">
        <v>394</v>
      </c>
      <c r="C165" s="924" t="s">
        <v>137</v>
      </c>
      <c r="D165" s="1783" t="s">
        <v>1045</v>
      </c>
      <c r="E165" s="1783" t="s">
        <v>62</v>
      </c>
      <c r="F165" s="1783" t="s">
        <v>265</v>
      </c>
      <c r="G165" s="1783" t="s">
        <v>630</v>
      </c>
      <c r="H165" s="1783" t="s">
        <v>394</v>
      </c>
      <c r="I165" s="1784" t="s">
        <v>137</v>
      </c>
      <c r="J165" s="1784" t="s">
        <v>1045</v>
      </c>
      <c r="K165" s="1784" t="s">
        <v>634</v>
      </c>
      <c r="L165" s="1784" t="s">
        <v>265</v>
      </c>
      <c r="M165" s="1784" t="s">
        <v>630</v>
      </c>
      <c r="N165" s="1784" t="s">
        <v>137</v>
      </c>
      <c r="O165" s="1784" t="s">
        <v>1045</v>
      </c>
      <c r="P165" s="1784" t="s">
        <v>634</v>
      </c>
      <c r="Q165" s="1784" t="s">
        <v>265</v>
      </c>
      <c r="R165" s="1784" t="s">
        <v>630</v>
      </c>
      <c r="S165" s="1784" t="s">
        <v>137</v>
      </c>
      <c r="T165" s="1784" t="s">
        <v>1045</v>
      </c>
      <c r="U165" s="1784" t="s">
        <v>634</v>
      </c>
      <c r="V165" s="1784" t="s">
        <v>265</v>
      </c>
      <c r="W165" s="1784" t="s">
        <v>630</v>
      </c>
    </row>
    <row r="166" spans="1:23">
      <c r="A166" s="119">
        <f t="shared" si="24"/>
        <v>21</v>
      </c>
      <c r="D166" s="88"/>
      <c r="E166" s="88"/>
      <c r="F166" s="88"/>
      <c r="G166" s="88"/>
      <c r="H166" s="88"/>
      <c r="I166" s="134"/>
      <c r="J166" s="1550"/>
      <c r="K166" s="1550"/>
      <c r="L166" s="1550"/>
      <c r="M166" s="526"/>
      <c r="N166" s="134"/>
      <c r="O166" s="1550"/>
      <c r="P166" s="1550"/>
      <c r="Q166" s="1550"/>
      <c r="R166" s="526"/>
      <c r="S166" s="134"/>
      <c r="T166" s="1550"/>
      <c r="U166" s="1550"/>
      <c r="V166" s="1550"/>
      <c r="W166" s="526"/>
    </row>
    <row r="167" spans="1:23">
      <c r="A167" s="119">
        <f t="shared" si="24"/>
        <v>22</v>
      </c>
      <c r="B167" s="127">
        <v>2008</v>
      </c>
      <c r="C167" s="925">
        <f>I167+N167+S167</f>
        <v>0</v>
      </c>
      <c r="D167" s="1001">
        <f>+J167+O167+T167</f>
        <v>0</v>
      </c>
      <c r="E167" s="1001">
        <f>+K167+P167+U167</f>
        <v>0</v>
      </c>
      <c r="F167" s="1001">
        <f>+L167+Q167+V167</f>
        <v>0</v>
      </c>
      <c r="G167" s="1001">
        <f>+M167+R167+W167</f>
        <v>0</v>
      </c>
      <c r="H167" s="139">
        <f t="shared" ref="H167:H188" si="34">+B167</f>
        <v>2008</v>
      </c>
      <c r="I167" s="168">
        <f>SUM(I150:I162)/13</f>
        <v>0</v>
      </c>
      <c r="J167" s="168">
        <f>SUM(J150:J162)/13</f>
        <v>0</v>
      </c>
      <c r="K167" s="1767">
        <f>K164+SUM(L151*12,L152*11,L153*10,L154*9,L155*8,L156*7,L157*6,L158*5,L159*4,L160*3,L161*2,L162)/13</f>
        <v>0</v>
      </c>
      <c r="L167" s="90">
        <f>+J167-K167</f>
        <v>0</v>
      </c>
      <c r="M167" s="171">
        <f>ROUND($L167*M147*(1+M148),2)</f>
        <v>0</v>
      </c>
      <c r="N167" s="168">
        <f>SUM(N150:N162)/13</f>
        <v>0</v>
      </c>
      <c r="O167" s="168">
        <f>SUM(O150:O162)/13</f>
        <v>0</v>
      </c>
      <c r="P167" s="1767">
        <f>P164+SUM(Q151*12,Q152*11,Q153*10,Q154*9,Q155*8,Q156*7,Q157*6,Q158*5,Q159*4,Q160*3,Q161*2,Q162)/13</f>
        <v>0</v>
      </c>
      <c r="Q167" s="90">
        <f>+O167-P167</f>
        <v>0</v>
      </c>
      <c r="R167" s="171">
        <f>ROUND($Q167*R147*(1+R148),2)</f>
        <v>0</v>
      </c>
      <c r="S167" s="168">
        <f>SUM(S150:S162)/13</f>
        <v>0</v>
      </c>
      <c r="T167" s="168">
        <f>SUM(T150:T162)/13</f>
        <v>0</v>
      </c>
      <c r="U167" s="1767">
        <f>U164+SUM(V151*12,V152*11,V153*10,V154*9,V155*8,V156*7,V157*6,V158*5,V159*4,V160*3,V161*2,V162)/13</f>
        <v>0</v>
      </c>
      <c r="V167" s="90">
        <f>+T167-U167</f>
        <v>0</v>
      </c>
      <c r="W167" s="171">
        <f>ROUND($V167*W147*(1+W148),2)</f>
        <v>0</v>
      </c>
    </row>
    <row r="168" spans="1:23">
      <c r="A168" s="119">
        <f t="shared" si="24"/>
        <v>23</v>
      </c>
      <c r="B168" s="127">
        <f>B167+1</f>
        <v>2009</v>
      </c>
      <c r="C168" s="925"/>
      <c r="D168" s="773"/>
      <c r="E168" s="773"/>
      <c r="F168" s="773"/>
      <c r="G168" s="773"/>
      <c r="H168" s="139">
        <f t="shared" si="34"/>
        <v>2009</v>
      </c>
      <c r="I168" s="168"/>
      <c r="J168" s="799"/>
      <c r="K168" s="133"/>
      <c r="L168" s="132"/>
      <c r="M168" s="171"/>
      <c r="N168" s="168"/>
      <c r="O168" s="799"/>
      <c r="P168" s="133"/>
      <c r="Q168" s="132"/>
      <c r="R168" s="171"/>
      <c r="S168" s="168"/>
      <c r="T168" s="799"/>
      <c r="U168" s="133"/>
      <c r="V168" s="132"/>
      <c r="W168" s="149"/>
    </row>
    <row r="169" spans="1:23">
      <c r="A169" s="119">
        <f t="shared" si="24"/>
        <v>24</v>
      </c>
      <c r="B169" s="127">
        <f t="shared" ref="B169:B188" si="35">+B168+1</f>
        <v>2010</v>
      </c>
      <c r="C169" s="127"/>
      <c r="H169" s="139">
        <f t="shared" si="34"/>
        <v>2010</v>
      </c>
      <c r="I169" s="168"/>
      <c r="J169" s="799"/>
      <c r="K169" s="133"/>
      <c r="L169" s="132"/>
      <c r="M169" s="149"/>
      <c r="N169" s="168"/>
      <c r="O169" s="799"/>
      <c r="P169" s="133"/>
      <c r="Q169" s="132"/>
      <c r="R169" s="149"/>
      <c r="S169" s="168"/>
      <c r="T169" s="799"/>
      <c r="U169" s="133"/>
      <c r="V169" s="132"/>
      <c r="W169" s="149"/>
    </row>
    <row r="170" spans="1:23">
      <c r="A170" s="119">
        <f t="shared" si="24"/>
        <v>25</v>
      </c>
      <c r="B170" s="127">
        <f t="shared" si="35"/>
        <v>2011</v>
      </c>
      <c r="C170" s="127"/>
      <c r="H170" s="139">
        <f t="shared" si="34"/>
        <v>2011</v>
      </c>
      <c r="I170" s="168"/>
      <c r="J170" s="799"/>
      <c r="K170" s="133"/>
      <c r="L170" s="132"/>
      <c r="M170" s="149"/>
      <c r="N170" s="168"/>
      <c r="O170" s="799"/>
      <c r="P170" s="133"/>
      <c r="Q170" s="132"/>
      <c r="R170" s="149"/>
      <c r="S170" s="168"/>
      <c r="T170" s="799"/>
      <c r="U170" s="133"/>
      <c r="V170" s="132"/>
      <c r="W170" s="149"/>
    </row>
    <row r="171" spans="1:23">
      <c r="A171" s="119">
        <f t="shared" si="24"/>
        <v>26</v>
      </c>
      <c r="B171" s="127">
        <f t="shared" si="35"/>
        <v>2012</v>
      </c>
      <c r="C171" s="127"/>
      <c r="H171" s="139">
        <f t="shared" si="34"/>
        <v>2012</v>
      </c>
      <c r="I171" s="168"/>
      <c r="J171" s="799"/>
      <c r="K171" s="133"/>
      <c r="L171" s="132"/>
      <c r="M171" s="149"/>
      <c r="N171" s="168"/>
      <c r="O171" s="799"/>
      <c r="P171" s="133"/>
      <c r="Q171" s="132"/>
      <c r="R171" s="149"/>
      <c r="S171" s="168"/>
      <c r="T171" s="799"/>
      <c r="U171" s="133"/>
      <c r="V171" s="132"/>
      <c r="W171" s="149"/>
    </row>
    <row r="172" spans="1:23">
      <c r="A172" s="119">
        <f t="shared" si="24"/>
        <v>27</v>
      </c>
      <c r="B172" s="127">
        <f t="shared" si="35"/>
        <v>2013</v>
      </c>
      <c r="C172" s="127"/>
      <c r="H172" s="139">
        <f t="shared" si="34"/>
        <v>2013</v>
      </c>
      <c r="I172" s="168"/>
      <c r="J172" s="799"/>
      <c r="K172" s="133"/>
      <c r="L172" s="132"/>
      <c r="M172" s="149"/>
      <c r="N172" s="168"/>
      <c r="O172" s="799"/>
      <c r="P172" s="133"/>
      <c r="Q172" s="132"/>
      <c r="R172" s="149"/>
      <c r="S172" s="168"/>
      <c r="T172" s="799"/>
      <c r="U172" s="133"/>
      <c r="V172" s="132"/>
      <c r="W172" s="149"/>
    </row>
    <row r="173" spans="1:23">
      <c r="A173" s="119">
        <f t="shared" si="24"/>
        <v>28</v>
      </c>
      <c r="B173" s="127">
        <f t="shared" si="35"/>
        <v>2014</v>
      </c>
      <c r="C173" s="127"/>
      <c r="H173" s="139">
        <f t="shared" si="34"/>
        <v>2014</v>
      </c>
      <c r="I173" s="168"/>
      <c r="J173" s="799"/>
      <c r="K173" s="133"/>
      <c r="L173" s="132"/>
      <c r="M173" s="149"/>
      <c r="N173" s="168"/>
      <c r="O173" s="799"/>
      <c r="P173" s="133"/>
      <c r="Q173" s="132"/>
      <c r="R173" s="149"/>
      <c r="S173" s="168"/>
      <c r="T173" s="799"/>
      <c r="U173" s="133"/>
      <c r="V173" s="132"/>
      <c r="W173" s="149"/>
    </row>
    <row r="174" spans="1:23">
      <c r="A174" s="119">
        <f t="shared" si="24"/>
        <v>29</v>
      </c>
      <c r="B174" s="127">
        <f t="shared" si="35"/>
        <v>2015</v>
      </c>
      <c r="C174" s="127"/>
      <c r="H174" s="139">
        <f t="shared" si="34"/>
        <v>2015</v>
      </c>
      <c r="I174" s="168"/>
      <c r="J174" s="799"/>
      <c r="K174" s="133"/>
      <c r="L174" s="132"/>
      <c r="M174" s="149"/>
      <c r="N174" s="168"/>
      <c r="O174" s="799"/>
      <c r="P174" s="133"/>
      <c r="Q174" s="132"/>
      <c r="R174" s="149"/>
      <c r="S174" s="168"/>
      <c r="T174" s="799"/>
      <c r="U174" s="133"/>
      <c r="V174" s="132"/>
      <c r="W174" s="149"/>
    </row>
    <row r="175" spans="1:23">
      <c r="A175" s="119">
        <f t="shared" si="24"/>
        <v>30</v>
      </c>
      <c r="B175" s="127">
        <f t="shared" si="35"/>
        <v>2016</v>
      </c>
      <c r="C175" s="127"/>
      <c r="H175" s="139">
        <f t="shared" si="34"/>
        <v>2016</v>
      </c>
      <c r="I175" s="168"/>
      <c r="J175" s="799"/>
      <c r="K175" s="133"/>
      <c r="L175" s="132"/>
      <c r="M175" s="149"/>
      <c r="N175" s="168"/>
      <c r="O175" s="799"/>
      <c r="P175" s="133"/>
      <c r="Q175" s="132"/>
      <c r="R175" s="149"/>
      <c r="S175" s="168"/>
      <c r="T175" s="799"/>
      <c r="U175" s="133"/>
      <c r="V175" s="132"/>
      <c r="W175" s="149"/>
    </row>
    <row r="176" spans="1:23">
      <c r="A176" s="119">
        <f t="shared" si="24"/>
        <v>31</v>
      </c>
      <c r="B176" s="127">
        <f t="shared" si="35"/>
        <v>2017</v>
      </c>
      <c r="C176" s="127"/>
      <c r="H176" s="139">
        <f t="shared" si="34"/>
        <v>2017</v>
      </c>
      <c r="I176" s="168"/>
      <c r="J176" s="799"/>
      <c r="K176" s="133"/>
      <c r="L176" s="132"/>
      <c r="M176" s="149"/>
      <c r="N176" s="168"/>
      <c r="O176" s="799"/>
      <c r="P176" s="133"/>
      <c r="Q176" s="132"/>
      <c r="R176" s="149"/>
      <c r="S176" s="168"/>
      <c r="T176" s="799"/>
      <c r="U176" s="133"/>
      <c r="V176" s="132"/>
      <c r="W176" s="149"/>
    </row>
    <row r="177" spans="1:23">
      <c r="A177" s="119">
        <f t="shared" si="24"/>
        <v>32</v>
      </c>
      <c r="B177" s="127">
        <f t="shared" si="35"/>
        <v>2018</v>
      </c>
      <c r="C177" s="127"/>
      <c r="H177" s="139">
        <f t="shared" si="34"/>
        <v>2018</v>
      </c>
      <c r="I177" s="168"/>
      <c r="J177" s="799"/>
      <c r="K177" s="133"/>
      <c r="L177" s="132"/>
      <c r="M177" s="149"/>
      <c r="N177" s="168"/>
      <c r="O177" s="799"/>
      <c r="P177" s="133"/>
      <c r="Q177" s="132"/>
      <c r="R177" s="149"/>
      <c r="S177" s="168"/>
      <c r="T177" s="799"/>
      <c r="U177" s="133"/>
      <c r="V177" s="132"/>
      <c r="W177" s="149"/>
    </row>
    <row r="178" spans="1:23">
      <c r="A178" s="119">
        <f t="shared" si="24"/>
        <v>33</v>
      </c>
      <c r="B178" s="127">
        <f t="shared" si="35"/>
        <v>2019</v>
      </c>
      <c r="C178" s="127"/>
      <c r="H178" s="139">
        <f t="shared" si="34"/>
        <v>2019</v>
      </c>
      <c r="I178" s="168"/>
      <c r="J178" s="799"/>
      <c r="K178" s="133"/>
      <c r="L178" s="132"/>
      <c r="M178" s="149"/>
      <c r="N178" s="168"/>
      <c r="O178" s="799"/>
      <c r="P178" s="133"/>
      <c r="Q178" s="132"/>
      <c r="R178" s="149"/>
      <c r="S178" s="168"/>
      <c r="T178" s="799"/>
      <c r="U178" s="133"/>
      <c r="V178" s="132"/>
      <c r="W178" s="149"/>
    </row>
    <row r="179" spans="1:23">
      <c r="A179" s="119">
        <f t="shared" si="24"/>
        <v>34</v>
      </c>
      <c r="B179" s="127">
        <f t="shared" si="35"/>
        <v>2020</v>
      </c>
      <c r="C179" s="127"/>
      <c r="H179" s="139">
        <f t="shared" si="34"/>
        <v>2020</v>
      </c>
      <c r="I179" s="168"/>
      <c r="J179" s="799"/>
      <c r="K179" s="133"/>
      <c r="L179" s="132"/>
      <c r="M179" s="149"/>
      <c r="N179" s="168"/>
      <c r="O179" s="799"/>
      <c r="P179" s="133"/>
      <c r="Q179" s="132"/>
      <c r="R179" s="149"/>
      <c r="S179" s="168"/>
      <c r="T179" s="799"/>
      <c r="U179" s="133"/>
      <c r="V179" s="132"/>
      <c r="W179" s="149"/>
    </row>
    <row r="180" spans="1:23">
      <c r="A180" s="119">
        <f t="shared" si="24"/>
        <v>35</v>
      </c>
      <c r="B180" s="127">
        <f t="shared" si="35"/>
        <v>2021</v>
      </c>
      <c r="C180" s="127"/>
      <c r="H180" s="139">
        <f t="shared" si="34"/>
        <v>2021</v>
      </c>
      <c r="I180" s="168"/>
      <c r="J180" s="799"/>
      <c r="K180" s="133"/>
      <c r="L180" s="132"/>
      <c r="M180" s="149"/>
      <c r="N180" s="168"/>
      <c r="O180" s="799"/>
      <c r="P180" s="133"/>
      <c r="Q180" s="132"/>
      <c r="R180" s="149"/>
      <c r="S180" s="168"/>
      <c r="T180" s="799"/>
      <c r="U180" s="133"/>
      <c r="V180" s="132"/>
      <c r="W180" s="149"/>
    </row>
    <row r="181" spans="1:23">
      <c r="A181" s="119">
        <f t="shared" si="24"/>
        <v>36</v>
      </c>
      <c r="B181" s="127">
        <f t="shared" si="35"/>
        <v>2022</v>
      </c>
      <c r="C181" s="127"/>
      <c r="H181" s="139">
        <f t="shared" si="34"/>
        <v>2022</v>
      </c>
      <c r="I181" s="168"/>
      <c r="J181" s="799"/>
      <c r="K181" s="133"/>
      <c r="L181" s="132"/>
      <c r="M181" s="149"/>
      <c r="N181" s="168"/>
      <c r="O181" s="799"/>
      <c r="P181" s="133"/>
      <c r="Q181" s="132"/>
      <c r="R181" s="149"/>
      <c r="S181" s="168"/>
      <c r="T181" s="799"/>
      <c r="U181" s="133"/>
      <c r="V181" s="132"/>
      <c r="W181" s="149"/>
    </row>
    <row r="182" spans="1:23">
      <c r="A182" s="119">
        <f t="shared" si="24"/>
        <v>37</v>
      </c>
      <c r="B182" s="127">
        <f t="shared" si="35"/>
        <v>2023</v>
      </c>
      <c r="C182" s="127"/>
      <c r="H182" s="139">
        <f t="shared" si="34"/>
        <v>2023</v>
      </c>
      <c r="I182" s="168"/>
      <c r="J182" s="799"/>
      <c r="K182" s="133"/>
      <c r="L182" s="132"/>
      <c r="M182" s="149"/>
      <c r="N182" s="168"/>
      <c r="O182" s="799"/>
      <c r="P182" s="133"/>
      <c r="Q182" s="132"/>
      <c r="R182" s="149"/>
      <c r="S182" s="168"/>
      <c r="T182" s="799"/>
      <c r="U182" s="133"/>
      <c r="V182" s="132"/>
      <c r="W182" s="149"/>
    </row>
    <row r="183" spans="1:23">
      <c r="A183" s="119">
        <f t="shared" si="24"/>
        <v>38</v>
      </c>
      <c r="B183" s="127">
        <f t="shared" si="35"/>
        <v>2024</v>
      </c>
      <c r="C183" s="127"/>
      <c r="H183" s="139">
        <f t="shared" si="34"/>
        <v>2024</v>
      </c>
      <c r="I183" s="168"/>
      <c r="J183" s="799"/>
      <c r="K183" s="133"/>
      <c r="L183" s="132"/>
      <c r="M183" s="149"/>
      <c r="N183" s="168"/>
      <c r="O183" s="799"/>
      <c r="P183" s="133"/>
      <c r="Q183" s="132"/>
      <c r="R183" s="149"/>
      <c r="S183" s="168"/>
      <c r="T183" s="799"/>
      <c r="U183" s="133"/>
      <c r="V183" s="132"/>
      <c r="W183" s="149"/>
    </row>
    <row r="184" spans="1:23">
      <c r="A184" s="119">
        <f t="shared" si="24"/>
        <v>39</v>
      </c>
      <c r="B184" s="127">
        <f t="shared" si="35"/>
        <v>2025</v>
      </c>
      <c r="C184" s="127"/>
      <c r="H184" s="139">
        <f t="shared" si="34"/>
        <v>2025</v>
      </c>
      <c r="I184" s="168"/>
      <c r="J184" s="799"/>
      <c r="K184" s="133"/>
      <c r="L184" s="132"/>
      <c r="M184" s="149"/>
      <c r="N184" s="168"/>
      <c r="O184" s="799"/>
      <c r="P184" s="133"/>
      <c r="Q184" s="132"/>
      <c r="R184" s="149"/>
      <c r="S184" s="168"/>
      <c r="T184" s="799"/>
      <c r="U184" s="133"/>
      <c r="V184" s="132"/>
      <c r="W184" s="149"/>
    </row>
    <row r="185" spans="1:23">
      <c r="A185" s="119">
        <f t="shared" si="24"/>
        <v>40</v>
      </c>
      <c r="B185" s="127">
        <f t="shared" si="35"/>
        <v>2026</v>
      </c>
      <c r="C185" s="127"/>
      <c r="H185" s="139">
        <f t="shared" si="34"/>
        <v>2026</v>
      </c>
      <c r="I185" s="168"/>
      <c r="J185" s="799"/>
      <c r="K185" s="133"/>
      <c r="L185" s="132"/>
      <c r="M185" s="149"/>
      <c r="N185" s="168"/>
      <c r="O185" s="799"/>
      <c r="P185" s="133"/>
      <c r="Q185" s="132"/>
      <c r="R185" s="149"/>
      <c r="S185" s="168"/>
      <c r="T185" s="799"/>
      <c r="U185" s="133"/>
      <c r="V185" s="132"/>
      <c r="W185" s="149"/>
    </row>
    <row r="186" spans="1:23">
      <c r="A186" s="119">
        <f t="shared" si="24"/>
        <v>41</v>
      </c>
      <c r="B186" s="127">
        <f t="shared" si="35"/>
        <v>2027</v>
      </c>
      <c r="C186" s="127"/>
      <c r="H186" s="139">
        <f t="shared" si="34"/>
        <v>2027</v>
      </c>
      <c r="I186" s="168"/>
      <c r="J186" s="799"/>
      <c r="K186" s="133"/>
      <c r="L186" s="132"/>
      <c r="M186" s="149"/>
      <c r="N186" s="168"/>
      <c r="O186" s="799"/>
      <c r="P186" s="133"/>
      <c r="Q186" s="132"/>
      <c r="R186" s="149"/>
      <c r="S186" s="168"/>
      <c r="T186" s="799"/>
      <c r="U186" s="133"/>
      <c r="V186" s="132"/>
      <c r="W186" s="149"/>
    </row>
    <row r="187" spans="1:23">
      <c r="A187" s="119">
        <f t="shared" si="24"/>
        <v>42</v>
      </c>
      <c r="B187" s="127">
        <f t="shared" si="35"/>
        <v>2028</v>
      </c>
      <c r="C187" s="127"/>
      <c r="H187" s="139">
        <f t="shared" si="34"/>
        <v>2028</v>
      </c>
      <c r="I187" s="168"/>
      <c r="J187" s="799"/>
      <c r="K187" s="133"/>
      <c r="L187" s="132"/>
      <c r="M187" s="149"/>
      <c r="N187" s="168"/>
      <c r="O187" s="799"/>
      <c r="P187" s="133"/>
      <c r="Q187" s="132"/>
      <c r="R187" s="149"/>
      <c r="S187" s="168"/>
      <c r="T187" s="799"/>
      <c r="U187" s="133"/>
      <c r="V187" s="132"/>
      <c r="W187" s="149"/>
    </row>
    <row r="188" spans="1:23">
      <c r="A188" s="119">
        <f t="shared" si="24"/>
        <v>43</v>
      </c>
      <c r="B188" s="127">
        <f t="shared" si="35"/>
        <v>2029</v>
      </c>
      <c r="C188" s="127"/>
      <c r="H188" s="139">
        <f t="shared" si="34"/>
        <v>2029</v>
      </c>
      <c r="I188" s="920"/>
      <c r="J188" s="921"/>
      <c r="K188" s="922"/>
      <c r="L188" s="138"/>
      <c r="M188" s="150"/>
      <c r="N188" s="920"/>
      <c r="O188" s="921"/>
      <c r="P188" s="922"/>
      <c r="Q188" s="138"/>
      <c r="R188" s="150"/>
      <c r="S188" s="920"/>
      <c r="T188" s="921"/>
      <c r="U188" s="922"/>
      <c r="V188" s="138"/>
      <c r="W188" s="150"/>
    </row>
    <row r="189" spans="1:23">
      <c r="A189" s="119">
        <f t="shared" si="24"/>
        <v>44</v>
      </c>
      <c r="B189" s="139"/>
      <c r="C189" s="139"/>
      <c r="D189" s="88"/>
      <c r="E189" s="88"/>
      <c r="F189" s="88"/>
      <c r="G189" s="88"/>
      <c r="H189" s="139"/>
      <c r="I189" s="919"/>
      <c r="J189" s="560"/>
      <c r="K189" s="90"/>
      <c r="L189" s="90"/>
      <c r="M189" s="90"/>
      <c r="N189" s="90"/>
      <c r="O189" s="560"/>
      <c r="P189" s="90"/>
      <c r="Q189" s="90"/>
      <c r="R189" s="90"/>
      <c r="S189" s="90"/>
      <c r="T189" s="560"/>
      <c r="U189" s="90"/>
      <c r="V189" s="90"/>
      <c r="W189" s="90"/>
    </row>
    <row r="190" spans="1:23" ht="15.75">
      <c r="A190" s="119">
        <f t="shared" si="24"/>
        <v>45</v>
      </c>
      <c r="B190" s="74" t="s">
        <v>1206</v>
      </c>
      <c r="C190" s="74"/>
      <c r="D190" s="88"/>
      <c r="E190" s="88"/>
      <c r="F190" s="88"/>
      <c r="G190" s="88"/>
      <c r="H190" s="139"/>
      <c r="I190" s="919"/>
      <c r="J190" s="560"/>
      <c r="K190" s="90"/>
      <c r="L190" s="90"/>
      <c r="M190" s="90"/>
      <c r="N190" s="90"/>
      <c r="O190" s="560"/>
      <c r="P190" s="90"/>
      <c r="Q190" s="90"/>
      <c r="R190" s="90"/>
      <c r="S190" s="90"/>
      <c r="T190" s="560"/>
      <c r="U190" s="90"/>
      <c r="V190" s="90"/>
      <c r="W190" s="123"/>
    </row>
    <row r="191" spans="1:23" ht="15.75">
      <c r="H191" s="119"/>
      <c r="I191" s="176"/>
      <c r="J191" s="155"/>
      <c r="K191" s="155"/>
      <c r="L191" s="155"/>
      <c r="M191" s="155"/>
      <c r="N191" s="155"/>
      <c r="O191" s="123"/>
      <c r="P191" s="123"/>
      <c r="Q191" s="123"/>
      <c r="R191" s="123"/>
      <c r="S191" s="2193" t="s">
        <v>179</v>
      </c>
      <c r="T191" s="2193"/>
      <c r="V191" s="76" t="s">
        <v>1239</v>
      </c>
      <c r="W191" s="123"/>
    </row>
    <row r="192" spans="1:23" ht="18">
      <c r="B192" s="727" t="s">
        <v>138</v>
      </c>
      <c r="C192" s="727"/>
      <c r="T192" s="1100"/>
      <c r="W192" s="76"/>
    </row>
    <row r="193" spans="1:23">
      <c r="A193" s="119">
        <v>1</v>
      </c>
      <c r="D193" s="88"/>
      <c r="E193" s="88"/>
      <c r="F193" s="88"/>
      <c r="G193" s="88"/>
      <c r="H193" s="88"/>
      <c r="I193" s="1777"/>
      <c r="J193" s="1778" t="s">
        <v>623</v>
      </c>
      <c r="K193" s="1779" t="s">
        <v>838</v>
      </c>
      <c r="L193" s="1787" t="s">
        <v>1349</v>
      </c>
      <c r="M193" s="1788">
        <v>0</v>
      </c>
      <c r="N193" s="1777"/>
      <c r="O193" s="1778" t="s">
        <v>623</v>
      </c>
      <c r="P193" s="1779" t="s">
        <v>839</v>
      </c>
      <c r="Q193" s="1787" t="s">
        <v>1349</v>
      </c>
      <c r="R193" s="1780">
        <v>0</v>
      </c>
      <c r="S193" s="1777"/>
      <c r="T193" s="1778" t="s">
        <v>623</v>
      </c>
      <c r="U193" s="1779" t="s">
        <v>1350</v>
      </c>
      <c r="V193" s="1787" t="s">
        <v>1349</v>
      </c>
      <c r="W193" s="1780">
        <v>0</v>
      </c>
    </row>
    <row r="194" spans="1:23">
      <c r="A194" s="119">
        <f>A193+1</f>
        <v>2</v>
      </c>
      <c r="D194" s="88"/>
      <c r="E194" s="88"/>
      <c r="F194" s="88"/>
      <c r="G194" s="88"/>
      <c r="H194" s="88"/>
      <c r="I194" s="134"/>
      <c r="J194" s="135" t="s">
        <v>632</v>
      </c>
      <c r="K194" s="1550"/>
      <c r="L194" s="1765" t="s">
        <v>626</v>
      </c>
      <c r="M194" s="177">
        <f>'Actual Gross Rev Req'!$I$216*M193</f>
        <v>0</v>
      </c>
      <c r="N194" s="134"/>
      <c r="O194" s="135"/>
      <c r="P194" s="135"/>
      <c r="Q194" s="1765" t="s">
        <v>626</v>
      </c>
      <c r="R194" s="1239">
        <f>'Actual Gross Rev Req'!$I$216*R193</f>
        <v>0</v>
      </c>
      <c r="S194" s="134"/>
      <c r="T194" s="135"/>
      <c r="U194" s="135"/>
      <c r="V194" s="1765" t="s">
        <v>626</v>
      </c>
      <c r="W194" s="1239">
        <f>'Actual Gross Rev Req'!$I$216*W193</f>
        <v>0</v>
      </c>
    </row>
    <row r="195" spans="1:23">
      <c r="A195" s="119">
        <f t="shared" ref="A195:A239" si="36">A194+1</f>
        <v>3</v>
      </c>
      <c r="D195" s="88"/>
      <c r="E195" s="88"/>
      <c r="F195" s="88"/>
      <c r="G195" s="88"/>
      <c r="H195" s="88"/>
      <c r="I195" s="134"/>
      <c r="J195" s="135"/>
      <c r="K195" s="135"/>
      <c r="L195" s="1765" t="s">
        <v>744</v>
      </c>
      <c r="M195" s="1239">
        <f>IF('Actual Gross Rev Req'!$M$217&gt;0,('Actual Gross Rev Req'!$H$109/(1-'Actual Gross Rev Req'!$H$109)),0)</f>
        <v>0.63412352476290834</v>
      </c>
      <c r="N195" s="134"/>
      <c r="O195" s="135"/>
      <c r="P195" s="1239"/>
      <c r="Q195" s="1765" t="s">
        <v>744</v>
      </c>
      <c r="R195" s="1239">
        <f>IF('Actual Gross Rev Req'!$M$217&gt;0,('Actual Gross Rev Req'!$H$109/(1-'Actual Gross Rev Req'!$H$109)),0)</f>
        <v>0.63412352476290834</v>
      </c>
      <c r="S195" s="134"/>
      <c r="T195" s="135"/>
      <c r="U195" s="1239"/>
      <c r="V195" s="1765" t="s">
        <v>744</v>
      </c>
      <c r="W195" s="1239">
        <f>IF('Actual Gross Rev Req'!$M$217&gt;0,('Actual Gross Rev Req'!$H$109/(1-'Actual Gross Rev Req'!$H$109)),0)</f>
        <v>0.63412352476290834</v>
      </c>
    </row>
    <row r="196" spans="1:23" ht="25.5">
      <c r="A196" s="119">
        <f t="shared" si="36"/>
        <v>4</v>
      </c>
      <c r="D196" s="88"/>
      <c r="E196" s="88"/>
      <c r="F196" s="88"/>
      <c r="G196" s="88"/>
      <c r="H196" s="88"/>
      <c r="I196" s="1762" t="s">
        <v>553</v>
      </c>
      <c r="J196" s="1763" t="s">
        <v>1351</v>
      </c>
      <c r="K196" s="1763" t="s">
        <v>1352</v>
      </c>
      <c r="L196" s="1763" t="s">
        <v>1353</v>
      </c>
      <c r="M196" s="135"/>
      <c r="N196" s="1762" t="s">
        <v>553</v>
      </c>
      <c r="O196" s="1763" t="s">
        <v>1351</v>
      </c>
      <c r="P196" s="1763" t="s">
        <v>1352</v>
      </c>
      <c r="Q196" s="1763" t="s">
        <v>1353</v>
      </c>
      <c r="R196" s="145"/>
      <c r="S196" s="1762" t="s">
        <v>553</v>
      </c>
      <c r="T196" s="1763" t="s">
        <v>1351</v>
      </c>
      <c r="U196" s="1763" t="s">
        <v>1352</v>
      </c>
      <c r="V196" s="1763" t="s">
        <v>1353</v>
      </c>
      <c r="W196" s="145"/>
    </row>
    <row r="197" spans="1:23">
      <c r="A197" s="119">
        <f t="shared" si="36"/>
        <v>5</v>
      </c>
      <c r="D197" s="88"/>
      <c r="E197" s="88"/>
      <c r="F197" s="88"/>
      <c r="G197" s="88" t="s">
        <v>1354</v>
      </c>
      <c r="H197" s="88" t="s">
        <v>1355</v>
      </c>
      <c r="I197" s="1785">
        <v>0</v>
      </c>
      <c r="J197" s="133">
        <v>0</v>
      </c>
      <c r="K197" s="177"/>
      <c r="L197" s="135"/>
      <c r="M197" s="145"/>
      <c r="N197" s="1785">
        <v>0</v>
      </c>
      <c r="O197" s="133">
        <v>0</v>
      </c>
      <c r="P197" s="177"/>
      <c r="Q197" s="135"/>
      <c r="R197" s="145"/>
      <c r="S197" s="1785">
        <v>0</v>
      </c>
      <c r="T197" s="133">
        <v>0</v>
      </c>
      <c r="U197" s="177"/>
      <c r="V197" s="135"/>
      <c r="W197" s="145"/>
    </row>
    <row r="198" spans="1:23">
      <c r="A198" s="119">
        <f t="shared" si="36"/>
        <v>6</v>
      </c>
      <c r="D198" s="88"/>
      <c r="E198" s="88"/>
      <c r="F198" s="88"/>
      <c r="G198" s="88" t="s">
        <v>1356</v>
      </c>
      <c r="H198" s="88" t="s">
        <v>674</v>
      </c>
      <c r="I198" s="1785">
        <v>0</v>
      </c>
      <c r="J198" s="133">
        <f>J197</f>
        <v>0</v>
      </c>
      <c r="K198" s="177">
        <f>(IF('Actual Gross Rev Req'!$H$16=0,0,'Actual Gross Rev Req'!$H$92/'Actual Gross Rev Req'!$H$16)/12)</f>
        <v>1.4936180092078701E-3</v>
      </c>
      <c r="L198" s="90">
        <f t="shared" ref="L198:L209" si="37">+K198*J197</f>
        <v>0</v>
      </c>
      <c r="M198" s="135"/>
      <c r="N198" s="1785">
        <v>0</v>
      </c>
      <c r="O198" s="133">
        <f>O197</f>
        <v>0</v>
      </c>
      <c r="P198" s="177">
        <f>(IF('Actual Gross Rev Req'!$H$16=0,0,'Actual Gross Rev Req'!$H$92/'Actual Gross Rev Req'!$H$16)/12)</f>
        <v>1.4936180092078701E-3</v>
      </c>
      <c r="Q198" s="90">
        <f>+P198*O197</f>
        <v>0</v>
      </c>
      <c r="R198" s="145"/>
      <c r="S198" s="1785">
        <v>0</v>
      </c>
      <c r="T198" s="133">
        <f>T197</f>
        <v>0</v>
      </c>
      <c r="U198" s="177">
        <f>(IF('Actual Gross Rev Req'!$H$16=0,0,'Actual Gross Rev Req'!$H$92/'Actual Gross Rev Req'!$H$16)/12)</f>
        <v>1.4936180092078701E-3</v>
      </c>
      <c r="V198" s="90">
        <f t="shared" ref="V198:V209" si="38">+U198*T197</f>
        <v>0</v>
      </c>
      <c r="W198" s="145"/>
    </row>
    <row r="199" spans="1:23">
      <c r="A199" s="119">
        <f t="shared" si="36"/>
        <v>7</v>
      </c>
      <c r="D199" s="88"/>
      <c r="E199" s="88"/>
      <c r="F199" s="88"/>
      <c r="G199" s="88" t="s">
        <v>1356</v>
      </c>
      <c r="H199" s="88" t="s">
        <v>1357</v>
      </c>
      <c r="I199" s="1785">
        <v>0</v>
      </c>
      <c r="J199" s="133">
        <f t="shared" ref="J199:J209" si="39">J198</f>
        <v>0</v>
      </c>
      <c r="K199" s="177">
        <f t="shared" ref="K199:K209" si="40">K198</f>
        <v>1.4936180092078701E-3</v>
      </c>
      <c r="L199" s="90">
        <f t="shared" si="37"/>
        <v>0</v>
      </c>
      <c r="M199" s="145"/>
      <c r="N199" s="1785">
        <v>0</v>
      </c>
      <c r="O199" s="133">
        <f t="shared" ref="O199:O209" si="41">O198</f>
        <v>0</v>
      </c>
      <c r="P199" s="177">
        <f t="shared" ref="P199:P209" si="42">P198</f>
        <v>1.4936180092078701E-3</v>
      </c>
      <c r="Q199" s="90">
        <f t="shared" ref="Q199:Q208" si="43">+P199*O198</f>
        <v>0</v>
      </c>
      <c r="R199" s="145"/>
      <c r="S199" s="1785">
        <v>0</v>
      </c>
      <c r="T199" s="133">
        <f t="shared" ref="T199:T209" si="44">T198</f>
        <v>0</v>
      </c>
      <c r="U199" s="177">
        <f t="shared" ref="U199:U209" si="45">U198</f>
        <v>1.4936180092078701E-3</v>
      </c>
      <c r="V199" s="90">
        <f t="shared" si="38"/>
        <v>0</v>
      </c>
      <c r="W199" s="145"/>
    </row>
    <row r="200" spans="1:23">
      <c r="A200" s="119">
        <f t="shared" si="36"/>
        <v>8</v>
      </c>
      <c r="D200" s="88"/>
      <c r="E200" s="88"/>
      <c r="F200" s="88"/>
      <c r="G200" s="88" t="s">
        <v>1356</v>
      </c>
      <c r="H200" s="88" t="s">
        <v>1358</v>
      </c>
      <c r="I200" s="1785">
        <v>0</v>
      </c>
      <c r="J200" s="133">
        <v>0</v>
      </c>
      <c r="K200" s="177">
        <f t="shared" si="40"/>
        <v>1.4936180092078701E-3</v>
      </c>
      <c r="L200" s="90">
        <f t="shared" si="37"/>
        <v>0</v>
      </c>
      <c r="M200" s="145"/>
      <c r="N200" s="1785">
        <v>0</v>
      </c>
      <c r="O200" s="133">
        <v>0</v>
      </c>
      <c r="P200" s="177">
        <f t="shared" si="42"/>
        <v>1.4936180092078701E-3</v>
      </c>
      <c r="Q200" s="90">
        <f t="shared" si="43"/>
        <v>0</v>
      </c>
      <c r="R200" s="145"/>
      <c r="S200" s="1785">
        <v>0</v>
      </c>
      <c r="T200" s="133">
        <v>0</v>
      </c>
      <c r="U200" s="177">
        <f t="shared" si="45"/>
        <v>1.4936180092078701E-3</v>
      </c>
      <c r="V200" s="90">
        <f t="shared" si="38"/>
        <v>0</v>
      </c>
      <c r="W200" s="145"/>
    </row>
    <row r="201" spans="1:23">
      <c r="A201" s="119">
        <f t="shared" si="36"/>
        <v>9</v>
      </c>
      <c r="D201" s="88"/>
      <c r="E201" s="88"/>
      <c r="F201" s="88"/>
      <c r="G201" s="88" t="s">
        <v>1356</v>
      </c>
      <c r="H201" s="88" t="s">
        <v>1359</v>
      </c>
      <c r="I201" s="1785">
        <v>0</v>
      </c>
      <c r="J201" s="133">
        <f t="shared" si="39"/>
        <v>0</v>
      </c>
      <c r="K201" s="177">
        <f t="shared" si="40"/>
        <v>1.4936180092078701E-3</v>
      </c>
      <c r="L201" s="90">
        <f t="shared" si="37"/>
        <v>0</v>
      </c>
      <c r="M201" s="145"/>
      <c r="N201" s="1785">
        <v>0</v>
      </c>
      <c r="O201" s="133">
        <f t="shared" si="41"/>
        <v>0</v>
      </c>
      <c r="P201" s="177">
        <f t="shared" si="42"/>
        <v>1.4936180092078701E-3</v>
      </c>
      <c r="Q201" s="90">
        <f t="shared" si="43"/>
        <v>0</v>
      </c>
      <c r="R201" s="145"/>
      <c r="S201" s="1785">
        <v>0</v>
      </c>
      <c r="T201" s="133">
        <f t="shared" si="44"/>
        <v>0</v>
      </c>
      <c r="U201" s="177">
        <f t="shared" si="45"/>
        <v>1.4936180092078701E-3</v>
      </c>
      <c r="V201" s="90">
        <f t="shared" si="38"/>
        <v>0</v>
      </c>
      <c r="W201" s="145"/>
    </row>
    <row r="202" spans="1:23">
      <c r="A202" s="119">
        <f t="shared" si="36"/>
        <v>10</v>
      </c>
      <c r="D202" s="88"/>
      <c r="E202" s="88"/>
      <c r="F202" s="88"/>
      <c r="G202" s="88" t="s">
        <v>1356</v>
      </c>
      <c r="H202" s="88" t="s">
        <v>1125</v>
      </c>
      <c r="I202" s="1785">
        <v>0</v>
      </c>
      <c r="J202" s="133">
        <f t="shared" si="39"/>
        <v>0</v>
      </c>
      <c r="K202" s="177">
        <f t="shared" si="40"/>
        <v>1.4936180092078701E-3</v>
      </c>
      <c r="L202" s="90">
        <f t="shared" si="37"/>
        <v>0</v>
      </c>
      <c r="M202" s="145"/>
      <c r="N202" s="1785">
        <v>0</v>
      </c>
      <c r="O202" s="133">
        <f t="shared" si="41"/>
        <v>0</v>
      </c>
      <c r="P202" s="177">
        <f t="shared" si="42"/>
        <v>1.4936180092078701E-3</v>
      </c>
      <c r="Q202" s="90">
        <f t="shared" si="43"/>
        <v>0</v>
      </c>
      <c r="R202" s="145"/>
      <c r="S202" s="1785">
        <v>0</v>
      </c>
      <c r="T202" s="133">
        <f t="shared" si="44"/>
        <v>0</v>
      </c>
      <c r="U202" s="177">
        <f t="shared" si="45"/>
        <v>1.4936180092078701E-3</v>
      </c>
      <c r="V202" s="90">
        <f t="shared" si="38"/>
        <v>0</v>
      </c>
      <c r="W202" s="145"/>
    </row>
    <row r="203" spans="1:23">
      <c r="A203" s="119">
        <f t="shared" si="36"/>
        <v>11</v>
      </c>
      <c r="D203" s="88"/>
      <c r="E203" s="88"/>
      <c r="F203" s="88"/>
      <c r="G203" s="88" t="s">
        <v>1356</v>
      </c>
      <c r="H203" s="88" t="s">
        <v>675</v>
      </c>
      <c r="I203" s="1785">
        <v>0</v>
      </c>
      <c r="J203" s="133">
        <f t="shared" si="39"/>
        <v>0</v>
      </c>
      <c r="K203" s="177">
        <f t="shared" si="40"/>
        <v>1.4936180092078701E-3</v>
      </c>
      <c r="L203" s="90">
        <f t="shared" si="37"/>
        <v>0</v>
      </c>
      <c r="M203" s="145"/>
      <c r="N203" s="1785">
        <v>0</v>
      </c>
      <c r="O203" s="133">
        <f t="shared" si="41"/>
        <v>0</v>
      </c>
      <c r="P203" s="177">
        <f t="shared" si="42"/>
        <v>1.4936180092078701E-3</v>
      </c>
      <c r="Q203" s="90">
        <f t="shared" si="43"/>
        <v>0</v>
      </c>
      <c r="R203" s="145"/>
      <c r="S203" s="1785">
        <v>0</v>
      </c>
      <c r="T203" s="133">
        <f t="shared" si="44"/>
        <v>0</v>
      </c>
      <c r="U203" s="177">
        <f t="shared" si="45"/>
        <v>1.4936180092078701E-3</v>
      </c>
      <c r="V203" s="90">
        <f t="shared" si="38"/>
        <v>0</v>
      </c>
      <c r="W203" s="145"/>
    </row>
    <row r="204" spans="1:23">
      <c r="A204" s="119">
        <f t="shared" si="36"/>
        <v>12</v>
      </c>
      <c r="D204" s="88"/>
      <c r="E204" s="88"/>
      <c r="F204" s="88"/>
      <c r="G204" s="88" t="s">
        <v>1356</v>
      </c>
      <c r="H204" s="88" t="s">
        <v>1360</v>
      </c>
      <c r="I204" s="1785">
        <v>0</v>
      </c>
      <c r="J204" s="133">
        <f t="shared" si="39"/>
        <v>0</v>
      </c>
      <c r="K204" s="177">
        <f t="shared" si="40"/>
        <v>1.4936180092078701E-3</v>
      </c>
      <c r="L204" s="90">
        <f t="shared" si="37"/>
        <v>0</v>
      </c>
      <c r="M204" s="145"/>
      <c r="N204" s="1785">
        <v>0</v>
      </c>
      <c r="O204" s="133">
        <f t="shared" si="41"/>
        <v>0</v>
      </c>
      <c r="P204" s="177">
        <f t="shared" si="42"/>
        <v>1.4936180092078701E-3</v>
      </c>
      <c r="Q204" s="90">
        <f t="shared" si="43"/>
        <v>0</v>
      </c>
      <c r="R204" s="145"/>
      <c r="S204" s="1785">
        <v>0</v>
      </c>
      <c r="T204" s="133">
        <f t="shared" si="44"/>
        <v>0</v>
      </c>
      <c r="U204" s="177">
        <f t="shared" si="45"/>
        <v>1.4936180092078701E-3</v>
      </c>
      <c r="V204" s="90">
        <f t="shared" si="38"/>
        <v>0</v>
      </c>
      <c r="W204" s="145"/>
    </row>
    <row r="205" spans="1:23">
      <c r="A205" s="119">
        <f t="shared" si="36"/>
        <v>13</v>
      </c>
      <c r="D205" s="88"/>
      <c r="E205" s="88"/>
      <c r="F205" s="88"/>
      <c r="G205" s="88" t="s">
        <v>1356</v>
      </c>
      <c r="H205" s="88" t="s">
        <v>1361</v>
      </c>
      <c r="I205" s="1785">
        <v>0</v>
      </c>
      <c r="J205" s="133">
        <f t="shared" si="39"/>
        <v>0</v>
      </c>
      <c r="K205" s="177">
        <f t="shared" si="40"/>
        <v>1.4936180092078701E-3</v>
      </c>
      <c r="L205" s="90">
        <f t="shared" si="37"/>
        <v>0</v>
      </c>
      <c r="M205" s="145"/>
      <c r="N205" s="1785">
        <v>0</v>
      </c>
      <c r="O205" s="133">
        <f t="shared" si="41"/>
        <v>0</v>
      </c>
      <c r="P205" s="177">
        <f t="shared" si="42"/>
        <v>1.4936180092078701E-3</v>
      </c>
      <c r="Q205" s="90">
        <f t="shared" si="43"/>
        <v>0</v>
      </c>
      <c r="R205" s="145"/>
      <c r="S205" s="1785">
        <v>0</v>
      </c>
      <c r="T205" s="133">
        <f t="shared" si="44"/>
        <v>0</v>
      </c>
      <c r="U205" s="177">
        <f t="shared" si="45"/>
        <v>1.4936180092078701E-3</v>
      </c>
      <c r="V205" s="90">
        <f t="shared" si="38"/>
        <v>0</v>
      </c>
      <c r="W205" s="145"/>
    </row>
    <row r="206" spans="1:23">
      <c r="A206" s="119">
        <f t="shared" si="36"/>
        <v>14</v>
      </c>
      <c r="D206" s="88"/>
      <c r="E206" s="88"/>
      <c r="F206" s="88"/>
      <c r="G206" s="88" t="s">
        <v>1356</v>
      </c>
      <c r="H206" s="88" t="s">
        <v>1362</v>
      </c>
      <c r="I206" s="1785">
        <v>0</v>
      </c>
      <c r="J206" s="133">
        <f t="shared" si="39"/>
        <v>0</v>
      </c>
      <c r="K206" s="177">
        <f t="shared" si="40"/>
        <v>1.4936180092078701E-3</v>
      </c>
      <c r="L206" s="90">
        <f t="shared" si="37"/>
        <v>0</v>
      </c>
      <c r="M206" s="145"/>
      <c r="N206" s="1785">
        <v>0</v>
      </c>
      <c r="O206" s="133">
        <f t="shared" si="41"/>
        <v>0</v>
      </c>
      <c r="P206" s="177">
        <f t="shared" si="42"/>
        <v>1.4936180092078701E-3</v>
      </c>
      <c r="Q206" s="90">
        <f t="shared" si="43"/>
        <v>0</v>
      </c>
      <c r="R206" s="145"/>
      <c r="S206" s="1785">
        <v>0</v>
      </c>
      <c r="T206" s="133">
        <f t="shared" si="44"/>
        <v>0</v>
      </c>
      <c r="U206" s="177">
        <f t="shared" si="45"/>
        <v>1.4936180092078701E-3</v>
      </c>
      <c r="V206" s="90">
        <f t="shared" si="38"/>
        <v>0</v>
      </c>
      <c r="W206" s="145"/>
    </row>
    <row r="207" spans="1:23">
      <c r="A207" s="119">
        <f t="shared" si="36"/>
        <v>15</v>
      </c>
      <c r="D207" s="88"/>
      <c r="E207" s="88"/>
      <c r="F207" s="88"/>
      <c r="G207" s="88" t="s">
        <v>1356</v>
      </c>
      <c r="H207" s="88" t="s">
        <v>676</v>
      </c>
      <c r="I207" s="1785">
        <v>0</v>
      </c>
      <c r="J207" s="133">
        <f t="shared" si="39"/>
        <v>0</v>
      </c>
      <c r="K207" s="177">
        <f t="shared" si="40"/>
        <v>1.4936180092078701E-3</v>
      </c>
      <c r="L207" s="90">
        <f t="shared" si="37"/>
        <v>0</v>
      </c>
      <c r="M207" s="145"/>
      <c r="N207" s="1785">
        <v>0</v>
      </c>
      <c r="O207" s="133">
        <f t="shared" si="41"/>
        <v>0</v>
      </c>
      <c r="P207" s="177">
        <f t="shared" si="42"/>
        <v>1.4936180092078701E-3</v>
      </c>
      <c r="Q207" s="90">
        <f t="shared" si="43"/>
        <v>0</v>
      </c>
      <c r="R207" s="145"/>
      <c r="S207" s="1785">
        <v>0</v>
      </c>
      <c r="T207" s="133">
        <f t="shared" si="44"/>
        <v>0</v>
      </c>
      <c r="U207" s="177">
        <f t="shared" si="45"/>
        <v>1.4936180092078701E-3</v>
      </c>
      <c r="V207" s="90">
        <f t="shared" si="38"/>
        <v>0</v>
      </c>
      <c r="W207" s="145"/>
    </row>
    <row r="208" spans="1:23">
      <c r="A208" s="119">
        <f t="shared" si="36"/>
        <v>16</v>
      </c>
      <c r="D208" s="88"/>
      <c r="E208" s="88"/>
      <c r="F208" s="88"/>
      <c r="G208" s="88" t="s">
        <v>1356</v>
      </c>
      <c r="H208" s="88" t="s">
        <v>1363</v>
      </c>
      <c r="I208" s="1785">
        <v>0</v>
      </c>
      <c r="J208" s="133">
        <f t="shared" si="39"/>
        <v>0</v>
      </c>
      <c r="K208" s="177">
        <f t="shared" si="40"/>
        <v>1.4936180092078701E-3</v>
      </c>
      <c r="L208" s="90">
        <f t="shared" si="37"/>
        <v>0</v>
      </c>
      <c r="M208" s="145"/>
      <c r="N208" s="1785">
        <v>0</v>
      </c>
      <c r="O208" s="133">
        <f t="shared" si="41"/>
        <v>0</v>
      </c>
      <c r="P208" s="177">
        <f t="shared" si="42"/>
        <v>1.4936180092078701E-3</v>
      </c>
      <c r="Q208" s="90">
        <f t="shared" si="43"/>
        <v>0</v>
      </c>
      <c r="R208" s="145"/>
      <c r="S208" s="1785">
        <v>0</v>
      </c>
      <c r="T208" s="133">
        <f t="shared" si="44"/>
        <v>0</v>
      </c>
      <c r="U208" s="177">
        <f t="shared" si="45"/>
        <v>1.4936180092078701E-3</v>
      </c>
      <c r="V208" s="90">
        <f t="shared" si="38"/>
        <v>0</v>
      </c>
      <c r="W208" s="145"/>
    </row>
    <row r="209" spans="1:23">
      <c r="A209" s="119">
        <f t="shared" si="36"/>
        <v>17</v>
      </c>
      <c r="D209" s="88"/>
      <c r="E209" s="88"/>
      <c r="F209" s="88"/>
      <c r="G209" s="88" t="s">
        <v>1356</v>
      </c>
      <c r="H209" s="88" t="s">
        <v>1355</v>
      </c>
      <c r="I209" s="1785">
        <v>0</v>
      </c>
      <c r="J209" s="133">
        <f t="shared" si="39"/>
        <v>0</v>
      </c>
      <c r="K209" s="177">
        <f t="shared" si="40"/>
        <v>1.4936180092078701E-3</v>
      </c>
      <c r="L209" s="363">
        <f t="shared" si="37"/>
        <v>0</v>
      </c>
      <c r="M209" s="145"/>
      <c r="N209" s="1785">
        <v>0</v>
      </c>
      <c r="O209" s="133">
        <f t="shared" si="41"/>
        <v>0</v>
      </c>
      <c r="P209" s="177">
        <f t="shared" si="42"/>
        <v>1.4936180092078701E-3</v>
      </c>
      <c r="Q209" s="363">
        <f>+P209*O208</f>
        <v>0</v>
      </c>
      <c r="R209" s="145"/>
      <c r="S209" s="1785">
        <v>0</v>
      </c>
      <c r="T209" s="133">
        <f t="shared" si="44"/>
        <v>0</v>
      </c>
      <c r="U209" s="177">
        <f t="shared" si="45"/>
        <v>1.4936180092078701E-3</v>
      </c>
      <c r="V209" s="363">
        <f t="shared" si="38"/>
        <v>0</v>
      </c>
      <c r="W209" s="145"/>
    </row>
    <row r="210" spans="1:23">
      <c r="A210" s="119">
        <f t="shared" si="36"/>
        <v>18</v>
      </c>
      <c r="D210" s="88"/>
      <c r="E210" s="88"/>
      <c r="F210" s="88"/>
      <c r="G210" s="88"/>
      <c r="H210" s="88"/>
      <c r="I210" s="1003"/>
      <c r="J210" s="1765"/>
      <c r="K210" s="135" t="str">
        <f>"Sum lines "&amp;$A198&amp;" - "&amp;$A209&amp;""</f>
        <v>Sum lines 6 - 17</v>
      </c>
      <c r="L210" s="90">
        <f>SUM(L198:L209)</f>
        <v>0</v>
      </c>
      <c r="M210" s="145"/>
      <c r="N210" s="1003"/>
      <c r="O210" s="1765"/>
      <c r="P210" s="135" t="str">
        <f>"Sum lines "&amp;$A198&amp;" - "&amp;$A209&amp;""</f>
        <v>Sum lines 6 - 17</v>
      </c>
      <c r="Q210" s="90">
        <f>SUM(Q198:Q209)</f>
        <v>0</v>
      </c>
      <c r="R210" s="145"/>
      <c r="S210" s="1003"/>
      <c r="T210" s="1765"/>
      <c r="U210" s="135" t="str">
        <f>"Sum lines "&amp;$A198&amp;" - "&amp;$A209&amp;""</f>
        <v>Sum lines 6 - 17</v>
      </c>
      <c r="V210" s="90">
        <f>SUM(V198:V209)</f>
        <v>0</v>
      </c>
      <c r="W210" s="145"/>
    </row>
    <row r="211" spans="1:23">
      <c r="A211" s="119">
        <f t="shared" si="36"/>
        <v>19</v>
      </c>
      <c r="D211" s="2211" t="s">
        <v>54</v>
      </c>
      <c r="E211" s="2211"/>
      <c r="F211" s="2211"/>
      <c r="G211" s="2211"/>
      <c r="H211" s="88"/>
      <c r="I211" s="134"/>
      <c r="J211" s="1782" t="s">
        <v>1512</v>
      </c>
      <c r="K211" s="922">
        <v>0</v>
      </c>
      <c r="L211" s="433"/>
      <c r="M211" s="980"/>
      <c r="N211" s="134"/>
      <c r="O211" s="1782" t="s">
        <v>1512</v>
      </c>
      <c r="P211" s="922">
        <v>0</v>
      </c>
      <c r="Q211" s="433"/>
      <c r="R211" s="980"/>
      <c r="S211" s="134"/>
      <c r="T211" s="1782" t="s">
        <v>1512</v>
      </c>
      <c r="U211" s="922">
        <v>0</v>
      </c>
      <c r="V211" s="433"/>
      <c r="W211" s="980"/>
    </row>
    <row r="212" spans="1:23">
      <c r="A212" s="119">
        <f t="shared" si="36"/>
        <v>20</v>
      </c>
      <c r="B212" s="141" t="s">
        <v>394</v>
      </c>
      <c r="C212" s="924" t="s">
        <v>137</v>
      </c>
      <c r="D212" s="1783" t="s">
        <v>1045</v>
      </c>
      <c r="E212" s="1783" t="s">
        <v>62</v>
      </c>
      <c r="F212" s="1783" t="s">
        <v>265</v>
      </c>
      <c r="G212" s="1783" t="s">
        <v>630</v>
      </c>
      <c r="H212" s="1783" t="s">
        <v>394</v>
      </c>
      <c r="I212" s="1784" t="s">
        <v>137</v>
      </c>
      <c r="J212" s="1784" t="s">
        <v>1045</v>
      </c>
      <c r="K212" s="1784" t="s">
        <v>634</v>
      </c>
      <c r="L212" s="1784" t="s">
        <v>265</v>
      </c>
      <c r="M212" s="1784" t="s">
        <v>630</v>
      </c>
      <c r="N212" s="1784" t="s">
        <v>137</v>
      </c>
      <c r="O212" s="1784" t="s">
        <v>1045</v>
      </c>
      <c r="P212" s="1784" t="s">
        <v>634</v>
      </c>
      <c r="Q212" s="1784" t="s">
        <v>265</v>
      </c>
      <c r="R212" s="1784" t="s">
        <v>630</v>
      </c>
      <c r="S212" s="1784" t="s">
        <v>137</v>
      </c>
      <c r="T212" s="1784" t="s">
        <v>1045</v>
      </c>
      <c r="U212" s="1784" t="s">
        <v>634</v>
      </c>
      <c r="V212" s="1784" t="s">
        <v>265</v>
      </c>
      <c r="W212" s="1784" t="s">
        <v>630</v>
      </c>
    </row>
    <row r="213" spans="1:23">
      <c r="A213" s="119">
        <f t="shared" si="36"/>
        <v>21</v>
      </c>
      <c r="D213" s="88"/>
      <c r="E213" s="88"/>
      <c r="F213" s="88"/>
      <c r="G213" s="88"/>
      <c r="H213" s="88"/>
      <c r="I213" s="134"/>
      <c r="J213" s="1550"/>
      <c r="K213" s="1550"/>
      <c r="L213" s="1550"/>
      <c r="M213" s="526"/>
      <c r="N213" s="134"/>
      <c r="O213" s="1550"/>
      <c r="P213" s="1550"/>
      <c r="Q213" s="1550"/>
      <c r="R213" s="526"/>
      <c r="S213" s="134"/>
      <c r="T213" s="1550"/>
      <c r="U213" s="1550"/>
      <c r="V213" s="1550"/>
      <c r="W213" s="526"/>
    </row>
    <row r="214" spans="1:23">
      <c r="A214" s="119">
        <f t="shared" si="36"/>
        <v>22</v>
      </c>
      <c r="B214" s="127">
        <v>2008</v>
      </c>
      <c r="C214" s="925">
        <f>I214+N214+S214</f>
        <v>0</v>
      </c>
      <c r="D214" s="1001">
        <f>+J214+O214+T214</f>
        <v>0</v>
      </c>
      <c r="E214" s="1001">
        <f>+K214+P214+U214</f>
        <v>0</v>
      </c>
      <c r="F214" s="1001">
        <f>+L214+Q214+V214</f>
        <v>0</v>
      </c>
      <c r="G214" s="1001">
        <f>+M214+R214+W214</f>
        <v>0</v>
      </c>
      <c r="H214" s="139">
        <f t="shared" ref="H214:H236" si="46">+B214</f>
        <v>2008</v>
      </c>
      <c r="I214" s="168">
        <f>SUM(I197:I209)/13</f>
        <v>0</v>
      </c>
      <c r="J214" s="168">
        <f>SUM(J197:J209)/13</f>
        <v>0</v>
      </c>
      <c r="K214" s="1767">
        <f>K211+SUM(L198*12,L199*11,L200*10,L201*9,L202*8,L203*7,L204*6,L205*5,L206*4,L207*3,L208*2,L209)/13</f>
        <v>0</v>
      </c>
      <c r="L214" s="90">
        <f>+J214-K214</f>
        <v>0</v>
      </c>
      <c r="M214" s="171">
        <f>ROUND($L214*M194*(1+M195),2)</f>
        <v>0</v>
      </c>
      <c r="N214" s="168">
        <f>SUM(N197:N209)/13</f>
        <v>0</v>
      </c>
      <c r="O214" s="168">
        <f>SUM(O197:O209)/13</f>
        <v>0</v>
      </c>
      <c r="P214" s="1767">
        <f>P211+SUM(Q198*12,Q199*11,Q200*10,Q201*9,Q202*8,Q203*7,Q204*6,Q205*5,Q206*4,Q207*3,Q208*2,Q209)/13</f>
        <v>0</v>
      </c>
      <c r="Q214" s="90">
        <f>+O214-P214</f>
        <v>0</v>
      </c>
      <c r="R214" s="171">
        <f>ROUND($Q214*R194*(1+R195),2)</f>
        <v>0</v>
      </c>
      <c r="S214" s="168">
        <f>SUM(S197:S209)/13</f>
        <v>0</v>
      </c>
      <c r="T214" s="168">
        <f>SUM(T197:T209)/13</f>
        <v>0</v>
      </c>
      <c r="U214" s="1767">
        <f>U211+SUM(V198*12,V199*11,V200*10,V201*9,V202*8,V203*7,V204*6,V205*5,V206*4,V207*3,V208*2,V209)/13</f>
        <v>0</v>
      </c>
      <c r="V214" s="90">
        <f>+T214-U214</f>
        <v>0</v>
      </c>
      <c r="W214" s="171">
        <f>ROUND($V214*W194*(1+W195),2)</f>
        <v>0</v>
      </c>
    </row>
    <row r="215" spans="1:23">
      <c r="A215" s="119">
        <f t="shared" si="36"/>
        <v>23</v>
      </c>
      <c r="B215" s="127">
        <f>+B214+1</f>
        <v>2009</v>
      </c>
      <c r="C215" s="925"/>
      <c r="D215" s="773"/>
      <c r="E215" s="773"/>
      <c r="F215" s="773"/>
      <c r="G215" s="773"/>
      <c r="H215" s="139">
        <f t="shared" si="46"/>
        <v>2009</v>
      </c>
      <c r="I215" s="168"/>
      <c r="J215" s="799"/>
      <c r="K215" s="133"/>
      <c r="L215" s="132"/>
      <c r="M215" s="171"/>
      <c r="N215" s="168"/>
      <c r="O215" s="799"/>
      <c r="P215" s="133"/>
      <c r="Q215" s="132"/>
      <c r="R215" s="171"/>
      <c r="S215" s="168"/>
      <c r="T215" s="799"/>
      <c r="U215" s="133"/>
      <c r="V215" s="132"/>
      <c r="W215" s="171"/>
    </row>
    <row r="216" spans="1:23">
      <c r="A216" s="119">
        <f t="shared" si="36"/>
        <v>24</v>
      </c>
      <c r="B216" s="127">
        <f t="shared" ref="B216:B236" si="47">+B215+1</f>
        <v>2010</v>
      </c>
      <c r="C216" s="127"/>
      <c r="D216" s="140"/>
      <c r="E216" s="140"/>
      <c r="F216" s="140"/>
      <c r="G216" s="140"/>
      <c r="H216" s="139">
        <f t="shared" si="46"/>
        <v>2010</v>
      </c>
      <c r="I216" s="168"/>
      <c r="J216" s="799"/>
      <c r="K216" s="133"/>
      <c r="L216" s="132"/>
      <c r="M216" s="149"/>
      <c r="N216" s="168"/>
      <c r="O216" s="799"/>
      <c r="P216" s="133"/>
      <c r="Q216" s="132"/>
      <c r="R216" s="149"/>
      <c r="S216" s="168"/>
      <c r="T216" s="799"/>
      <c r="U216" s="133"/>
      <c r="V216" s="132"/>
      <c r="W216" s="149"/>
    </row>
    <row r="217" spans="1:23">
      <c r="A217" s="119">
        <f t="shared" si="36"/>
        <v>25</v>
      </c>
      <c r="B217" s="127">
        <f t="shared" si="47"/>
        <v>2011</v>
      </c>
      <c r="C217" s="127"/>
      <c r="H217" s="139">
        <f t="shared" si="46"/>
        <v>2011</v>
      </c>
      <c r="I217" s="168"/>
      <c r="J217" s="799"/>
      <c r="K217" s="133"/>
      <c r="L217" s="132"/>
      <c r="M217" s="149"/>
      <c r="N217" s="168"/>
      <c r="O217" s="799"/>
      <c r="P217" s="133"/>
      <c r="Q217" s="132"/>
      <c r="R217" s="149"/>
      <c r="S217" s="168"/>
      <c r="T217" s="799"/>
      <c r="U217" s="133"/>
      <c r="V217" s="132"/>
      <c r="W217" s="149"/>
    </row>
    <row r="218" spans="1:23">
      <c r="A218" s="119">
        <f t="shared" si="36"/>
        <v>26</v>
      </c>
      <c r="B218" s="127">
        <f>+B217+1</f>
        <v>2012</v>
      </c>
      <c r="C218" s="127"/>
      <c r="H218" s="139">
        <f t="shared" si="46"/>
        <v>2012</v>
      </c>
      <c r="I218" s="168"/>
      <c r="J218" s="799"/>
      <c r="K218" s="133"/>
      <c r="L218" s="132"/>
      <c r="M218" s="149"/>
      <c r="N218" s="168"/>
      <c r="O218" s="799"/>
      <c r="P218" s="133"/>
      <c r="Q218" s="132"/>
      <c r="R218" s="149"/>
      <c r="S218" s="168"/>
      <c r="T218" s="799"/>
      <c r="U218" s="133"/>
      <c r="V218" s="132"/>
      <c r="W218" s="149"/>
    </row>
    <row r="219" spans="1:23">
      <c r="A219" s="119">
        <f t="shared" si="36"/>
        <v>27</v>
      </c>
      <c r="B219" s="127">
        <f t="shared" si="47"/>
        <v>2013</v>
      </c>
      <c r="C219" s="127"/>
      <c r="H219" s="139">
        <f t="shared" si="46"/>
        <v>2013</v>
      </c>
      <c r="I219" s="168"/>
      <c r="J219" s="799"/>
      <c r="K219" s="133"/>
      <c r="L219" s="132"/>
      <c r="M219" s="149"/>
      <c r="N219" s="168"/>
      <c r="O219" s="799"/>
      <c r="P219" s="133"/>
      <c r="Q219" s="132"/>
      <c r="R219" s="149"/>
      <c r="S219" s="168"/>
      <c r="T219" s="799"/>
      <c r="U219" s="133"/>
      <c r="V219" s="132"/>
      <c r="W219" s="149"/>
    </row>
    <row r="220" spans="1:23">
      <c r="A220" s="119">
        <f t="shared" si="36"/>
        <v>28</v>
      </c>
      <c r="B220" s="127">
        <f t="shared" si="47"/>
        <v>2014</v>
      </c>
      <c r="C220" s="127"/>
      <c r="H220" s="139">
        <f t="shared" si="46"/>
        <v>2014</v>
      </c>
      <c r="I220" s="168"/>
      <c r="J220" s="799"/>
      <c r="K220" s="133"/>
      <c r="L220" s="132"/>
      <c r="M220" s="149"/>
      <c r="N220" s="168"/>
      <c r="O220" s="799"/>
      <c r="P220" s="133"/>
      <c r="Q220" s="132"/>
      <c r="R220" s="149"/>
      <c r="S220" s="168"/>
      <c r="T220" s="799"/>
      <c r="U220" s="133"/>
      <c r="V220" s="132"/>
      <c r="W220" s="149"/>
    </row>
    <row r="221" spans="1:23">
      <c r="A221" s="119">
        <f t="shared" si="36"/>
        <v>29</v>
      </c>
      <c r="B221" s="127">
        <f t="shared" si="47"/>
        <v>2015</v>
      </c>
      <c r="C221" s="127"/>
      <c r="H221" s="139">
        <f t="shared" si="46"/>
        <v>2015</v>
      </c>
      <c r="I221" s="168"/>
      <c r="J221" s="799"/>
      <c r="K221" s="133"/>
      <c r="L221" s="132"/>
      <c r="M221" s="149"/>
      <c r="N221" s="168"/>
      <c r="O221" s="799"/>
      <c r="P221" s="133"/>
      <c r="Q221" s="132"/>
      <c r="R221" s="149"/>
      <c r="S221" s="168"/>
      <c r="T221" s="799"/>
      <c r="U221" s="133"/>
      <c r="V221" s="132"/>
      <c r="W221" s="149"/>
    </row>
    <row r="222" spans="1:23">
      <c r="A222" s="119">
        <f t="shared" si="36"/>
        <v>30</v>
      </c>
      <c r="B222" s="127">
        <f t="shared" si="47"/>
        <v>2016</v>
      </c>
      <c r="C222" s="127"/>
      <c r="H222" s="139">
        <f t="shared" si="46"/>
        <v>2016</v>
      </c>
      <c r="I222" s="168"/>
      <c r="J222" s="799"/>
      <c r="K222" s="133"/>
      <c r="L222" s="132"/>
      <c r="M222" s="149"/>
      <c r="N222" s="168"/>
      <c r="O222" s="799"/>
      <c r="P222" s="133"/>
      <c r="Q222" s="132"/>
      <c r="R222" s="149"/>
      <c r="S222" s="168"/>
      <c r="T222" s="799"/>
      <c r="U222" s="133"/>
      <c r="V222" s="132"/>
      <c r="W222" s="149"/>
    </row>
    <row r="223" spans="1:23">
      <c r="A223" s="119">
        <f t="shared" si="36"/>
        <v>31</v>
      </c>
      <c r="B223" s="127">
        <f t="shared" si="47"/>
        <v>2017</v>
      </c>
      <c r="C223" s="127"/>
      <c r="H223" s="139">
        <f t="shared" si="46"/>
        <v>2017</v>
      </c>
      <c r="I223" s="168"/>
      <c r="J223" s="799"/>
      <c r="K223" s="133"/>
      <c r="L223" s="132"/>
      <c r="M223" s="149"/>
      <c r="N223" s="168"/>
      <c r="O223" s="799"/>
      <c r="P223" s="133"/>
      <c r="Q223" s="132"/>
      <c r="R223" s="149"/>
      <c r="S223" s="168"/>
      <c r="T223" s="799"/>
      <c r="U223" s="133"/>
      <c r="V223" s="132"/>
      <c r="W223" s="149"/>
    </row>
    <row r="224" spans="1:23">
      <c r="A224" s="119">
        <f t="shared" si="36"/>
        <v>32</v>
      </c>
      <c r="B224" s="127">
        <f t="shared" si="47"/>
        <v>2018</v>
      </c>
      <c r="C224" s="127"/>
      <c r="H224" s="139">
        <f t="shared" si="46"/>
        <v>2018</v>
      </c>
      <c r="I224" s="168"/>
      <c r="J224" s="799"/>
      <c r="K224" s="133"/>
      <c r="L224" s="132"/>
      <c r="M224" s="149"/>
      <c r="N224" s="168"/>
      <c r="O224" s="799"/>
      <c r="P224" s="133"/>
      <c r="Q224" s="132"/>
      <c r="R224" s="149"/>
      <c r="S224" s="168"/>
      <c r="T224" s="799"/>
      <c r="U224" s="133"/>
      <c r="V224" s="132"/>
      <c r="W224" s="149"/>
    </row>
    <row r="225" spans="1:23">
      <c r="A225" s="119">
        <f t="shared" si="36"/>
        <v>33</v>
      </c>
      <c r="B225" s="127">
        <f t="shared" si="47"/>
        <v>2019</v>
      </c>
      <c r="C225" s="127"/>
      <c r="H225" s="139">
        <f t="shared" si="46"/>
        <v>2019</v>
      </c>
      <c r="I225" s="168"/>
      <c r="J225" s="799"/>
      <c r="K225" s="133"/>
      <c r="L225" s="132"/>
      <c r="M225" s="149"/>
      <c r="N225" s="168"/>
      <c r="O225" s="799"/>
      <c r="P225" s="133"/>
      <c r="Q225" s="132"/>
      <c r="R225" s="149"/>
      <c r="S225" s="168"/>
      <c r="T225" s="799"/>
      <c r="U225" s="133"/>
      <c r="V225" s="132"/>
      <c r="W225" s="149"/>
    </row>
    <row r="226" spans="1:23">
      <c r="A226" s="119">
        <f t="shared" si="36"/>
        <v>34</v>
      </c>
      <c r="B226" s="127">
        <f t="shared" si="47"/>
        <v>2020</v>
      </c>
      <c r="C226" s="127"/>
      <c r="H226" s="139">
        <f t="shared" si="46"/>
        <v>2020</v>
      </c>
      <c r="I226" s="168"/>
      <c r="J226" s="799"/>
      <c r="K226" s="133"/>
      <c r="L226" s="132"/>
      <c r="M226" s="149"/>
      <c r="N226" s="168"/>
      <c r="O226" s="799"/>
      <c r="P226" s="133"/>
      <c r="Q226" s="132"/>
      <c r="R226" s="149"/>
      <c r="S226" s="168"/>
      <c r="T226" s="799"/>
      <c r="U226" s="133"/>
      <c r="V226" s="132"/>
      <c r="W226" s="149"/>
    </row>
    <row r="227" spans="1:23">
      <c r="A227" s="119">
        <f t="shared" si="36"/>
        <v>35</v>
      </c>
      <c r="B227" s="127">
        <f t="shared" si="47"/>
        <v>2021</v>
      </c>
      <c r="C227" s="127"/>
      <c r="H227" s="139">
        <f t="shared" si="46"/>
        <v>2021</v>
      </c>
      <c r="I227" s="168"/>
      <c r="J227" s="799"/>
      <c r="K227" s="133"/>
      <c r="L227" s="132"/>
      <c r="M227" s="149"/>
      <c r="N227" s="168"/>
      <c r="O227" s="799"/>
      <c r="P227" s="133"/>
      <c r="Q227" s="132"/>
      <c r="R227" s="149"/>
      <c r="S227" s="168"/>
      <c r="T227" s="799"/>
      <c r="U227" s="133"/>
      <c r="V227" s="132"/>
      <c r="W227" s="149"/>
    </row>
    <row r="228" spans="1:23">
      <c r="A228" s="119">
        <f t="shared" si="36"/>
        <v>36</v>
      </c>
      <c r="B228" s="127">
        <f t="shared" si="47"/>
        <v>2022</v>
      </c>
      <c r="C228" s="127"/>
      <c r="H228" s="139">
        <f t="shared" si="46"/>
        <v>2022</v>
      </c>
      <c r="I228" s="168"/>
      <c r="J228" s="799"/>
      <c r="K228" s="133"/>
      <c r="L228" s="132"/>
      <c r="M228" s="149"/>
      <c r="N228" s="168"/>
      <c r="O228" s="799"/>
      <c r="P228" s="133"/>
      <c r="Q228" s="132"/>
      <c r="R228" s="149"/>
      <c r="S228" s="168"/>
      <c r="T228" s="799"/>
      <c r="U228" s="133"/>
      <c r="V228" s="132"/>
      <c r="W228" s="149"/>
    </row>
    <row r="229" spans="1:23">
      <c r="A229" s="119">
        <f t="shared" si="36"/>
        <v>37</v>
      </c>
      <c r="B229" s="127">
        <f t="shared" si="47"/>
        <v>2023</v>
      </c>
      <c r="C229" s="127"/>
      <c r="H229" s="139">
        <f t="shared" si="46"/>
        <v>2023</v>
      </c>
      <c r="I229" s="168"/>
      <c r="J229" s="799"/>
      <c r="K229" s="133"/>
      <c r="L229" s="132"/>
      <c r="M229" s="149"/>
      <c r="N229" s="168"/>
      <c r="O229" s="799"/>
      <c r="P229" s="133"/>
      <c r="Q229" s="132"/>
      <c r="R229" s="149"/>
      <c r="S229" s="168"/>
      <c r="T229" s="799"/>
      <c r="U229" s="133"/>
      <c r="V229" s="132"/>
      <c r="W229" s="149"/>
    </row>
    <row r="230" spans="1:23">
      <c r="A230" s="119">
        <f t="shared" si="36"/>
        <v>38</v>
      </c>
      <c r="B230" s="127">
        <f t="shared" si="47"/>
        <v>2024</v>
      </c>
      <c r="C230" s="127"/>
      <c r="H230" s="139">
        <f t="shared" si="46"/>
        <v>2024</v>
      </c>
      <c r="I230" s="168"/>
      <c r="J230" s="799"/>
      <c r="K230" s="133"/>
      <c r="L230" s="132"/>
      <c r="M230" s="149"/>
      <c r="N230" s="168"/>
      <c r="O230" s="799"/>
      <c r="P230" s="133"/>
      <c r="Q230" s="132"/>
      <c r="R230" s="149"/>
      <c r="S230" s="168"/>
      <c r="T230" s="799"/>
      <c r="U230" s="133"/>
      <c r="V230" s="132"/>
      <c r="W230" s="149"/>
    </row>
    <row r="231" spans="1:23">
      <c r="A231" s="119">
        <f t="shared" si="36"/>
        <v>39</v>
      </c>
      <c r="B231" s="127">
        <f t="shared" si="47"/>
        <v>2025</v>
      </c>
      <c r="C231" s="127"/>
      <c r="H231" s="139">
        <f t="shared" si="46"/>
        <v>2025</v>
      </c>
      <c r="I231" s="168"/>
      <c r="J231" s="799"/>
      <c r="K231" s="133"/>
      <c r="L231" s="132"/>
      <c r="M231" s="149"/>
      <c r="N231" s="168"/>
      <c r="O231" s="799"/>
      <c r="P231" s="133"/>
      <c r="Q231" s="132"/>
      <c r="R231" s="149"/>
      <c r="S231" s="168"/>
      <c r="T231" s="799"/>
      <c r="U231" s="133"/>
      <c r="V231" s="132"/>
      <c r="W231" s="149"/>
    </row>
    <row r="232" spans="1:23">
      <c r="A232" s="119">
        <f t="shared" si="36"/>
        <v>40</v>
      </c>
      <c r="B232" s="127">
        <f t="shared" si="47"/>
        <v>2026</v>
      </c>
      <c r="C232" s="127"/>
      <c r="H232" s="139">
        <f t="shared" si="46"/>
        <v>2026</v>
      </c>
      <c r="I232" s="168"/>
      <c r="J232" s="799"/>
      <c r="K232" s="133"/>
      <c r="L232" s="132"/>
      <c r="M232" s="149"/>
      <c r="N232" s="168"/>
      <c r="O232" s="799"/>
      <c r="P232" s="133"/>
      <c r="Q232" s="132"/>
      <c r="R232" s="149"/>
      <c r="S232" s="168"/>
      <c r="T232" s="799"/>
      <c r="U232" s="133"/>
      <c r="V232" s="132"/>
      <c r="W232" s="149"/>
    </row>
    <row r="233" spans="1:23">
      <c r="A233" s="119">
        <f t="shared" si="36"/>
        <v>41</v>
      </c>
      <c r="B233" s="127">
        <f t="shared" si="47"/>
        <v>2027</v>
      </c>
      <c r="C233" s="127"/>
      <c r="H233" s="139">
        <f t="shared" si="46"/>
        <v>2027</v>
      </c>
      <c r="I233" s="168"/>
      <c r="J233" s="799"/>
      <c r="K233" s="133"/>
      <c r="L233" s="132"/>
      <c r="M233" s="149"/>
      <c r="N233" s="168"/>
      <c r="O233" s="799"/>
      <c r="P233" s="133"/>
      <c r="Q233" s="132"/>
      <c r="R233" s="149"/>
      <c r="S233" s="168"/>
      <c r="T233" s="799"/>
      <c r="U233" s="133"/>
      <c r="V233" s="132"/>
      <c r="W233" s="149"/>
    </row>
    <row r="234" spans="1:23">
      <c r="A234" s="119">
        <f t="shared" si="36"/>
        <v>42</v>
      </c>
      <c r="B234" s="127">
        <f t="shared" si="47"/>
        <v>2028</v>
      </c>
      <c r="C234" s="127"/>
      <c r="H234" s="139">
        <f t="shared" si="46"/>
        <v>2028</v>
      </c>
      <c r="I234" s="168"/>
      <c r="J234" s="799"/>
      <c r="K234" s="133"/>
      <c r="L234" s="132"/>
      <c r="M234" s="149"/>
      <c r="N234" s="168"/>
      <c r="O234" s="799"/>
      <c r="P234" s="133"/>
      <c r="Q234" s="132"/>
      <c r="R234" s="149"/>
      <c r="S234" s="168"/>
      <c r="T234" s="799"/>
      <c r="U234" s="133"/>
      <c r="V234" s="132"/>
      <c r="W234" s="149"/>
    </row>
    <row r="235" spans="1:23">
      <c r="A235" s="119">
        <f t="shared" si="36"/>
        <v>43</v>
      </c>
      <c r="B235" s="127">
        <f t="shared" si="47"/>
        <v>2029</v>
      </c>
      <c r="C235" s="127"/>
      <c r="H235" s="139">
        <f t="shared" si="46"/>
        <v>2029</v>
      </c>
      <c r="I235" s="168"/>
      <c r="J235" s="799"/>
      <c r="K235" s="133"/>
      <c r="L235" s="132"/>
      <c r="M235" s="149"/>
      <c r="N235" s="168"/>
      <c r="O235" s="799"/>
      <c r="P235" s="133"/>
      <c r="Q235" s="132"/>
      <c r="R235" s="149"/>
      <c r="S235" s="168"/>
      <c r="T235" s="799"/>
      <c r="U235" s="133"/>
      <c r="V235" s="132"/>
      <c r="W235" s="149"/>
    </row>
    <row r="236" spans="1:23">
      <c r="A236" s="119">
        <f t="shared" si="36"/>
        <v>44</v>
      </c>
      <c r="B236" s="127">
        <f t="shared" si="47"/>
        <v>2030</v>
      </c>
      <c r="C236" s="127"/>
      <c r="H236" s="139">
        <f t="shared" si="46"/>
        <v>2030</v>
      </c>
      <c r="I236" s="927"/>
      <c r="J236" s="921"/>
      <c r="K236" s="922"/>
      <c r="L236" s="138"/>
      <c r="M236" s="150"/>
      <c r="N236" s="928"/>
      <c r="O236" s="921"/>
      <c r="P236" s="922"/>
      <c r="Q236" s="138"/>
      <c r="R236" s="150"/>
      <c r="S236" s="928"/>
      <c r="T236" s="921"/>
      <c r="U236" s="922"/>
      <c r="V236" s="138"/>
      <c r="W236" s="150"/>
    </row>
    <row r="237" spans="1:23">
      <c r="A237" s="119">
        <f t="shared" si="36"/>
        <v>45</v>
      </c>
      <c r="B237" s="139"/>
      <c r="C237" s="139"/>
      <c r="D237" s="88"/>
      <c r="H237" s="139"/>
      <c r="I237" s="919"/>
      <c r="J237" s="155"/>
      <c r="K237" s="155"/>
      <c r="L237" s="155"/>
      <c r="M237" s="155"/>
      <c r="N237" s="155"/>
      <c r="O237" s="277"/>
      <c r="P237" s="155"/>
      <c r="Q237" s="132"/>
      <c r="R237" s="132"/>
      <c r="S237" s="132"/>
      <c r="T237" s="277"/>
      <c r="U237" s="155"/>
      <c r="V237" s="132"/>
      <c r="W237" s="132"/>
    </row>
    <row r="238" spans="1:23">
      <c r="A238" s="119">
        <f t="shared" si="36"/>
        <v>46</v>
      </c>
      <c r="I238" s="123"/>
      <c r="J238" s="123"/>
      <c r="K238" s="123"/>
      <c r="L238" s="123"/>
      <c r="M238" s="123"/>
      <c r="N238" s="123"/>
      <c r="O238" s="123"/>
      <c r="P238" s="123"/>
      <c r="Q238" s="123"/>
      <c r="R238" s="123"/>
      <c r="S238" s="123"/>
      <c r="T238" s="123"/>
      <c r="U238" s="123"/>
      <c r="V238" s="123"/>
      <c r="W238" s="123"/>
    </row>
    <row r="239" spans="1:23" ht="15.75">
      <c r="A239" s="119">
        <f t="shared" si="36"/>
        <v>47</v>
      </c>
      <c r="B239" s="74" t="s">
        <v>1206</v>
      </c>
      <c r="C239" s="74"/>
      <c r="I239" s="123"/>
      <c r="J239" s="123"/>
      <c r="K239" s="123"/>
      <c r="L239" s="123"/>
      <c r="M239" s="123"/>
      <c r="N239" s="123"/>
      <c r="O239" s="123"/>
      <c r="P239" s="123"/>
      <c r="Q239" s="123"/>
      <c r="R239" s="123"/>
      <c r="S239" s="123"/>
      <c r="T239" s="123"/>
      <c r="U239" s="123"/>
      <c r="V239" s="123"/>
      <c r="W239" s="123"/>
    </row>
    <row r="240" spans="1:23" ht="15.75">
      <c r="H240" s="119"/>
      <c r="I240" s="176"/>
      <c r="J240" s="155"/>
      <c r="K240" s="155"/>
      <c r="L240" s="155"/>
      <c r="M240" s="155"/>
      <c r="N240" s="155"/>
      <c r="O240" s="123"/>
      <c r="P240" s="123"/>
      <c r="Q240" s="123"/>
      <c r="R240" s="123"/>
      <c r="S240" s="2193" t="s">
        <v>180</v>
      </c>
      <c r="T240" s="2193"/>
      <c r="U240" s="123"/>
      <c r="W240" s="123"/>
    </row>
    <row r="241" spans="1:23" ht="15.75">
      <c r="H241" s="119"/>
      <c r="I241" s="176"/>
      <c r="J241" s="155"/>
      <c r="K241" s="155"/>
      <c r="L241" s="155"/>
      <c r="M241" s="155"/>
      <c r="N241" s="155"/>
      <c r="O241" s="123"/>
      <c r="P241" s="123"/>
      <c r="Q241" s="123"/>
      <c r="R241" s="123"/>
      <c r="S241" s="123"/>
      <c r="T241" s="123"/>
      <c r="U241" s="1098"/>
      <c r="V241" s="926" t="s">
        <v>1238</v>
      </c>
      <c r="W241" s="123"/>
    </row>
    <row r="242" spans="1:23" ht="18">
      <c r="B242" s="727" t="s">
        <v>832</v>
      </c>
      <c r="C242" s="727"/>
      <c r="I242" s="123"/>
      <c r="J242" s="123"/>
      <c r="K242" s="123"/>
      <c r="L242" s="123"/>
      <c r="M242" s="123"/>
      <c r="N242" s="123"/>
      <c r="O242" s="123"/>
      <c r="P242" s="123"/>
      <c r="Q242" s="123"/>
      <c r="R242" s="123"/>
      <c r="S242" s="123"/>
      <c r="T242" s="123"/>
      <c r="U242" s="1100"/>
    </row>
    <row r="243" spans="1:23">
      <c r="A243" s="119">
        <v>1</v>
      </c>
      <c r="D243" s="88"/>
      <c r="E243" s="88"/>
      <c r="F243" s="88"/>
      <c r="G243" s="88"/>
      <c r="H243" s="88"/>
      <c r="I243" s="1777"/>
      <c r="J243" s="1778" t="s">
        <v>623</v>
      </c>
      <c r="K243" s="1779" t="s">
        <v>838</v>
      </c>
      <c r="L243" s="1787" t="s">
        <v>1349</v>
      </c>
      <c r="M243" s="1788">
        <v>0</v>
      </c>
      <c r="N243" s="1777"/>
      <c r="O243" s="1778" t="s">
        <v>623</v>
      </c>
      <c r="P243" s="1779" t="s">
        <v>839</v>
      </c>
      <c r="Q243" s="1787" t="s">
        <v>1349</v>
      </c>
      <c r="R243" s="1780">
        <v>0</v>
      </c>
      <c r="S243" s="1777"/>
      <c r="T243" s="1778" t="s">
        <v>623</v>
      </c>
      <c r="U243" s="1779" t="s">
        <v>1350</v>
      </c>
      <c r="V243" s="1787" t="s">
        <v>1349</v>
      </c>
      <c r="W243" s="1780">
        <v>0</v>
      </c>
    </row>
    <row r="244" spans="1:23">
      <c r="A244" s="119">
        <f>A243+1</f>
        <v>2</v>
      </c>
      <c r="D244" s="88"/>
      <c r="E244" s="88"/>
      <c r="F244" s="88"/>
      <c r="G244" s="88"/>
      <c r="H244" s="88"/>
      <c r="I244" s="134"/>
      <c r="J244" s="135" t="s">
        <v>632</v>
      </c>
      <c r="K244" s="1550"/>
      <c r="L244" s="1765" t="s">
        <v>626</v>
      </c>
      <c r="M244" s="1239">
        <f>'Actual Gross Rev Req'!$I$216*M243</f>
        <v>0</v>
      </c>
      <c r="N244" s="134"/>
      <c r="O244" s="135"/>
      <c r="P244" s="135"/>
      <c r="Q244" s="1765" t="s">
        <v>626</v>
      </c>
      <c r="R244" s="1239">
        <f>'Actual Gross Rev Req'!$I$216*R243</f>
        <v>0</v>
      </c>
      <c r="S244" s="134"/>
      <c r="T244" s="135"/>
      <c r="U244" s="135"/>
      <c r="V244" s="1765" t="s">
        <v>626</v>
      </c>
      <c r="W244" s="1239">
        <f>'Actual Gross Rev Req'!$I$216*W243</f>
        <v>0</v>
      </c>
    </row>
    <row r="245" spans="1:23">
      <c r="A245" s="119">
        <f t="shared" ref="A245:A289" si="48">A244+1</f>
        <v>3</v>
      </c>
      <c r="D245" s="88"/>
      <c r="E245" s="88"/>
      <c r="F245" s="88"/>
      <c r="G245" s="88"/>
      <c r="H245" s="88"/>
      <c r="I245" s="134"/>
      <c r="J245" s="135"/>
      <c r="K245" s="135"/>
      <c r="L245" s="1765" t="s">
        <v>744</v>
      </c>
      <c r="M245" s="1239">
        <f>IF('Actual Gross Rev Req'!$M$217&gt;0,('Actual Gross Rev Req'!$H$109/(1-'Actual Gross Rev Req'!$H$109)),0)</f>
        <v>0.63412352476290834</v>
      </c>
      <c r="N245" s="134"/>
      <c r="O245" s="135"/>
      <c r="P245" s="1239"/>
      <c r="Q245" s="1765" t="s">
        <v>744</v>
      </c>
      <c r="R245" s="1239">
        <f>IF('Actual Gross Rev Req'!$M$217&gt;0,('Actual Gross Rev Req'!$H$109/(1-'Actual Gross Rev Req'!$H$109)),0)</f>
        <v>0.63412352476290834</v>
      </c>
      <c r="S245" s="134"/>
      <c r="T245" s="135"/>
      <c r="U245" s="1239"/>
      <c r="V245" s="1765" t="s">
        <v>744</v>
      </c>
      <c r="W245" s="1239">
        <f>IF('Actual Gross Rev Req'!$M$217&gt;0,('Actual Gross Rev Req'!$H$109/(1-'Actual Gross Rev Req'!$H$109)),0)</f>
        <v>0.63412352476290834</v>
      </c>
    </row>
    <row r="246" spans="1:23" ht="25.5">
      <c r="A246" s="119">
        <f t="shared" si="48"/>
        <v>4</v>
      </c>
      <c r="D246" s="88"/>
      <c r="E246" s="88"/>
      <c r="F246" s="88"/>
      <c r="G246" s="88"/>
      <c r="H246" s="88"/>
      <c r="I246" s="1762" t="s">
        <v>553</v>
      </c>
      <c r="J246" s="1763" t="s">
        <v>1351</v>
      </c>
      <c r="K246" s="1763" t="s">
        <v>1352</v>
      </c>
      <c r="L246" s="1763" t="s">
        <v>1353</v>
      </c>
      <c r="M246" s="135"/>
      <c r="N246" s="1762" t="s">
        <v>553</v>
      </c>
      <c r="O246" s="1763" t="s">
        <v>1351</v>
      </c>
      <c r="P246" s="1763" t="s">
        <v>1352</v>
      </c>
      <c r="Q246" s="1763" t="s">
        <v>1353</v>
      </c>
      <c r="R246" s="145"/>
      <c r="S246" s="1762" t="s">
        <v>553</v>
      </c>
      <c r="T246" s="1763" t="s">
        <v>1351</v>
      </c>
      <c r="U246" s="1763" t="s">
        <v>1352</v>
      </c>
      <c r="V246" s="1763" t="s">
        <v>1353</v>
      </c>
      <c r="W246" s="145"/>
    </row>
    <row r="247" spans="1:23">
      <c r="A247" s="119">
        <f t="shared" si="48"/>
        <v>5</v>
      </c>
      <c r="D247" s="88"/>
      <c r="E247" s="88"/>
      <c r="F247" s="88"/>
      <c r="G247" s="88" t="s">
        <v>1354</v>
      </c>
      <c r="H247" s="88" t="s">
        <v>1355</v>
      </c>
      <c r="I247" s="1785">
        <v>0</v>
      </c>
      <c r="J247" s="133">
        <v>0</v>
      </c>
      <c r="K247" s="177"/>
      <c r="L247" s="135"/>
      <c r="M247" s="145"/>
      <c r="N247" s="1785">
        <v>0</v>
      </c>
      <c r="O247" s="133">
        <v>0</v>
      </c>
      <c r="P247" s="177"/>
      <c r="Q247" s="135"/>
      <c r="R247" s="145"/>
      <c r="S247" s="1785">
        <v>0</v>
      </c>
      <c r="T247" s="133">
        <v>0</v>
      </c>
      <c r="U247" s="177"/>
      <c r="V247" s="135"/>
      <c r="W247" s="145"/>
    </row>
    <row r="248" spans="1:23">
      <c r="A248" s="119">
        <f t="shared" si="48"/>
        <v>6</v>
      </c>
      <c r="D248" s="88"/>
      <c r="E248" s="88"/>
      <c r="F248" s="88"/>
      <c r="G248" s="88" t="s">
        <v>1356</v>
      </c>
      <c r="H248" s="88" t="s">
        <v>674</v>
      </c>
      <c r="I248" s="1785">
        <v>0</v>
      </c>
      <c r="J248" s="133">
        <f>J247</f>
        <v>0</v>
      </c>
      <c r="K248" s="177">
        <f>(IF('Actual Gross Rev Req'!$H$16=0,0,'Actual Gross Rev Req'!$H$92/'Actual Gross Rev Req'!$H$16)/12)</f>
        <v>1.4936180092078701E-3</v>
      </c>
      <c r="L248" s="90">
        <f>+K248*J247</f>
        <v>0</v>
      </c>
      <c r="M248" s="135"/>
      <c r="N248" s="1785">
        <v>0</v>
      </c>
      <c r="O248" s="133">
        <f>O247</f>
        <v>0</v>
      </c>
      <c r="P248" s="177">
        <f>(IF('Actual Gross Rev Req'!$H$16=0,0,'Actual Gross Rev Req'!$H$92/'Actual Gross Rev Req'!$H$16)/12)</f>
        <v>1.4936180092078701E-3</v>
      </c>
      <c r="Q248" s="90">
        <f t="shared" ref="Q248:Q259" si="49">+P248*O247</f>
        <v>0</v>
      </c>
      <c r="R248" s="145"/>
      <c r="S248" s="1785">
        <v>0</v>
      </c>
      <c r="T248" s="133">
        <f>T247</f>
        <v>0</v>
      </c>
      <c r="U248" s="177">
        <f>(IF('Actual Gross Rev Req'!$H$16=0,0,'Actual Gross Rev Req'!$H$92/'Actual Gross Rev Req'!$H$16)/12)</f>
        <v>1.4936180092078701E-3</v>
      </c>
      <c r="V248" s="90">
        <f t="shared" ref="V248:V259" si="50">+U248*T247</f>
        <v>0</v>
      </c>
      <c r="W248" s="145"/>
    </row>
    <row r="249" spans="1:23">
      <c r="A249" s="119">
        <f t="shared" si="48"/>
        <v>7</v>
      </c>
      <c r="D249" s="88"/>
      <c r="E249" s="88"/>
      <c r="F249" s="88"/>
      <c r="G249" s="88" t="s">
        <v>1356</v>
      </c>
      <c r="H249" s="88" t="s">
        <v>1357</v>
      </c>
      <c r="I249" s="1785">
        <v>0</v>
      </c>
      <c r="J249" s="133">
        <f t="shared" ref="J249:J259" si="51">J248</f>
        <v>0</v>
      </c>
      <c r="K249" s="177">
        <f t="shared" ref="K249:K259" si="52">K248</f>
        <v>1.4936180092078701E-3</v>
      </c>
      <c r="L249" s="90">
        <f t="shared" ref="L249:L258" si="53">+K249*J248</f>
        <v>0</v>
      </c>
      <c r="M249" s="145"/>
      <c r="N249" s="1785">
        <v>0</v>
      </c>
      <c r="O249" s="133">
        <f t="shared" ref="O249:O259" si="54">O248</f>
        <v>0</v>
      </c>
      <c r="P249" s="177">
        <f t="shared" ref="P249:P259" si="55">P248</f>
        <v>1.4936180092078701E-3</v>
      </c>
      <c r="Q249" s="90">
        <f t="shared" si="49"/>
        <v>0</v>
      </c>
      <c r="R249" s="145"/>
      <c r="S249" s="1785">
        <v>0</v>
      </c>
      <c r="T249" s="133">
        <f t="shared" ref="T249:T259" si="56">T248</f>
        <v>0</v>
      </c>
      <c r="U249" s="177">
        <f t="shared" ref="U249:U259" si="57">U248</f>
        <v>1.4936180092078701E-3</v>
      </c>
      <c r="V249" s="90">
        <f t="shared" si="50"/>
        <v>0</v>
      </c>
      <c r="W249" s="145"/>
    </row>
    <row r="250" spans="1:23">
      <c r="A250" s="119">
        <f t="shared" si="48"/>
        <v>8</v>
      </c>
      <c r="D250" s="88"/>
      <c r="E250" s="88"/>
      <c r="F250" s="88"/>
      <c r="G250" s="88" t="s">
        <v>1356</v>
      </c>
      <c r="H250" s="88" t="s">
        <v>1358</v>
      </c>
      <c r="I250" s="1785">
        <v>0</v>
      </c>
      <c r="J250" s="133">
        <v>0</v>
      </c>
      <c r="K250" s="177">
        <f t="shared" si="52"/>
        <v>1.4936180092078701E-3</v>
      </c>
      <c r="L250" s="90">
        <f t="shared" si="53"/>
        <v>0</v>
      </c>
      <c r="M250" s="145"/>
      <c r="N250" s="1785">
        <v>0</v>
      </c>
      <c r="O250" s="133">
        <v>0</v>
      </c>
      <c r="P250" s="177">
        <f t="shared" si="55"/>
        <v>1.4936180092078701E-3</v>
      </c>
      <c r="Q250" s="90">
        <f t="shared" si="49"/>
        <v>0</v>
      </c>
      <c r="R250" s="145"/>
      <c r="S250" s="1785">
        <v>0</v>
      </c>
      <c r="T250" s="133">
        <v>0</v>
      </c>
      <c r="U250" s="177">
        <f t="shared" si="57"/>
        <v>1.4936180092078701E-3</v>
      </c>
      <c r="V250" s="90">
        <f t="shared" si="50"/>
        <v>0</v>
      </c>
      <c r="W250" s="145"/>
    </row>
    <row r="251" spans="1:23">
      <c r="A251" s="119">
        <f t="shared" si="48"/>
        <v>9</v>
      </c>
      <c r="D251" s="88"/>
      <c r="E251" s="88"/>
      <c r="F251" s="88"/>
      <c r="G251" s="88" t="s">
        <v>1356</v>
      </c>
      <c r="H251" s="88" t="s">
        <v>1359</v>
      </c>
      <c r="I251" s="1785">
        <v>0</v>
      </c>
      <c r="J251" s="133">
        <f t="shared" si="51"/>
        <v>0</v>
      </c>
      <c r="K251" s="177">
        <f t="shared" si="52"/>
        <v>1.4936180092078701E-3</v>
      </c>
      <c r="L251" s="90">
        <f t="shared" si="53"/>
        <v>0</v>
      </c>
      <c r="M251" s="145"/>
      <c r="N251" s="1785">
        <v>0</v>
      </c>
      <c r="O251" s="133">
        <f t="shared" si="54"/>
        <v>0</v>
      </c>
      <c r="P251" s="177">
        <f t="shared" si="55"/>
        <v>1.4936180092078701E-3</v>
      </c>
      <c r="Q251" s="90">
        <f t="shared" si="49"/>
        <v>0</v>
      </c>
      <c r="R251" s="145"/>
      <c r="S251" s="1785">
        <v>0</v>
      </c>
      <c r="T251" s="133">
        <f t="shared" si="56"/>
        <v>0</v>
      </c>
      <c r="U251" s="177">
        <f t="shared" si="57"/>
        <v>1.4936180092078701E-3</v>
      </c>
      <c r="V251" s="90">
        <f t="shared" si="50"/>
        <v>0</v>
      </c>
      <c r="W251" s="145"/>
    </row>
    <row r="252" spans="1:23">
      <c r="A252" s="119">
        <f t="shared" si="48"/>
        <v>10</v>
      </c>
      <c r="D252" s="88"/>
      <c r="E252" s="88"/>
      <c r="F252" s="88"/>
      <c r="G252" s="88" t="s">
        <v>1356</v>
      </c>
      <c r="H252" s="88" t="s">
        <v>1125</v>
      </c>
      <c r="I252" s="1785">
        <v>0</v>
      </c>
      <c r="J252" s="133">
        <f t="shared" si="51"/>
        <v>0</v>
      </c>
      <c r="K252" s="177">
        <f t="shared" si="52"/>
        <v>1.4936180092078701E-3</v>
      </c>
      <c r="L252" s="90">
        <f t="shared" si="53"/>
        <v>0</v>
      </c>
      <c r="M252" s="145"/>
      <c r="N252" s="1785">
        <v>0</v>
      </c>
      <c r="O252" s="133">
        <f t="shared" si="54"/>
        <v>0</v>
      </c>
      <c r="P252" s="177">
        <f t="shared" si="55"/>
        <v>1.4936180092078701E-3</v>
      </c>
      <c r="Q252" s="90">
        <f t="shared" si="49"/>
        <v>0</v>
      </c>
      <c r="R252" s="145"/>
      <c r="S252" s="1785">
        <v>0</v>
      </c>
      <c r="T252" s="133">
        <f t="shared" si="56"/>
        <v>0</v>
      </c>
      <c r="U252" s="177">
        <f t="shared" si="57"/>
        <v>1.4936180092078701E-3</v>
      </c>
      <c r="V252" s="90">
        <f t="shared" si="50"/>
        <v>0</v>
      </c>
      <c r="W252" s="145"/>
    </row>
    <row r="253" spans="1:23">
      <c r="A253" s="119">
        <f t="shared" si="48"/>
        <v>11</v>
      </c>
      <c r="D253" s="88"/>
      <c r="E253" s="88"/>
      <c r="F253" s="88"/>
      <c r="G253" s="88" t="s">
        <v>1356</v>
      </c>
      <c r="H253" s="88" t="s">
        <v>675</v>
      </c>
      <c r="I253" s="1785">
        <v>0</v>
      </c>
      <c r="J253" s="133">
        <f t="shared" si="51"/>
        <v>0</v>
      </c>
      <c r="K253" s="177">
        <f t="shared" si="52"/>
        <v>1.4936180092078701E-3</v>
      </c>
      <c r="L253" s="90">
        <f t="shared" si="53"/>
        <v>0</v>
      </c>
      <c r="M253" s="145"/>
      <c r="N253" s="1785">
        <v>0</v>
      </c>
      <c r="O253" s="133">
        <f t="shared" si="54"/>
        <v>0</v>
      </c>
      <c r="P253" s="177">
        <f t="shared" si="55"/>
        <v>1.4936180092078701E-3</v>
      </c>
      <c r="Q253" s="90">
        <f t="shared" si="49"/>
        <v>0</v>
      </c>
      <c r="R253" s="145"/>
      <c r="S253" s="1785">
        <v>0</v>
      </c>
      <c r="T253" s="133">
        <f t="shared" si="56"/>
        <v>0</v>
      </c>
      <c r="U253" s="177">
        <f t="shared" si="57"/>
        <v>1.4936180092078701E-3</v>
      </c>
      <c r="V253" s="90">
        <f t="shared" si="50"/>
        <v>0</v>
      </c>
      <c r="W253" s="145"/>
    </row>
    <row r="254" spans="1:23">
      <c r="A254" s="119">
        <f t="shared" si="48"/>
        <v>12</v>
      </c>
      <c r="D254" s="88"/>
      <c r="E254" s="88"/>
      <c r="F254" s="88"/>
      <c r="G254" s="88" t="s">
        <v>1356</v>
      </c>
      <c r="H254" s="88" t="s">
        <v>1360</v>
      </c>
      <c r="I254" s="1785">
        <v>0</v>
      </c>
      <c r="J254" s="133">
        <f t="shared" si="51"/>
        <v>0</v>
      </c>
      <c r="K254" s="177">
        <f t="shared" si="52"/>
        <v>1.4936180092078701E-3</v>
      </c>
      <c r="L254" s="90">
        <f t="shared" si="53"/>
        <v>0</v>
      </c>
      <c r="M254" s="145"/>
      <c r="N254" s="1785">
        <v>0</v>
      </c>
      <c r="O254" s="133">
        <f t="shared" si="54"/>
        <v>0</v>
      </c>
      <c r="P254" s="177">
        <f t="shared" si="55"/>
        <v>1.4936180092078701E-3</v>
      </c>
      <c r="Q254" s="90">
        <f t="shared" si="49"/>
        <v>0</v>
      </c>
      <c r="R254" s="145"/>
      <c r="S254" s="1785">
        <v>0</v>
      </c>
      <c r="T254" s="133">
        <f t="shared" si="56"/>
        <v>0</v>
      </c>
      <c r="U254" s="177">
        <f t="shared" si="57"/>
        <v>1.4936180092078701E-3</v>
      </c>
      <c r="V254" s="90">
        <f t="shared" si="50"/>
        <v>0</v>
      </c>
      <c r="W254" s="145"/>
    </row>
    <row r="255" spans="1:23">
      <c r="A255" s="119">
        <f t="shared" si="48"/>
        <v>13</v>
      </c>
      <c r="D255" s="88"/>
      <c r="E255" s="88"/>
      <c r="F255" s="88"/>
      <c r="G255" s="88" t="s">
        <v>1356</v>
      </c>
      <c r="H255" s="88" t="s">
        <v>1361</v>
      </c>
      <c r="I255" s="1785">
        <v>0</v>
      </c>
      <c r="J255" s="133">
        <f t="shared" si="51"/>
        <v>0</v>
      </c>
      <c r="K255" s="177">
        <f t="shared" si="52"/>
        <v>1.4936180092078701E-3</v>
      </c>
      <c r="L255" s="90">
        <f t="shared" si="53"/>
        <v>0</v>
      </c>
      <c r="M255" s="145"/>
      <c r="N255" s="1785">
        <v>0</v>
      </c>
      <c r="O255" s="133">
        <f t="shared" si="54"/>
        <v>0</v>
      </c>
      <c r="P255" s="177">
        <f t="shared" si="55"/>
        <v>1.4936180092078701E-3</v>
      </c>
      <c r="Q255" s="90">
        <f t="shared" si="49"/>
        <v>0</v>
      </c>
      <c r="R255" s="145"/>
      <c r="S255" s="1785">
        <v>0</v>
      </c>
      <c r="T255" s="133">
        <f t="shared" si="56"/>
        <v>0</v>
      </c>
      <c r="U255" s="177">
        <f t="shared" si="57"/>
        <v>1.4936180092078701E-3</v>
      </c>
      <c r="V255" s="90">
        <f t="shared" si="50"/>
        <v>0</v>
      </c>
      <c r="W255" s="145"/>
    </row>
    <row r="256" spans="1:23">
      <c r="A256" s="119">
        <f t="shared" si="48"/>
        <v>14</v>
      </c>
      <c r="D256" s="88"/>
      <c r="E256" s="88"/>
      <c r="F256" s="88"/>
      <c r="G256" s="88" t="s">
        <v>1356</v>
      </c>
      <c r="H256" s="88" t="s">
        <v>1362</v>
      </c>
      <c r="I256" s="1785">
        <v>0</v>
      </c>
      <c r="J256" s="133">
        <f t="shared" si="51"/>
        <v>0</v>
      </c>
      <c r="K256" s="177">
        <f t="shared" si="52"/>
        <v>1.4936180092078701E-3</v>
      </c>
      <c r="L256" s="90">
        <f t="shared" si="53"/>
        <v>0</v>
      </c>
      <c r="M256" s="145"/>
      <c r="N256" s="1785">
        <v>0</v>
      </c>
      <c r="O256" s="133">
        <f t="shared" si="54"/>
        <v>0</v>
      </c>
      <c r="P256" s="177">
        <f t="shared" si="55"/>
        <v>1.4936180092078701E-3</v>
      </c>
      <c r="Q256" s="90">
        <f t="shared" si="49"/>
        <v>0</v>
      </c>
      <c r="R256" s="145"/>
      <c r="S256" s="1785">
        <v>0</v>
      </c>
      <c r="T256" s="133">
        <f t="shared" si="56"/>
        <v>0</v>
      </c>
      <c r="U256" s="177">
        <f t="shared" si="57"/>
        <v>1.4936180092078701E-3</v>
      </c>
      <c r="V256" s="90">
        <f t="shared" si="50"/>
        <v>0</v>
      </c>
      <c r="W256" s="145"/>
    </row>
    <row r="257" spans="1:23">
      <c r="A257" s="119">
        <f t="shared" si="48"/>
        <v>15</v>
      </c>
      <c r="D257" s="88"/>
      <c r="E257" s="88"/>
      <c r="F257" s="88"/>
      <c r="G257" s="88" t="s">
        <v>1356</v>
      </c>
      <c r="H257" s="88" t="s">
        <v>676</v>
      </c>
      <c r="I257" s="1785">
        <v>0</v>
      </c>
      <c r="J257" s="133">
        <f t="shared" si="51"/>
        <v>0</v>
      </c>
      <c r="K257" s="177">
        <f t="shared" si="52"/>
        <v>1.4936180092078701E-3</v>
      </c>
      <c r="L257" s="90">
        <f t="shared" si="53"/>
        <v>0</v>
      </c>
      <c r="M257" s="145"/>
      <c r="N257" s="1785">
        <v>0</v>
      </c>
      <c r="O257" s="133">
        <f t="shared" si="54"/>
        <v>0</v>
      </c>
      <c r="P257" s="177">
        <f t="shared" si="55"/>
        <v>1.4936180092078701E-3</v>
      </c>
      <c r="Q257" s="90">
        <f t="shared" si="49"/>
        <v>0</v>
      </c>
      <c r="R257" s="145"/>
      <c r="S257" s="1785">
        <v>0</v>
      </c>
      <c r="T257" s="133">
        <f t="shared" si="56"/>
        <v>0</v>
      </c>
      <c r="U257" s="177">
        <f t="shared" si="57"/>
        <v>1.4936180092078701E-3</v>
      </c>
      <c r="V257" s="90">
        <f t="shared" si="50"/>
        <v>0</v>
      </c>
      <c r="W257" s="145"/>
    </row>
    <row r="258" spans="1:23">
      <c r="A258" s="119">
        <f t="shared" si="48"/>
        <v>16</v>
      </c>
      <c r="D258" s="88"/>
      <c r="E258" s="88"/>
      <c r="F258" s="88"/>
      <c r="G258" s="88" t="s">
        <v>1356</v>
      </c>
      <c r="H258" s="88" t="s">
        <v>1363</v>
      </c>
      <c r="I258" s="1785">
        <v>0</v>
      </c>
      <c r="J258" s="133">
        <f t="shared" si="51"/>
        <v>0</v>
      </c>
      <c r="K258" s="177">
        <f t="shared" si="52"/>
        <v>1.4936180092078701E-3</v>
      </c>
      <c r="L258" s="90">
        <f t="shared" si="53"/>
        <v>0</v>
      </c>
      <c r="M258" s="145"/>
      <c r="N258" s="1785">
        <v>0</v>
      </c>
      <c r="O258" s="133">
        <f t="shared" si="54"/>
        <v>0</v>
      </c>
      <c r="P258" s="177">
        <f t="shared" si="55"/>
        <v>1.4936180092078701E-3</v>
      </c>
      <c r="Q258" s="90">
        <f t="shared" si="49"/>
        <v>0</v>
      </c>
      <c r="R258" s="145"/>
      <c r="S258" s="1785">
        <v>0</v>
      </c>
      <c r="T258" s="133">
        <f t="shared" si="56"/>
        <v>0</v>
      </c>
      <c r="U258" s="177">
        <f t="shared" si="57"/>
        <v>1.4936180092078701E-3</v>
      </c>
      <c r="V258" s="90">
        <f t="shared" si="50"/>
        <v>0</v>
      </c>
      <c r="W258" s="145"/>
    </row>
    <row r="259" spans="1:23">
      <c r="A259" s="119">
        <f t="shared" si="48"/>
        <v>17</v>
      </c>
      <c r="D259" s="88"/>
      <c r="E259" s="88"/>
      <c r="F259" s="88"/>
      <c r="G259" s="88" t="s">
        <v>1356</v>
      </c>
      <c r="H259" s="88" t="s">
        <v>1355</v>
      </c>
      <c r="I259" s="1785">
        <v>0</v>
      </c>
      <c r="J259" s="133">
        <f t="shared" si="51"/>
        <v>0</v>
      </c>
      <c r="K259" s="177">
        <f t="shared" si="52"/>
        <v>1.4936180092078701E-3</v>
      </c>
      <c r="L259" s="363">
        <f>+K259*J258</f>
        <v>0</v>
      </c>
      <c r="M259" s="145"/>
      <c r="N259" s="1785">
        <v>0</v>
      </c>
      <c r="O259" s="133">
        <f t="shared" si="54"/>
        <v>0</v>
      </c>
      <c r="P259" s="177">
        <f t="shared" si="55"/>
        <v>1.4936180092078701E-3</v>
      </c>
      <c r="Q259" s="363">
        <f t="shared" si="49"/>
        <v>0</v>
      </c>
      <c r="R259" s="145"/>
      <c r="S259" s="1785">
        <v>0</v>
      </c>
      <c r="T259" s="133">
        <f t="shared" si="56"/>
        <v>0</v>
      </c>
      <c r="U259" s="177">
        <f t="shared" si="57"/>
        <v>1.4936180092078701E-3</v>
      </c>
      <c r="V259" s="363">
        <f t="shared" si="50"/>
        <v>0</v>
      </c>
      <c r="W259" s="145"/>
    </row>
    <row r="260" spans="1:23">
      <c r="A260" s="119">
        <f t="shared" si="48"/>
        <v>18</v>
      </c>
      <c r="D260" s="88"/>
      <c r="E260" s="88"/>
      <c r="F260" s="88"/>
      <c r="G260" s="88"/>
      <c r="H260" s="88"/>
      <c r="I260" s="134"/>
      <c r="J260" s="1765"/>
      <c r="K260" s="135" t="str">
        <f>"Sum lines "&amp;$A248&amp;" - "&amp;$A259&amp;""</f>
        <v>Sum lines 6 - 17</v>
      </c>
      <c r="L260" s="90">
        <f>SUM(L248:L259)</f>
        <v>0</v>
      </c>
      <c r="M260" s="145"/>
      <c r="N260" s="134"/>
      <c r="O260" s="1765"/>
      <c r="P260" s="135" t="str">
        <f>"Sum lines "&amp;$A248&amp;" - "&amp;$A259&amp;""</f>
        <v>Sum lines 6 - 17</v>
      </c>
      <c r="Q260" s="90">
        <f>SUM(Q248:Q259)</f>
        <v>0</v>
      </c>
      <c r="R260" s="145"/>
      <c r="S260" s="134"/>
      <c r="T260" s="1765"/>
      <c r="U260" s="135" t="str">
        <f>"Sum lines "&amp;$A248&amp;" - "&amp;$A259&amp;""</f>
        <v>Sum lines 6 - 17</v>
      </c>
      <c r="V260" s="90">
        <f>SUM(V248:V259)</f>
        <v>0</v>
      </c>
      <c r="W260" s="145"/>
    </row>
    <row r="261" spans="1:23">
      <c r="A261" s="119">
        <f t="shared" si="48"/>
        <v>19</v>
      </c>
      <c r="D261" s="2211" t="s">
        <v>54</v>
      </c>
      <c r="E261" s="2211"/>
      <c r="F261" s="2211"/>
      <c r="G261" s="2211"/>
      <c r="H261" s="88"/>
      <c r="I261" s="134"/>
      <c r="J261" s="1782" t="s">
        <v>1512</v>
      </c>
      <c r="K261" s="922">
        <v>0</v>
      </c>
      <c r="L261" s="433"/>
      <c r="M261" s="980"/>
      <c r="N261" s="134"/>
      <c r="O261" s="1782" t="s">
        <v>1512</v>
      </c>
      <c r="P261" s="922">
        <v>0</v>
      </c>
      <c r="Q261" s="433"/>
      <c r="R261" s="980"/>
      <c r="S261" s="134"/>
      <c r="T261" s="1782" t="s">
        <v>1512</v>
      </c>
      <c r="U261" s="922">
        <v>0</v>
      </c>
      <c r="V261" s="433"/>
      <c r="W261" s="980"/>
    </row>
    <row r="262" spans="1:23">
      <c r="A262" s="119">
        <f t="shared" si="48"/>
        <v>20</v>
      </c>
      <c r="B262" s="141" t="s">
        <v>394</v>
      </c>
      <c r="C262" s="924" t="s">
        <v>137</v>
      </c>
      <c r="D262" s="1783" t="s">
        <v>1045</v>
      </c>
      <c r="E262" s="1783" t="s">
        <v>62</v>
      </c>
      <c r="F262" s="1783" t="s">
        <v>265</v>
      </c>
      <c r="G262" s="1783" t="s">
        <v>630</v>
      </c>
      <c r="H262" s="1783" t="s">
        <v>394</v>
      </c>
      <c r="I262" s="1784" t="s">
        <v>137</v>
      </c>
      <c r="J262" s="1784" t="s">
        <v>1045</v>
      </c>
      <c r="K262" s="1784" t="s">
        <v>634</v>
      </c>
      <c r="L262" s="1784" t="s">
        <v>265</v>
      </c>
      <c r="M262" s="1784" t="s">
        <v>630</v>
      </c>
      <c r="N262" s="1784" t="s">
        <v>137</v>
      </c>
      <c r="O262" s="1784" t="s">
        <v>1045</v>
      </c>
      <c r="P262" s="1784" t="s">
        <v>634</v>
      </c>
      <c r="Q262" s="1784" t="s">
        <v>265</v>
      </c>
      <c r="R262" s="1784" t="s">
        <v>630</v>
      </c>
      <c r="S262" s="1784" t="s">
        <v>137</v>
      </c>
      <c r="T262" s="1784" t="s">
        <v>1045</v>
      </c>
      <c r="U262" s="1784" t="s">
        <v>634</v>
      </c>
      <c r="V262" s="1784" t="s">
        <v>265</v>
      </c>
      <c r="W262" s="1784" t="s">
        <v>630</v>
      </c>
    </row>
    <row r="263" spans="1:23">
      <c r="A263" s="119">
        <f t="shared" si="48"/>
        <v>21</v>
      </c>
      <c r="D263" s="88"/>
      <c r="E263" s="88"/>
      <c r="F263" s="88"/>
      <c r="G263" s="88"/>
      <c r="H263" s="88"/>
      <c r="I263" s="134"/>
      <c r="J263" s="1550"/>
      <c r="K263" s="1550"/>
      <c r="L263" s="1550"/>
      <c r="M263" s="526"/>
      <c r="N263" s="134"/>
      <c r="O263" s="1550"/>
      <c r="P263" s="1550"/>
      <c r="Q263" s="1550"/>
      <c r="R263" s="526"/>
      <c r="S263" s="134"/>
      <c r="T263" s="1550"/>
      <c r="U263" s="1550"/>
      <c r="V263" s="1550"/>
      <c r="W263" s="526"/>
    </row>
    <row r="264" spans="1:23">
      <c r="A264" s="119">
        <f t="shared" si="48"/>
        <v>22</v>
      </c>
      <c r="B264" s="127">
        <v>2008</v>
      </c>
      <c r="C264" s="925">
        <f>I264+N264+S264</f>
        <v>0</v>
      </c>
      <c r="D264" s="1001">
        <f>+J264+O264+T264</f>
        <v>0</v>
      </c>
      <c r="E264" s="1001">
        <f>+K264+P264+U264</f>
        <v>0</v>
      </c>
      <c r="F264" s="1001">
        <f>+L264+Q264+V264</f>
        <v>0</v>
      </c>
      <c r="G264" s="1001">
        <f>+M264+R264+W264</f>
        <v>0</v>
      </c>
      <c r="H264" s="139">
        <f t="shared" ref="H264:H286" si="58">+B264</f>
        <v>2008</v>
      </c>
      <c r="I264" s="168">
        <f>SUM(I247:I259)/13</f>
        <v>0</v>
      </c>
      <c r="J264" s="168">
        <f>SUM(J247:J259)/13</f>
        <v>0</v>
      </c>
      <c r="K264" s="1767">
        <f>K261+SUM(L248*12,L249*11,L250*10,L251*9,L252*8,L253*7,L254*6,L255*5,L256*4,L257*3,L258*2,L259)/13</f>
        <v>0</v>
      </c>
      <c r="L264" s="90">
        <f>+J264-K264</f>
        <v>0</v>
      </c>
      <c r="M264" s="171">
        <f>ROUND($L264*M244*(1+M245),2)</f>
        <v>0</v>
      </c>
      <c r="N264" s="168">
        <f>SUM(N247:N259)/13</f>
        <v>0</v>
      </c>
      <c r="O264" s="168">
        <f>SUM(O247:O259)/13</f>
        <v>0</v>
      </c>
      <c r="P264" s="1767">
        <f>P261+SUM(Q248*12,Q249*11,Q250*10,Q251*9,Q252*8,Q253*7,Q254*6,Q255*5,Q256*4,Q257*3,Q258*2,Q259)/13</f>
        <v>0</v>
      </c>
      <c r="Q264" s="90">
        <f>+O264-P264</f>
        <v>0</v>
      </c>
      <c r="R264" s="171">
        <f>ROUND($Q264*R244*(1+R245),2)</f>
        <v>0</v>
      </c>
      <c r="S264" s="168">
        <f>SUM(S247:S259)/13</f>
        <v>0</v>
      </c>
      <c r="T264" s="168">
        <f>SUM(T247:T259)/13</f>
        <v>0</v>
      </c>
      <c r="U264" s="1767">
        <f>U261+SUM(V248*12,V249*11,V250*10,V251*9,V252*8,V253*7,V254*6,V255*5,V256*4,V257*3,V258*2,V259)/13</f>
        <v>0</v>
      </c>
      <c r="V264" s="90">
        <f>+T264-U264</f>
        <v>0</v>
      </c>
      <c r="W264" s="171">
        <f>ROUND($V264*W244*(1+W245),2)</f>
        <v>0</v>
      </c>
    </row>
    <row r="265" spans="1:23">
      <c r="A265" s="119">
        <f t="shared" si="48"/>
        <v>23</v>
      </c>
      <c r="B265" s="127">
        <f>+B264+1</f>
        <v>2009</v>
      </c>
      <c r="C265" s="925"/>
      <c r="D265" s="773"/>
      <c r="E265" s="773"/>
      <c r="F265" s="773"/>
      <c r="G265" s="773"/>
      <c r="H265" s="139">
        <f t="shared" si="58"/>
        <v>2009</v>
      </c>
      <c r="I265" s="168"/>
      <c r="J265" s="799"/>
      <c r="K265" s="133"/>
      <c r="L265" s="132"/>
      <c r="M265" s="171"/>
      <c r="N265" s="168"/>
      <c r="O265" s="799"/>
      <c r="P265" s="133"/>
      <c r="Q265" s="132"/>
      <c r="R265" s="171"/>
      <c r="S265" s="168"/>
      <c r="T265" s="799"/>
      <c r="U265" s="133"/>
      <c r="V265" s="132"/>
      <c r="W265" s="171"/>
    </row>
    <row r="266" spans="1:23">
      <c r="A266" s="119">
        <f t="shared" si="48"/>
        <v>24</v>
      </c>
      <c r="B266" s="127">
        <f>+B265+1</f>
        <v>2010</v>
      </c>
      <c r="C266" s="127"/>
      <c r="D266" s="140"/>
      <c r="E266" s="140"/>
      <c r="F266" s="140"/>
      <c r="G266" s="140"/>
      <c r="H266" s="139">
        <f t="shared" si="58"/>
        <v>2010</v>
      </c>
      <c r="I266" s="168"/>
      <c r="J266" s="799"/>
      <c r="K266" s="133"/>
      <c r="L266" s="132"/>
      <c r="M266" s="149"/>
      <c r="N266" s="168"/>
      <c r="O266" s="799"/>
      <c r="P266" s="133"/>
      <c r="Q266" s="132"/>
      <c r="R266" s="149"/>
      <c r="S266" s="168"/>
      <c r="T266" s="799"/>
      <c r="U266" s="133"/>
      <c r="V266" s="132"/>
      <c r="W266" s="149"/>
    </row>
    <row r="267" spans="1:23">
      <c r="A267" s="119">
        <f t="shared" si="48"/>
        <v>25</v>
      </c>
      <c r="B267" s="127">
        <f>+B266+1</f>
        <v>2011</v>
      </c>
      <c r="C267" s="127"/>
      <c r="H267" s="139">
        <f t="shared" si="58"/>
        <v>2011</v>
      </c>
      <c r="I267" s="168"/>
      <c r="J267" s="799"/>
      <c r="K267" s="133"/>
      <c r="L267" s="132"/>
      <c r="M267" s="149"/>
      <c r="N267" s="168"/>
      <c r="O267" s="799"/>
      <c r="P267" s="133"/>
      <c r="Q267" s="132"/>
      <c r="R267" s="149"/>
      <c r="S267" s="168"/>
      <c r="T267" s="799"/>
      <c r="U267" s="133"/>
      <c r="V267" s="132"/>
      <c r="W267" s="149"/>
    </row>
    <row r="268" spans="1:23">
      <c r="A268" s="119">
        <f t="shared" si="48"/>
        <v>26</v>
      </c>
      <c r="B268" s="127">
        <f>+B267+1</f>
        <v>2012</v>
      </c>
      <c r="C268" s="127"/>
      <c r="H268" s="139">
        <f t="shared" si="58"/>
        <v>2012</v>
      </c>
      <c r="I268" s="168"/>
      <c r="J268" s="799"/>
      <c r="K268" s="133"/>
      <c r="L268" s="132"/>
      <c r="M268" s="149"/>
      <c r="N268" s="168"/>
      <c r="O268" s="799"/>
      <c r="P268" s="133"/>
      <c r="Q268" s="132"/>
      <c r="R268" s="149"/>
      <c r="S268" s="168"/>
      <c r="T268" s="799"/>
      <c r="U268" s="133"/>
      <c r="V268" s="132"/>
      <c r="W268" s="149"/>
    </row>
    <row r="269" spans="1:23">
      <c r="A269" s="119">
        <f t="shared" si="48"/>
        <v>27</v>
      </c>
      <c r="B269" s="127">
        <f t="shared" ref="B269:B286" si="59">+B268+1</f>
        <v>2013</v>
      </c>
      <c r="C269" s="127"/>
      <c r="H269" s="139">
        <f t="shared" si="58"/>
        <v>2013</v>
      </c>
      <c r="I269" s="168"/>
      <c r="J269" s="799"/>
      <c r="K269" s="133"/>
      <c r="L269" s="132"/>
      <c r="M269" s="149"/>
      <c r="N269" s="168"/>
      <c r="O269" s="799"/>
      <c r="P269" s="133"/>
      <c r="Q269" s="132"/>
      <c r="R269" s="149"/>
      <c r="S269" s="168"/>
      <c r="T269" s="799"/>
      <c r="U269" s="133"/>
      <c r="V269" s="132"/>
      <c r="W269" s="149"/>
    </row>
    <row r="270" spans="1:23">
      <c r="A270" s="119">
        <f t="shared" si="48"/>
        <v>28</v>
      </c>
      <c r="B270" s="127">
        <f t="shared" si="59"/>
        <v>2014</v>
      </c>
      <c r="C270" s="127"/>
      <c r="H270" s="139">
        <f t="shared" si="58"/>
        <v>2014</v>
      </c>
      <c r="I270" s="168"/>
      <c r="J270" s="799"/>
      <c r="K270" s="133"/>
      <c r="L270" s="132"/>
      <c r="M270" s="149"/>
      <c r="N270" s="168"/>
      <c r="O270" s="799"/>
      <c r="P270" s="133"/>
      <c r="Q270" s="132"/>
      <c r="R270" s="149"/>
      <c r="S270" s="168"/>
      <c r="T270" s="799"/>
      <c r="U270" s="133"/>
      <c r="V270" s="132"/>
      <c r="W270" s="149"/>
    </row>
    <row r="271" spans="1:23">
      <c r="A271" s="119">
        <f t="shared" si="48"/>
        <v>29</v>
      </c>
      <c r="B271" s="127">
        <f t="shared" si="59"/>
        <v>2015</v>
      </c>
      <c r="C271" s="127"/>
      <c r="H271" s="139">
        <f t="shared" si="58"/>
        <v>2015</v>
      </c>
      <c r="I271" s="168"/>
      <c r="J271" s="799"/>
      <c r="K271" s="133"/>
      <c r="L271" s="132"/>
      <c r="M271" s="149"/>
      <c r="N271" s="168"/>
      <c r="O271" s="799"/>
      <c r="P271" s="133"/>
      <c r="Q271" s="132"/>
      <c r="R271" s="149"/>
      <c r="S271" s="168"/>
      <c r="T271" s="799"/>
      <c r="U271" s="133"/>
      <c r="V271" s="132"/>
      <c r="W271" s="149"/>
    </row>
    <row r="272" spans="1:23">
      <c r="A272" s="119">
        <f t="shared" si="48"/>
        <v>30</v>
      </c>
      <c r="B272" s="127">
        <f t="shared" si="59"/>
        <v>2016</v>
      </c>
      <c r="C272" s="127"/>
      <c r="H272" s="139">
        <f t="shared" si="58"/>
        <v>2016</v>
      </c>
      <c r="I272" s="168"/>
      <c r="J272" s="799"/>
      <c r="K272" s="133"/>
      <c r="L272" s="132"/>
      <c r="M272" s="149"/>
      <c r="N272" s="168"/>
      <c r="O272" s="799"/>
      <c r="P272" s="133"/>
      <c r="Q272" s="132"/>
      <c r="R272" s="149"/>
      <c r="S272" s="168"/>
      <c r="T272" s="799"/>
      <c r="U272" s="133"/>
      <c r="V272" s="132"/>
      <c r="W272" s="149"/>
    </row>
    <row r="273" spans="1:23">
      <c r="A273" s="119">
        <f t="shared" si="48"/>
        <v>31</v>
      </c>
      <c r="B273" s="127">
        <f t="shared" si="59"/>
        <v>2017</v>
      </c>
      <c r="C273" s="127"/>
      <c r="H273" s="139">
        <f t="shared" si="58"/>
        <v>2017</v>
      </c>
      <c r="I273" s="168"/>
      <c r="J273" s="799"/>
      <c r="K273" s="133"/>
      <c r="L273" s="132"/>
      <c r="M273" s="149"/>
      <c r="N273" s="168"/>
      <c r="O273" s="799"/>
      <c r="P273" s="133"/>
      <c r="Q273" s="132"/>
      <c r="R273" s="149"/>
      <c r="S273" s="168"/>
      <c r="T273" s="799"/>
      <c r="U273" s="133"/>
      <c r="V273" s="132"/>
      <c r="W273" s="149"/>
    </row>
    <row r="274" spans="1:23">
      <c r="A274" s="119">
        <f t="shared" si="48"/>
        <v>32</v>
      </c>
      <c r="B274" s="127">
        <f t="shared" si="59"/>
        <v>2018</v>
      </c>
      <c r="C274" s="127"/>
      <c r="H274" s="139">
        <f t="shared" si="58"/>
        <v>2018</v>
      </c>
      <c r="I274" s="168"/>
      <c r="J274" s="799"/>
      <c r="K274" s="133"/>
      <c r="L274" s="132"/>
      <c r="M274" s="149"/>
      <c r="N274" s="168"/>
      <c r="O274" s="799"/>
      <c r="P274" s="133"/>
      <c r="Q274" s="132"/>
      <c r="R274" s="149"/>
      <c r="S274" s="168"/>
      <c r="T274" s="799"/>
      <c r="U274" s="133"/>
      <c r="V274" s="132"/>
      <c r="W274" s="149"/>
    </row>
    <row r="275" spans="1:23">
      <c r="A275" s="119">
        <f t="shared" si="48"/>
        <v>33</v>
      </c>
      <c r="B275" s="127">
        <f t="shared" si="59"/>
        <v>2019</v>
      </c>
      <c r="C275" s="127"/>
      <c r="H275" s="139">
        <f t="shared" si="58"/>
        <v>2019</v>
      </c>
      <c r="I275" s="168"/>
      <c r="J275" s="799"/>
      <c r="K275" s="133"/>
      <c r="L275" s="132"/>
      <c r="M275" s="149"/>
      <c r="N275" s="168"/>
      <c r="O275" s="799"/>
      <c r="P275" s="133"/>
      <c r="Q275" s="132"/>
      <c r="R275" s="149"/>
      <c r="S275" s="168"/>
      <c r="T275" s="799"/>
      <c r="U275" s="133"/>
      <c r="V275" s="132"/>
      <c r="W275" s="149"/>
    </row>
    <row r="276" spans="1:23">
      <c r="A276" s="119">
        <f t="shared" si="48"/>
        <v>34</v>
      </c>
      <c r="B276" s="127">
        <f t="shared" si="59"/>
        <v>2020</v>
      </c>
      <c r="C276" s="127"/>
      <c r="H276" s="139">
        <f t="shared" si="58"/>
        <v>2020</v>
      </c>
      <c r="I276" s="168"/>
      <c r="J276" s="799"/>
      <c r="K276" s="133"/>
      <c r="L276" s="132"/>
      <c r="M276" s="149"/>
      <c r="N276" s="168"/>
      <c r="O276" s="799"/>
      <c r="P276" s="133"/>
      <c r="Q276" s="132"/>
      <c r="R276" s="149"/>
      <c r="S276" s="168"/>
      <c r="T276" s="799"/>
      <c r="U276" s="133"/>
      <c r="V276" s="132"/>
      <c r="W276" s="149"/>
    </row>
    <row r="277" spans="1:23">
      <c r="A277" s="119">
        <f t="shared" si="48"/>
        <v>35</v>
      </c>
      <c r="B277" s="127">
        <f t="shared" si="59"/>
        <v>2021</v>
      </c>
      <c r="C277" s="127"/>
      <c r="H277" s="139">
        <f t="shared" si="58"/>
        <v>2021</v>
      </c>
      <c r="I277" s="168"/>
      <c r="J277" s="799"/>
      <c r="K277" s="133"/>
      <c r="L277" s="132"/>
      <c r="M277" s="149"/>
      <c r="N277" s="168"/>
      <c r="O277" s="799"/>
      <c r="P277" s="133"/>
      <c r="Q277" s="132"/>
      <c r="R277" s="149"/>
      <c r="S277" s="168"/>
      <c r="T277" s="799"/>
      <c r="U277" s="133"/>
      <c r="V277" s="132"/>
      <c r="W277" s="149"/>
    </row>
    <row r="278" spans="1:23">
      <c r="A278" s="119">
        <f t="shared" si="48"/>
        <v>36</v>
      </c>
      <c r="B278" s="127">
        <f t="shared" si="59"/>
        <v>2022</v>
      </c>
      <c r="C278" s="127"/>
      <c r="H278" s="139">
        <f t="shared" si="58"/>
        <v>2022</v>
      </c>
      <c r="I278" s="168"/>
      <c r="J278" s="799"/>
      <c r="K278" s="133"/>
      <c r="L278" s="132"/>
      <c r="M278" s="149"/>
      <c r="N278" s="168"/>
      <c r="O278" s="799"/>
      <c r="P278" s="133"/>
      <c r="Q278" s="132"/>
      <c r="R278" s="149"/>
      <c r="S278" s="168"/>
      <c r="T278" s="799"/>
      <c r="U278" s="133"/>
      <c r="V278" s="132"/>
      <c r="W278" s="149"/>
    </row>
    <row r="279" spans="1:23">
      <c r="A279" s="119">
        <f t="shared" si="48"/>
        <v>37</v>
      </c>
      <c r="B279" s="127">
        <f t="shared" si="59"/>
        <v>2023</v>
      </c>
      <c r="C279" s="127"/>
      <c r="H279" s="139">
        <f t="shared" si="58"/>
        <v>2023</v>
      </c>
      <c r="I279" s="168"/>
      <c r="J279" s="799"/>
      <c r="K279" s="133"/>
      <c r="L279" s="132"/>
      <c r="M279" s="149"/>
      <c r="N279" s="168"/>
      <c r="O279" s="799"/>
      <c r="P279" s="133"/>
      <c r="Q279" s="132"/>
      <c r="R279" s="149"/>
      <c r="S279" s="168"/>
      <c r="T279" s="799"/>
      <c r="U279" s="133"/>
      <c r="V279" s="132"/>
      <c r="W279" s="149"/>
    </row>
    <row r="280" spans="1:23">
      <c r="A280" s="119">
        <f t="shared" si="48"/>
        <v>38</v>
      </c>
      <c r="B280" s="127">
        <f t="shared" si="59"/>
        <v>2024</v>
      </c>
      <c r="C280" s="127"/>
      <c r="H280" s="139">
        <f t="shared" si="58"/>
        <v>2024</v>
      </c>
      <c r="I280" s="168"/>
      <c r="J280" s="799"/>
      <c r="K280" s="133"/>
      <c r="L280" s="132"/>
      <c r="M280" s="149"/>
      <c r="N280" s="168"/>
      <c r="O280" s="799"/>
      <c r="P280" s="133"/>
      <c r="Q280" s="132"/>
      <c r="R280" s="149"/>
      <c r="S280" s="168"/>
      <c r="T280" s="799"/>
      <c r="U280" s="133"/>
      <c r="V280" s="132"/>
      <c r="W280" s="149"/>
    </row>
    <row r="281" spans="1:23">
      <c r="A281" s="119">
        <f t="shared" si="48"/>
        <v>39</v>
      </c>
      <c r="B281" s="127">
        <f t="shared" si="59"/>
        <v>2025</v>
      </c>
      <c r="C281" s="127"/>
      <c r="H281" s="139">
        <f t="shared" si="58"/>
        <v>2025</v>
      </c>
      <c r="I281" s="168"/>
      <c r="J281" s="799"/>
      <c r="K281" s="133"/>
      <c r="L281" s="132"/>
      <c r="M281" s="149"/>
      <c r="N281" s="168"/>
      <c r="O281" s="799"/>
      <c r="P281" s="133"/>
      <c r="Q281" s="132"/>
      <c r="R281" s="149"/>
      <c r="S281" s="168"/>
      <c r="T281" s="799"/>
      <c r="U281" s="133"/>
      <c r="V281" s="132"/>
      <c r="W281" s="149"/>
    </row>
    <row r="282" spans="1:23">
      <c r="A282" s="119">
        <f t="shared" si="48"/>
        <v>40</v>
      </c>
      <c r="B282" s="127">
        <f t="shared" si="59"/>
        <v>2026</v>
      </c>
      <c r="C282" s="127"/>
      <c r="H282" s="139">
        <f t="shared" si="58"/>
        <v>2026</v>
      </c>
      <c r="I282" s="168"/>
      <c r="J282" s="799"/>
      <c r="K282" s="133"/>
      <c r="L282" s="132"/>
      <c r="M282" s="149"/>
      <c r="N282" s="168"/>
      <c r="O282" s="799"/>
      <c r="P282" s="133"/>
      <c r="Q282" s="132"/>
      <c r="R282" s="149"/>
      <c r="S282" s="168"/>
      <c r="T282" s="799"/>
      <c r="U282" s="133"/>
      <c r="V282" s="132"/>
      <c r="W282" s="149"/>
    </row>
    <row r="283" spans="1:23">
      <c r="A283" s="119">
        <f t="shared" si="48"/>
        <v>41</v>
      </c>
      <c r="B283" s="127">
        <f t="shared" si="59"/>
        <v>2027</v>
      </c>
      <c r="C283" s="127"/>
      <c r="H283" s="139">
        <f t="shared" si="58"/>
        <v>2027</v>
      </c>
      <c r="I283" s="168"/>
      <c r="J283" s="799"/>
      <c r="K283" s="133"/>
      <c r="L283" s="132"/>
      <c r="M283" s="149"/>
      <c r="N283" s="168"/>
      <c r="O283" s="799"/>
      <c r="P283" s="133"/>
      <c r="Q283" s="132"/>
      <c r="R283" s="149"/>
      <c r="S283" s="168"/>
      <c r="T283" s="799"/>
      <c r="U283" s="133"/>
      <c r="V283" s="132"/>
      <c r="W283" s="149"/>
    </row>
    <row r="284" spans="1:23">
      <c r="A284" s="119">
        <f t="shared" si="48"/>
        <v>42</v>
      </c>
      <c r="B284" s="127">
        <f t="shared" si="59"/>
        <v>2028</v>
      </c>
      <c r="C284" s="127"/>
      <c r="H284" s="139">
        <f t="shared" si="58"/>
        <v>2028</v>
      </c>
      <c r="I284" s="168"/>
      <c r="J284" s="799"/>
      <c r="K284" s="133"/>
      <c r="L284" s="132"/>
      <c r="M284" s="149"/>
      <c r="N284" s="168"/>
      <c r="O284" s="799"/>
      <c r="P284" s="133"/>
      <c r="Q284" s="132"/>
      <c r="R284" s="149"/>
      <c r="S284" s="168"/>
      <c r="T284" s="799"/>
      <c r="U284" s="133"/>
      <c r="V284" s="132"/>
      <c r="W284" s="149"/>
    </row>
    <row r="285" spans="1:23">
      <c r="A285" s="119">
        <f t="shared" si="48"/>
        <v>43</v>
      </c>
      <c r="B285" s="127">
        <f t="shared" si="59"/>
        <v>2029</v>
      </c>
      <c r="C285" s="127"/>
      <c r="H285" s="139">
        <f t="shared" si="58"/>
        <v>2029</v>
      </c>
      <c r="I285" s="168"/>
      <c r="J285" s="799"/>
      <c r="K285" s="133"/>
      <c r="L285" s="132"/>
      <c r="M285" s="149"/>
      <c r="N285" s="168"/>
      <c r="O285" s="799"/>
      <c r="P285" s="133"/>
      <c r="Q285" s="132"/>
      <c r="R285" s="149"/>
      <c r="S285" s="168"/>
      <c r="T285" s="799"/>
      <c r="U285" s="133"/>
      <c r="V285" s="132"/>
      <c r="W285" s="149"/>
    </row>
    <row r="286" spans="1:23">
      <c r="A286" s="119">
        <f t="shared" si="48"/>
        <v>44</v>
      </c>
      <c r="B286" s="127">
        <f t="shared" si="59"/>
        <v>2030</v>
      </c>
      <c r="C286" s="127"/>
      <c r="H286" s="139">
        <f t="shared" si="58"/>
        <v>2030</v>
      </c>
      <c r="I286" s="927"/>
      <c r="J286" s="921"/>
      <c r="K286" s="922"/>
      <c r="L286" s="138"/>
      <c r="M286" s="150"/>
      <c r="N286" s="928"/>
      <c r="O286" s="921"/>
      <c r="P286" s="922"/>
      <c r="Q286" s="138"/>
      <c r="R286" s="150"/>
      <c r="S286" s="928"/>
      <c r="T286" s="921"/>
      <c r="U286" s="922"/>
      <c r="V286" s="138"/>
      <c r="W286" s="150"/>
    </row>
    <row r="287" spans="1:23">
      <c r="A287" s="119">
        <f t="shared" si="48"/>
        <v>45</v>
      </c>
      <c r="B287" s="127"/>
      <c r="C287" s="127"/>
      <c r="H287" s="139"/>
      <c r="I287" s="919"/>
      <c r="J287" s="155"/>
      <c r="K287" s="155"/>
      <c r="L287" s="155"/>
      <c r="M287" s="155"/>
      <c r="N287" s="155"/>
      <c r="O287" s="277"/>
      <c r="P287" s="155"/>
      <c r="Q287" s="132"/>
      <c r="R287" s="132"/>
      <c r="S287" s="132"/>
      <c r="T287" s="277"/>
      <c r="U287" s="155"/>
      <c r="V287" s="132"/>
      <c r="W287" s="132"/>
    </row>
    <row r="288" spans="1:23">
      <c r="A288" s="119">
        <f t="shared" si="48"/>
        <v>46</v>
      </c>
      <c r="I288" s="123"/>
      <c r="J288" s="123"/>
      <c r="K288" s="123"/>
      <c r="L288" s="123"/>
      <c r="M288" s="123"/>
      <c r="N288" s="123"/>
      <c r="O288" s="123"/>
      <c r="P288" s="123"/>
      <c r="Q288" s="123"/>
      <c r="R288" s="123"/>
      <c r="S288" s="123"/>
      <c r="T288" s="123"/>
      <c r="U288" s="123"/>
      <c r="V288" s="123"/>
      <c r="W288" s="123"/>
    </row>
    <row r="289" spans="1:23" ht="15.75">
      <c r="A289" s="119">
        <f t="shared" si="48"/>
        <v>47</v>
      </c>
      <c r="B289" s="74" t="s">
        <v>1206</v>
      </c>
      <c r="C289" s="74"/>
      <c r="I289" s="123"/>
      <c r="J289" s="123"/>
      <c r="K289" s="123"/>
      <c r="L289" s="123"/>
      <c r="M289" s="123"/>
      <c r="N289" s="123"/>
      <c r="O289" s="123"/>
      <c r="P289" s="123"/>
      <c r="Q289" s="123"/>
      <c r="R289" s="123"/>
      <c r="S289" s="123"/>
      <c r="T289" s="123"/>
      <c r="U289" s="123"/>
      <c r="V289" s="123"/>
      <c r="W289" s="123"/>
    </row>
    <row r="290" spans="1:23" ht="15.75">
      <c r="I290" s="123"/>
      <c r="J290" s="123"/>
      <c r="K290" s="123"/>
      <c r="L290" s="123"/>
      <c r="M290" s="123"/>
      <c r="N290" s="123"/>
      <c r="O290" s="123"/>
      <c r="P290" s="123"/>
      <c r="Q290" s="123"/>
      <c r="R290" s="123"/>
      <c r="S290" s="2193" t="s">
        <v>181</v>
      </c>
      <c r="T290" s="2193"/>
      <c r="U290" s="123"/>
      <c r="V290" s="926" t="s">
        <v>1777</v>
      </c>
    </row>
    <row r="291" spans="1:23" ht="18">
      <c r="B291" s="727" t="s">
        <v>1619</v>
      </c>
      <c r="C291" s="727"/>
      <c r="I291" s="123"/>
      <c r="J291" s="123"/>
      <c r="K291" s="123"/>
      <c r="L291" s="123"/>
      <c r="M291" s="123"/>
      <c r="N291" s="123"/>
      <c r="O291" s="123"/>
      <c r="P291" s="123"/>
      <c r="Q291" s="123"/>
      <c r="R291" s="123"/>
      <c r="S291" s="123"/>
      <c r="T291" s="1100"/>
      <c r="U291" s="123"/>
    </row>
    <row r="292" spans="1:23">
      <c r="A292" s="119">
        <v>1</v>
      </c>
      <c r="D292" s="88"/>
      <c r="E292" s="88"/>
      <c r="F292" s="88"/>
      <c r="G292" s="88"/>
      <c r="H292" s="88"/>
      <c r="I292" s="1777"/>
      <c r="J292" s="1778" t="s">
        <v>623</v>
      </c>
      <c r="K292" s="1779" t="s">
        <v>838</v>
      </c>
      <c r="L292" s="1787" t="s">
        <v>1349</v>
      </c>
      <c r="M292" s="1788">
        <v>0</v>
      </c>
      <c r="N292" s="1777"/>
      <c r="O292" s="1778" t="s">
        <v>623</v>
      </c>
      <c r="P292" s="1779" t="s">
        <v>839</v>
      </c>
      <c r="Q292" s="1787" t="s">
        <v>1349</v>
      </c>
      <c r="R292" s="1780">
        <v>0</v>
      </c>
      <c r="S292" s="1777"/>
      <c r="T292" s="1778" t="s">
        <v>623</v>
      </c>
      <c r="U292" s="1779" t="s">
        <v>1350</v>
      </c>
      <c r="V292" s="1787" t="s">
        <v>1349</v>
      </c>
      <c r="W292" s="1780">
        <v>0</v>
      </c>
    </row>
    <row r="293" spans="1:23">
      <c r="A293" s="119">
        <f>A292+1</f>
        <v>2</v>
      </c>
      <c r="D293" s="88"/>
      <c r="E293" s="88"/>
      <c r="F293" s="88"/>
      <c r="G293" s="88"/>
      <c r="H293" s="88"/>
      <c r="I293" s="134"/>
      <c r="J293" s="135" t="s">
        <v>632</v>
      </c>
      <c r="K293" s="1550"/>
      <c r="L293" s="1765" t="s">
        <v>626</v>
      </c>
      <c r="M293" s="1239">
        <f>'Actual Gross Rev Req'!$I$216*M292</f>
        <v>0</v>
      </c>
      <c r="N293" s="134"/>
      <c r="O293" s="135"/>
      <c r="P293" s="135"/>
      <c r="Q293" s="1765" t="s">
        <v>626</v>
      </c>
      <c r="R293" s="1239">
        <f>'Actual Gross Rev Req'!$I$216*R292</f>
        <v>0</v>
      </c>
      <c r="S293" s="134"/>
      <c r="T293" s="135"/>
      <c r="U293" s="135"/>
      <c r="V293" s="1765" t="s">
        <v>626</v>
      </c>
      <c r="W293" s="1239">
        <f>'Actual Gross Rev Req'!$I$216*W292</f>
        <v>0</v>
      </c>
    </row>
    <row r="294" spans="1:23">
      <c r="A294" s="119">
        <f t="shared" ref="A294:A338" si="60">A293+1</f>
        <v>3</v>
      </c>
      <c r="D294" s="88"/>
      <c r="E294" s="88"/>
      <c r="F294" s="88"/>
      <c r="G294" s="88"/>
      <c r="H294" s="88"/>
      <c r="I294" s="134"/>
      <c r="J294" s="135"/>
      <c r="K294" s="135"/>
      <c r="L294" s="1765" t="s">
        <v>744</v>
      </c>
      <c r="M294" s="1239">
        <f>IF('Actual Gross Rev Req'!$M$217&gt;0,('Actual Gross Rev Req'!$H$109/(1-'Actual Gross Rev Req'!$H$109)),0)</f>
        <v>0.63412352476290834</v>
      </c>
      <c r="N294" s="134"/>
      <c r="O294" s="135"/>
      <c r="P294" s="1239"/>
      <c r="Q294" s="1765" t="s">
        <v>744</v>
      </c>
      <c r="R294" s="1239">
        <f>IF('Actual Gross Rev Req'!$M$217&gt;0,('Actual Gross Rev Req'!$H$109/(1-'Actual Gross Rev Req'!$H$109)),0)</f>
        <v>0.63412352476290834</v>
      </c>
      <c r="S294" s="134"/>
      <c r="T294" s="135"/>
      <c r="U294" s="1239"/>
      <c r="V294" s="1765" t="s">
        <v>744</v>
      </c>
      <c r="W294" s="1239">
        <f>IF('Actual Gross Rev Req'!$M$217&gt;0,('Actual Gross Rev Req'!$H$109/(1-'Actual Gross Rev Req'!$H$109)),0)</f>
        <v>0.63412352476290834</v>
      </c>
    </row>
    <row r="295" spans="1:23" ht="25.5">
      <c r="A295" s="119">
        <f t="shared" si="60"/>
        <v>4</v>
      </c>
      <c r="D295" s="88"/>
      <c r="E295" s="88"/>
      <c r="F295" s="88"/>
      <c r="G295" s="88"/>
      <c r="H295" s="88"/>
      <c r="I295" s="1762" t="s">
        <v>553</v>
      </c>
      <c r="J295" s="1763" t="s">
        <v>1351</v>
      </c>
      <c r="K295" s="1763" t="s">
        <v>1352</v>
      </c>
      <c r="L295" s="1763" t="s">
        <v>1353</v>
      </c>
      <c r="M295" s="135"/>
      <c r="N295" s="1762" t="s">
        <v>553</v>
      </c>
      <c r="O295" s="1763" t="s">
        <v>1351</v>
      </c>
      <c r="P295" s="1763" t="s">
        <v>1352</v>
      </c>
      <c r="Q295" s="1763" t="s">
        <v>1353</v>
      </c>
      <c r="R295" s="145"/>
      <c r="S295" s="1762" t="s">
        <v>553</v>
      </c>
      <c r="T295" s="1763" t="s">
        <v>1351</v>
      </c>
      <c r="U295" s="1763" t="s">
        <v>1352</v>
      </c>
      <c r="V295" s="1763" t="s">
        <v>1353</v>
      </c>
      <c r="W295" s="145"/>
    </row>
    <row r="296" spans="1:23">
      <c r="A296" s="119">
        <f t="shared" si="60"/>
        <v>5</v>
      </c>
      <c r="D296" s="88"/>
      <c r="E296" s="88"/>
      <c r="F296" s="88"/>
      <c r="G296" s="88" t="s">
        <v>1354</v>
      </c>
      <c r="H296" s="88" t="s">
        <v>1355</v>
      </c>
      <c r="I296" s="1785">
        <v>0</v>
      </c>
      <c r="J296" s="133">
        <v>0</v>
      </c>
      <c r="K296" s="177"/>
      <c r="L296" s="135"/>
      <c r="M296" s="145"/>
      <c r="N296" s="1785">
        <v>0</v>
      </c>
      <c r="O296" s="133">
        <v>0</v>
      </c>
      <c r="P296" s="177"/>
      <c r="Q296" s="135"/>
      <c r="R296" s="145"/>
      <c r="S296" s="1785">
        <v>0</v>
      </c>
      <c r="T296" s="133">
        <v>0</v>
      </c>
      <c r="U296" s="177"/>
      <c r="V296" s="135"/>
      <c r="W296" s="145"/>
    </row>
    <row r="297" spans="1:23">
      <c r="A297" s="119">
        <f t="shared" si="60"/>
        <v>6</v>
      </c>
      <c r="D297" s="88"/>
      <c r="E297" s="88"/>
      <c r="F297" s="88"/>
      <c r="G297" s="88" t="s">
        <v>1356</v>
      </c>
      <c r="H297" s="88" t="s">
        <v>674</v>
      </c>
      <c r="I297" s="1785">
        <v>0</v>
      </c>
      <c r="J297" s="133">
        <f>J296</f>
        <v>0</v>
      </c>
      <c r="K297" s="177">
        <f>(IF('Actual Gross Rev Req'!$H$16=0,0,'Actual Gross Rev Req'!$H$92/'Actual Gross Rev Req'!$H$16)/12)</f>
        <v>1.4936180092078701E-3</v>
      </c>
      <c r="L297" s="90">
        <f>+K297*J296</f>
        <v>0</v>
      </c>
      <c r="M297" s="135"/>
      <c r="N297" s="1785">
        <v>0</v>
      </c>
      <c r="O297" s="133">
        <f>O296</f>
        <v>0</v>
      </c>
      <c r="P297" s="177">
        <f>(IF('Actual Gross Rev Req'!$H$16=0,0,'Actual Gross Rev Req'!$H$92/'Actual Gross Rev Req'!$H$16)/12)</f>
        <v>1.4936180092078701E-3</v>
      </c>
      <c r="Q297" s="90">
        <f>+P297*O296</f>
        <v>0</v>
      </c>
      <c r="R297" s="145"/>
      <c r="S297" s="1785">
        <v>0</v>
      </c>
      <c r="T297" s="133">
        <f>T296</f>
        <v>0</v>
      </c>
      <c r="U297" s="177">
        <f>(IF('Actual Gross Rev Req'!$H$16=0,0,'Actual Gross Rev Req'!$H$92/'Actual Gross Rev Req'!$H$16)/12)</f>
        <v>1.4936180092078701E-3</v>
      </c>
      <c r="V297" s="90">
        <f>+U297*T296</f>
        <v>0</v>
      </c>
      <c r="W297" s="145"/>
    </row>
    <row r="298" spans="1:23">
      <c r="A298" s="119">
        <f t="shared" si="60"/>
        <v>7</v>
      </c>
      <c r="D298" s="88"/>
      <c r="E298" s="88"/>
      <c r="F298" s="88"/>
      <c r="G298" s="88" t="s">
        <v>1356</v>
      </c>
      <c r="H298" s="88" t="s">
        <v>1357</v>
      </c>
      <c r="I298" s="1785">
        <v>0</v>
      </c>
      <c r="J298" s="133">
        <f t="shared" ref="J298:J308" si="61">J297</f>
        <v>0</v>
      </c>
      <c r="K298" s="177">
        <f t="shared" ref="K298:K308" si="62">K297</f>
        <v>1.4936180092078701E-3</v>
      </c>
      <c r="L298" s="90">
        <f>+K298*J297</f>
        <v>0</v>
      </c>
      <c r="M298" s="145"/>
      <c r="N298" s="1785">
        <v>0</v>
      </c>
      <c r="O298" s="133">
        <f t="shared" ref="O298:O308" si="63">O297</f>
        <v>0</v>
      </c>
      <c r="P298" s="177">
        <f t="shared" ref="P298:P308" si="64">P297</f>
        <v>1.4936180092078701E-3</v>
      </c>
      <c r="Q298" s="90">
        <f t="shared" ref="Q298:Q307" si="65">+P298*O297</f>
        <v>0</v>
      </c>
      <c r="R298" s="145"/>
      <c r="S298" s="1785">
        <v>0</v>
      </c>
      <c r="T298" s="133">
        <f t="shared" ref="T298:T308" si="66">T297</f>
        <v>0</v>
      </c>
      <c r="U298" s="177">
        <f t="shared" ref="U298:U308" si="67">U297</f>
        <v>1.4936180092078701E-3</v>
      </c>
      <c r="V298" s="90">
        <f t="shared" ref="V298:V307" si="68">+U298*T297</f>
        <v>0</v>
      </c>
      <c r="W298" s="145"/>
    </row>
    <row r="299" spans="1:23">
      <c r="A299" s="119">
        <f t="shared" si="60"/>
        <v>8</v>
      </c>
      <c r="D299" s="88"/>
      <c r="E299" s="88"/>
      <c r="F299" s="88"/>
      <c r="G299" s="88" t="s">
        <v>1356</v>
      </c>
      <c r="H299" s="88" t="s">
        <v>1358</v>
      </c>
      <c r="I299" s="1785">
        <v>0</v>
      </c>
      <c r="J299" s="133">
        <v>0</v>
      </c>
      <c r="K299" s="177">
        <f t="shared" si="62"/>
        <v>1.4936180092078701E-3</v>
      </c>
      <c r="L299" s="90">
        <f t="shared" ref="L299:L307" si="69">+K299*J298</f>
        <v>0</v>
      </c>
      <c r="M299" s="145"/>
      <c r="N299" s="1785">
        <v>0</v>
      </c>
      <c r="O299" s="133">
        <v>0</v>
      </c>
      <c r="P299" s="177">
        <f t="shared" si="64"/>
        <v>1.4936180092078701E-3</v>
      </c>
      <c r="Q299" s="90">
        <f t="shared" si="65"/>
        <v>0</v>
      </c>
      <c r="R299" s="145"/>
      <c r="S299" s="1785">
        <v>0</v>
      </c>
      <c r="T299" s="133">
        <v>0</v>
      </c>
      <c r="U299" s="177">
        <f t="shared" si="67"/>
        <v>1.4936180092078701E-3</v>
      </c>
      <c r="V299" s="90">
        <f t="shared" si="68"/>
        <v>0</v>
      </c>
      <c r="W299" s="145"/>
    </row>
    <row r="300" spans="1:23">
      <c r="A300" s="119">
        <f t="shared" si="60"/>
        <v>9</v>
      </c>
      <c r="D300" s="88"/>
      <c r="E300" s="88"/>
      <c r="F300" s="88"/>
      <c r="G300" s="88" t="s">
        <v>1356</v>
      </c>
      <c r="H300" s="88" t="s">
        <v>1359</v>
      </c>
      <c r="I300" s="1785">
        <v>0</v>
      </c>
      <c r="J300" s="133">
        <f t="shared" si="61"/>
        <v>0</v>
      </c>
      <c r="K300" s="177">
        <f t="shared" si="62"/>
        <v>1.4936180092078701E-3</v>
      </c>
      <c r="L300" s="90">
        <f t="shared" si="69"/>
        <v>0</v>
      </c>
      <c r="M300" s="145"/>
      <c r="N300" s="1785">
        <v>0</v>
      </c>
      <c r="O300" s="133">
        <f t="shared" si="63"/>
        <v>0</v>
      </c>
      <c r="P300" s="177">
        <f t="shared" si="64"/>
        <v>1.4936180092078701E-3</v>
      </c>
      <c r="Q300" s="90">
        <f t="shared" si="65"/>
        <v>0</v>
      </c>
      <c r="R300" s="145"/>
      <c r="S300" s="1785">
        <v>0</v>
      </c>
      <c r="T300" s="133">
        <f t="shared" si="66"/>
        <v>0</v>
      </c>
      <c r="U300" s="177">
        <f t="shared" si="67"/>
        <v>1.4936180092078701E-3</v>
      </c>
      <c r="V300" s="90">
        <f t="shared" si="68"/>
        <v>0</v>
      </c>
      <c r="W300" s="145"/>
    </row>
    <row r="301" spans="1:23">
      <c r="A301" s="119">
        <f t="shared" si="60"/>
        <v>10</v>
      </c>
      <c r="D301" s="88"/>
      <c r="E301" s="88"/>
      <c r="F301" s="88"/>
      <c r="G301" s="88" t="s">
        <v>1356</v>
      </c>
      <c r="H301" s="88" t="s">
        <v>1125</v>
      </c>
      <c r="I301" s="1785">
        <v>0</v>
      </c>
      <c r="J301" s="133">
        <f t="shared" si="61"/>
        <v>0</v>
      </c>
      <c r="K301" s="177">
        <f t="shared" si="62"/>
        <v>1.4936180092078701E-3</v>
      </c>
      <c r="L301" s="90">
        <f t="shared" si="69"/>
        <v>0</v>
      </c>
      <c r="M301" s="145"/>
      <c r="N301" s="1785">
        <v>0</v>
      </c>
      <c r="O301" s="133">
        <f t="shared" si="63"/>
        <v>0</v>
      </c>
      <c r="P301" s="177">
        <f t="shared" si="64"/>
        <v>1.4936180092078701E-3</v>
      </c>
      <c r="Q301" s="90">
        <f t="shared" si="65"/>
        <v>0</v>
      </c>
      <c r="R301" s="145"/>
      <c r="S301" s="1785">
        <v>0</v>
      </c>
      <c r="T301" s="133">
        <f t="shared" si="66"/>
        <v>0</v>
      </c>
      <c r="U301" s="177">
        <f t="shared" si="67"/>
        <v>1.4936180092078701E-3</v>
      </c>
      <c r="V301" s="90">
        <f t="shared" si="68"/>
        <v>0</v>
      </c>
      <c r="W301" s="145"/>
    </row>
    <row r="302" spans="1:23">
      <c r="A302" s="119">
        <f t="shared" si="60"/>
        <v>11</v>
      </c>
      <c r="D302" s="88"/>
      <c r="E302" s="88"/>
      <c r="F302" s="88"/>
      <c r="G302" s="88" t="s">
        <v>1356</v>
      </c>
      <c r="H302" s="88" t="s">
        <v>675</v>
      </c>
      <c r="I302" s="1785">
        <v>0</v>
      </c>
      <c r="J302" s="133">
        <f t="shared" si="61"/>
        <v>0</v>
      </c>
      <c r="K302" s="177">
        <f t="shared" si="62"/>
        <v>1.4936180092078701E-3</v>
      </c>
      <c r="L302" s="90">
        <f t="shared" si="69"/>
        <v>0</v>
      </c>
      <c r="M302" s="145"/>
      <c r="N302" s="1785">
        <v>0</v>
      </c>
      <c r="O302" s="133">
        <f t="shared" si="63"/>
        <v>0</v>
      </c>
      <c r="P302" s="177">
        <f t="shared" si="64"/>
        <v>1.4936180092078701E-3</v>
      </c>
      <c r="Q302" s="90">
        <f t="shared" si="65"/>
        <v>0</v>
      </c>
      <c r="R302" s="145"/>
      <c r="S302" s="1785">
        <v>0</v>
      </c>
      <c r="T302" s="133">
        <f t="shared" si="66"/>
        <v>0</v>
      </c>
      <c r="U302" s="177">
        <f t="shared" si="67"/>
        <v>1.4936180092078701E-3</v>
      </c>
      <c r="V302" s="90">
        <f t="shared" si="68"/>
        <v>0</v>
      </c>
      <c r="W302" s="145"/>
    </row>
    <row r="303" spans="1:23">
      <c r="A303" s="119">
        <f t="shared" si="60"/>
        <v>12</v>
      </c>
      <c r="D303" s="88"/>
      <c r="E303" s="88"/>
      <c r="F303" s="88"/>
      <c r="G303" s="88" t="s">
        <v>1356</v>
      </c>
      <c r="H303" s="88" t="s">
        <v>1360</v>
      </c>
      <c r="I303" s="1785">
        <v>0</v>
      </c>
      <c r="J303" s="133">
        <f t="shared" si="61"/>
        <v>0</v>
      </c>
      <c r="K303" s="177">
        <f t="shared" si="62"/>
        <v>1.4936180092078701E-3</v>
      </c>
      <c r="L303" s="90">
        <f t="shared" si="69"/>
        <v>0</v>
      </c>
      <c r="M303" s="145"/>
      <c r="N303" s="1785">
        <v>0</v>
      </c>
      <c r="O303" s="133">
        <f t="shared" si="63"/>
        <v>0</v>
      </c>
      <c r="P303" s="177">
        <f t="shared" si="64"/>
        <v>1.4936180092078701E-3</v>
      </c>
      <c r="Q303" s="90">
        <f t="shared" si="65"/>
        <v>0</v>
      </c>
      <c r="R303" s="145"/>
      <c r="S303" s="1785">
        <v>0</v>
      </c>
      <c r="T303" s="133">
        <f t="shared" si="66"/>
        <v>0</v>
      </c>
      <c r="U303" s="177">
        <f t="shared" si="67"/>
        <v>1.4936180092078701E-3</v>
      </c>
      <c r="V303" s="90">
        <f t="shared" si="68"/>
        <v>0</v>
      </c>
      <c r="W303" s="145"/>
    </row>
    <row r="304" spans="1:23">
      <c r="A304" s="119">
        <f t="shared" si="60"/>
        <v>13</v>
      </c>
      <c r="D304" s="88"/>
      <c r="E304" s="88"/>
      <c r="F304" s="88"/>
      <c r="G304" s="88" t="s">
        <v>1356</v>
      </c>
      <c r="H304" s="88" t="s">
        <v>1361</v>
      </c>
      <c r="I304" s="1785">
        <v>0</v>
      </c>
      <c r="J304" s="133">
        <f t="shared" si="61"/>
        <v>0</v>
      </c>
      <c r="K304" s="177">
        <f t="shared" si="62"/>
        <v>1.4936180092078701E-3</v>
      </c>
      <c r="L304" s="90">
        <f t="shared" si="69"/>
        <v>0</v>
      </c>
      <c r="M304" s="145"/>
      <c r="N304" s="1785">
        <v>0</v>
      </c>
      <c r="O304" s="133">
        <f t="shared" si="63"/>
        <v>0</v>
      </c>
      <c r="P304" s="177">
        <f t="shared" si="64"/>
        <v>1.4936180092078701E-3</v>
      </c>
      <c r="Q304" s="90">
        <f t="shared" si="65"/>
        <v>0</v>
      </c>
      <c r="R304" s="145"/>
      <c r="S304" s="1785">
        <v>0</v>
      </c>
      <c r="T304" s="133">
        <f t="shared" si="66"/>
        <v>0</v>
      </c>
      <c r="U304" s="177">
        <f t="shared" si="67"/>
        <v>1.4936180092078701E-3</v>
      </c>
      <c r="V304" s="90">
        <f t="shared" si="68"/>
        <v>0</v>
      </c>
      <c r="W304" s="145"/>
    </row>
    <row r="305" spans="1:23">
      <c r="A305" s="119">
        <f t="shared" si="60"/>
        <v>14</v>
      </c>
      <c r="D305" s="88"/>
      <c r="E305" s="88"/>
      <c r="F305" s="88"/>
      <c r="G305" s="88" t="s">
        <v>1356</v>
      </c>
      <c r="H305" s="88" t="s">
        <v>1362</v>
      </c>
      <c r="I305" s="1785">
        <v>0</v>
      </c>
      <c r="J305" s="133">
        <f t="shared" si="61"/>
        <v>0</v>
      </c>
      <c r="K305" s="177">
        <f t="shared" si="62"/>
        <v>1.4936180092078701E-3</v>
      </c>
      <c r="L305" s="90">
        <f t="shared" si="69"/>
        <v>0</v>
      </c>
      <c r="M305" s="145"/>
      <c r="N305" s="1785">
        <v>0</v>
      </c>
      <c r="O305" s="133">
        <f t="shared" si="63"/>
        <v>0</v>
      </c>
      <c r="P305" s="177">
        <f t="shared" si="64"/>
        <v>1.4936180092078701E-3</v>
      </c>
      <c r="Q305" s="90">
        <f t="shared" si="65"/>
        <v>0</v>
      </c>
      <c r="R305" s="145"/>
      <c r="S305" s="1785">
        <v>0</v>
      </c>
      <c r="T305" s="133">
        <f t="shared" si="66"/>
        <v>0</v>
      </c>
      <c r="U305" s="177">
        <f t="shared" si="67"/>
        <v>1.4936180092078701E-3</v>
      </c>
      <c r="V305" s="90">
        <f t="shared" si="68"/>
        <v>0</v>
      </c>
      <c r="W305" s="145"/>
    </row>
    <row r="306" spans="1:23">
      <c r="A306" s="119">
        <f t="shared" si="60"/>
        <v>15</v>
      </c>
      <c r="D306" s="88"/>
      <c r="E306" s="88"/>
      <c r="F306" s="88"/>
      <c r="G306" s="88" t="s">
        <v>1356</v>
      </c>
      <c r="H306" s="88" t="s">
        <v>676</v>
      </c>
      <c r="I306" s="1785">
        <v>0</v>
      </c>
      <c r="J306" s="133">
        <f t="shared" si="61"/>
        <v>0</v>
      </c>
      <c r="K306" s="177">
        <f t="shared" si="62"/>
        <v>1.4936180092078701E-3</v>
      </c>
      <c r="L306" s="90">
        <f t="shared" si="69"/>
        <v>0</v>
      </c>
      <c r="M306" s="145"/>
      <c r="N306" s="1785">
        <v>0</v>
      </c>
      <c r="O306" s="133">
        <f t="shared" si="63"/>
        <v>0</v>
      </c>
      <c r="P306" s="177">
        <f t="shared" si="64"/>
        <v>1.4936180092078701E-3</v>
      </c>
      <c r="Q306" s="90">
        <f t="shared" si="65"/>
        <v>0</v>
      </c>
      <c r="R306" s="145"/>
      <c r="S306" s="1785">
        <v>0</v>
      </c>
      <c r="T306" s="133">
        <f t="shared" si="66"/>
        <v>0</v>
      </c>
      <c r="U306" s="177">
        <f t="shared" si="67"/>
        <v>1.4936180092078701E-3</v>
      </c>
      <c r="V306" s="90">
        <f t="shared" si="68"/>
        <v>0</v>
      </c>
      <c r="W306" s="145"/>
    </row>
    <row r="307" spans="1:23">
      <c r="A307" s="119">
        <f t="shared" si="60"/>
        <v>16</v>
      </c>
      <c r="D307" s="88"/>
      <c r="E307" s="88"/>
      <c r="F307" s="88"/>
      <c r="G307" s="88" t="s">
        <v>1356</v>
      </c>
      <c r="H307" s="88" t="s">
        <v>1363</v>
      </c>
      <c r="I307" s="1785">
        <v>0</v>
      </c>
      <c r="J307" s="133">
        <f t="shared" si="61"/>
        <v>0</v>
      </c>
      <c r="K307" s="177">
        <f t="shared" si="62"/>
        <v>1.4936180092078701E-3</v>
      </c>
      <c r="L307" s="90">
        <f t="shared" si="69"/>
        <v>0</v>
      </c>
      <c r="M307" s="145"/>
      <c r="N307" s="1785">
        <v>0</v>
      </c>
      <c r="O307" s="133">
        <f t="shared" si="63"/>
        <v>0</v>
      </c>
      <c r="P307" s="177">
        <f t="shared" si="64"/>
        <v>1.4936180092078701E-3</v>
      </c>
      <c r="Q307" s="90">
        <f t="shared" si="65"/>
        <v>0</v>
      </c>
      <c r="R307" s="145"/>
      <c r="S307" s="1785">
        <v>0</v>
      </c>
      <c r="T307" s="133">
        <f t="shared" si="66"/>
        <v>0</v>
      </c>
      <c r="U307" s="177">
        <f t="shared" si="67"/>
        <v>1.4936180092078701E-3</v>
      </c>
      <c r="V307" s="90">
        <f t="shared" si="68"/>
        <v>0</v>
      </c>
      <c r="W307" s="145"/>
    </row>
    <row r="308" spans="1:23">
      <c r="A308" s="119">
        <f t="shared" si="60"/>
        <v>17</v>
      </c>
      <c r="D308" s="88"/>
      <c r="E308" s="88"/>
      <c r="F308" s="88"/>
      <c r="G308" s="88" t="s">
        <v>1356</v>
      </c>
      <c r="H308" s="88" t="s">
        <v>1355</v>
      </c>
      <c r="I308" s="1785">
        <v>0</v>
      </c>
      <c r="J308" s="133">
        <f t="shared" si="61"/>
        <v>0</v>
      </c>
      <c r="K308" s="177">
        <f t="shared" si="62"/>
        <v>1.4936180092078701E-3</v>
      </c>
      <c r="L308" s="363">
        <f>+K308*J307</f>
        <v>0</v>
      </c>
      <c r="M308" s="145"/>
      <c r="N308" s="1785">
        <v>0</v>
      </c>
      <c r="O308" s="133">
        <f t="shared" si="63"/>
        <v>0</v>
      </c>
      <c r="P308" s="177">
        <f t="shared" si="64"/>
        <v>1.4936180092078701E-3</v>
      </c>
      <c r="Q308" s="363">
        <f>+P308*O307</f>
        <v>0</v>
      </c>
      <c r="R308" s="145"/>
      <c r="S308" s="1785">
        <v>0</v>
      </c>
      <c r="T308" s="133">
        <f t="shared" si="66"/>
        <v>0</v>
      </c>
      <c r="U308" s="177">
        <f t="shared" si="67"/>
        <v>1.4936180092078701E-3</v>
      </c>
      <c r="V308" s="363">
        <f>+U308*T307</f>
        <v>0</v>
      </c>
      <c r="W308" s="145"/>
    </row>
    <row r="309" spans="1:23">
      <c r="A309" s="119">
        <f t="shared" si="60"/>
        <v>18</v>
      </c>
      <c r="D309" s="88"/>
      <c r="E309" s="88"/>
      <c r="F309" s="88"/>
      <c r="G309" s="88"/>
      <c r="H309" s="88"/>
      <c r="I309" s="134"/>
      <c r="J309" s="1765"/>
      <c r="K309" s="135" t="str">
        <f>"Sum lines "&amp;$A297&amp;" - "&amp;$A308&amp;""</f>
        <v>Sum lines 6 - 17</v>
      </c>
      <c r="L309" s="90">
        <f>SUM(L297:L308)</f>
        <v>0</v>
      </c>
      <c r="M309" s="145"/>
      <c r="N309" s="134"/>
      <c r="O309" s="1765"/>
      <c r="P309" s="135" t="str">
        <f>"Sum lines "&amp;$A297&amp;" - "&amp;$A308&amp;""</f>
        <v>Sum lines 6 - 17</v>
      </c>
      <c r="Q309" s="90">
        <f>SUM(Q297:Q308)</f>
        <v>0</v>
      </c>
      <c r="R309" s="145"/>
      <c r="S309" s="134"/>
      <c r="T309" s="1765"/>
      <c r="U309" s="135" t="str">
        <f>"Sum lines "&amp;$A297&amp;" - "&amp;$A308&amp;""</f>
        <v>Sum lines 6 - 17</v>
      </c>
      <c r="V309" s="90">
        <f>SUM(V297:V308)</f>
        <v>0</v>
      </c>
      <c r="W309" s="145"/>
    </row>
    <row r="310" spans="1:23">
      <c r="A310" s="119">
        <f t="shared" si="60"/>
        <v>19</v>
      </c>
      <c r="D310" s="2211" t="s">
        <v>54</v>
      </c>
      <c r="E310" s="2211"/>
      <c r="F310" s="2211"/>
      <c r="G310" s="2211"/>
      <c r="H310" s="88"/>
      <c r="I310" s="134"/>
      <c r="J310" s="1782" t="s">
        <v>1512</v>
      </c>
      <c r="K310" s="922">
        <v>0</v>
      </c>
      <c r="L310" s="433"/>
      <c r="M310" s="980"/>
      <c r="N310" s="134"/>
      <c r="O310" s="1782" t="s">
        <v>1512</v>
      </c>
      <c r="P310" s="922">
        <v>0</v>
      </c>
      <c r="Q310" s="433"/>
      <c r="R310" s="980"/>
      <c r="S310" s="134"/>
      <c r="T310" s="1782" t="s">
        <v>1512</v>
      </c>
      <c r="U310" s="922">
        <v>0</v>
      </c>
      <c r="V310" s="433"/>
      <c r="W310" s="980"/>
    </row>
    <row r="311" spans="1:23">
      <c r="A311" s="119">
        <f t="shared" si="60"/>
        <v>20</v>
      </c>
      <c r="B311" s="141" t="s">
        <v>394</v>
      </c>
      <c r="C311" s="924" t="s">
        <v>137</v>
      </c>
      <c r="D311" s="1783" t="s">
        <v>1045</v>
      </c>
      <c r="E311" s="1783" t="s">
        <v>62</v>
      </c>
      <c r="F311" s="1783" t="s">
        <v>265</v>
      </c>
      <c r="G311" s="1783" t="s">
        <v>630</v>
      </c>
      <c r="H311" s="1783" t="s">
        <v>394</v>
      </c>
      <c r="I311" s="1784" t="s">
        <v>137</v>
      </c>
      <c r="J311" s="1784" t="s">
        <v>1045</v>
      </c>
      <c r="K311" s="1784" t="s">
        <v>634</v>
      </c>
      <c r="L311" s="1784" t="s">
        <v>265</v>
      </c>
      <c r="M311" s="1784" t="s">
        <v>630</v>
      </c>
      <c r="N311" s="1784" t="s">
        <v>137</v>
      </c>
      <c r="O311" s="1784" t="s">
        <v>1045</v>
      </c>
      <c r="P311" s="1784" t="s">
        <v>634</v>
      </c>
      <c r="Q311" s="1784" t="s">
        <v>265</v>
      </c>
      <c r="R311" s="1784" t="s">
        <v>630</v>
      </c>
      <c r="S311" s="1784" t="s">
        <v>137</v>
      </c>
      <c r="T311" s="1784" t="s">
        <v>1045</v>
      </c>
      <c r="U311" s="1784" t="s">
        <v>634</v>
      </c>
      <c r="V311" s="1784" t="s">
        <v>265</v>
      </c>
      <c r="W311" s="1784" t="s">
        <v>630</v>
      </c>
    </row>
    <row r="312" spans="1:23">
      <c r="A312" s="119">
        <f t="shared" si="60"/>
        <v>21</v>
      </c>
      <c r="D312" s="88"/>
      <c r="E312" s="88"/>
      <c r="F312" s="88"/>
      <c r="G312" s="88"/>
      <c r="H312" s="88"/>
      <c r="I312" s="134"/>
      <c r="J312" s="1550"/>
      <c r="K312" s="1550"/>
      <c r="L312" s="1550"/>
      <c r="M312" s="526"/>
      <c r="N312" s="134"/>
      <c r="O312" s="1550"/>
      <c r="P312" s="1550"/>
      <c r="Q312" s="1550"/>
      <c r="R312" s="526"/>
      <c r="S312" s="134"/>
      <c r="T312" s="1550"/>
      <c r="U312" s="1550"/>
      <c r="V312" s="1550"/>
      <c r="W312" s="526"/>
    </row>
    <row r="313" spans="1:23">
      <c r="A313" s="119">
        <f t="shared" si="60"/>
        <v>22</v>
      </c>
      <c r="B313" s="127">
        <v>2008</v>
      </c>
      <c r="C313" s="925">
        <f>I313+N313+S313</f>
        <v>0</v>
      </c>
      <c r="D313" s="1001">
        <f>+J313+O313+T313</f>
        <v>0</v>
      </c>
      <c r="E313" s="1001">
        <f>+K313+P313+U313</f>
        <v>0</v>
      </c>
      <c r="F313" s="1001">
        <f>+L313+Q313+V313</f>
        <v>0</v>
      </c>
      <c r="G313" s="1001">
        <f>+M313+R313+W313</f>
        <v>0</v>
      </c>
      <c r="H313" s="139">
        <f t="shared" ref="H313:H335" si="70">+B313</f>
        <v>2008</v>
      </c>
      <c r="I313" s="168">
        <f>SUM(I296:I308)/13</f>
        <v>0</v>
      </c>
      <c r="J313" s="168">
        <f>SUM(J296:J308)/13</f>
        <v>0</v>
      </c>
      <c r="K313" s="1786">
        <f>K310+SUM(L297*12,L298*11,L299*10,L300*9,L301*8,L302*7,L303*6,L304*5,L305*4,L306*3,L307*2,L308)/13</f>
        <v>0</v>
      </c>
      <c r="L313" s="90">
        <f>+J313-K313</f>
        <v>0</v>
      </c>
      <c r="M313" s="171">
        <f>ROUND($L313*M293*(1+M294),2)</f>
        <v>0</v>
      </c>
      <c r="N313" s="168">
        <f>SUM(N296:N308)/13</f>
        <v>0</v>
      </c>
      <c r="O313" s="168">
        <f>SUM(O296:O308)/13</f>
        <v>0</v>
      </c>
      <c r="P313" s="1786">
        <f>P310+SUM(Q297*12,Q298*11,Q299*10,Q300*9,Q301*8,Q302*7,Q303*6,Q304*5,Q305*4,Q306*3,Q307*2,Q308)/13</f>
        <v>0</v>
      </c>
      <c r="Q313" s="90">
        <f>+O313-P313</f>
        <v>0</v>
      </c>
      <c r="R313" s="171">
        <f>ROUND($L313*R293*(1+R294),2)</f>
        <v>0</v>
      </c>
      <c r="S313" s="168">
        <f>SUM(S296:S308)/13</f>
        <v>0</v>
      </c>
      <c r="T313" s="168">
        <f>SUM(T296:T308)/13</f>
        <v>0</v>
      </c>
      <c r="U313" s="1786">
        <f>U310+SUM(V297*12,V298*11,V299*10,V300*9,V301*8,V302*7,V303*6,V304*5,V305*4,V306*3,V307*2,V308)/13</f>
        <v>0</v>
      </c>
      <c r="V313" s="90">
        <f>+T313-U313</f>
        <v>0</v>
      </c>
      <c r="W313" s="171">
        <f>ROUND($L313*W293*(1+W294),2)</f>
        <v>0</v>
      </c>
    </row>
    <row r="314" spans="1:23">
      <c r="A314" s="119">
        <f t="shared" si="60"/>
        <v>23</v>
      </c>
      <c r="B314" s="127">
        <f>+B313+1</f>
        <v>2009</v>
      </c>
      <c r="C314" s="925"/>
      <c r="D314" s="773"/>
      <c r="E314" s="773"/>
      <c r="F314" s="773"/>
      <c r="G314" s="773"/>
      <c r="H314" s="139">
        <f t="shared" si="70"/>
        <v>2009</v>
      </c>
      <c r="I314" s="168"/>
      <c r="J314" s="799"/>
      <c r="K314" s="90"/>
      <c r="L314" s="132"/>
      <c r="M314" s="171"/>
      <c r="N314" s="168"/>
      <c r="O314" s="799"/>
      <c r="P314" s="90"/>
      <c r="Q314" s="132"/>
      <c r="R314" s="171"/>
      <c r="S314" s="168"/>
      <c r="T314" s="799"/>
      <c r="U314" s="90"/>
      <c r="V314" s="132"/>
      <c r="W314" s="171"/>
    </row>
    <row r="315" spans="1:23">
      <c r="A315" s="119">
        <f t="shared" si="60"/>
        <v>24</v>
      </c>
      <c r="B315" s="127">
        <f>+B314+1</f>
        <v>2010</v>
      </c>
      <c r="C315" s="127"/>
      <c r="D315" s="140"/>
      <c r="E315" s="140"/>
      <c r="F315" s="140"/>
      <c r="G315" s="140"/>
      <c r="H315" s="139">
        <f t="shared" si="70"/>
        <v>2010</v>
      </c>
      <c r="I315" s="168"/>
      <c r="J315" s="799"/>
      <c r="K315" s="90"/>
      <c r="L315" s="132"/>
      <c r="M315" s="149"/>
      <c r="N315" s="168"/>
      <c r="O315" s="799"/>
      <c r="P315" s="90"/>
      <c r="Q315" s="132"/>
      <c r="R315" s="149"/>
      <c r="S315" s="168"/>
      <c r="T315" s="799"/>
      <c r="U315" s="90"/>
      <c r="V315" s="132"/>
      <c r="W315" s="149"/>
    </row>
    <row r="316" spans="1:23">
      <c r="A316" s="119">
        <f t="shared" si="60"/>
        <v>25</v>
      </c>
      <c r="B316" s="127">
        <f>+B315+1</f>
        <v>2011</v>
      </c>
      <c r="C316" s="127"/>
      <c r="H316" s="139">
        <f t="shared" si="70"/>
        <v>2011</v>
      </c>
      <c r="I316" s="168"/>
      <c r="J316" s="799"/>
      <c r="K316" s="90"/>
      <c r="L316" s="132"/>
      <c r="M316" s="149"/>
      <c r="N316" s="168"/>
      <c r="O316" s="799"/>
      <c r="P316" s="90"/>
      <c r="Q316" s="132"/>
      <c r="R316" s="149"/>
      <c r="S316" s="168"/>
      <c r="T316" s="799"/>
      <c r="U316" s="90"/>
      <c r="V316" s="132"/>
      <c r="W316" s="149"/>
    </row>
    <row r="317" spans="1:23">
      <c r="A317" s="119">
        <f t="shared" si="60"/>
        <v>26</v>
      </c>
      <c r="B317" s="127">
        <f>+B316+1</f>
        <v>2012</v>
      </c>
      <c r="C317" s="127"/>
      <c r="H317" s="139">
        <f t="shared" si="70"/>
        <v>2012</v>
      </c>
      <c r="I317" s="168"/>
      <c r="J317" s="799"/>
      <c r="K317" s="90"/>
      <c r="L317" s="132"/>
      <c r="M317" s="149"/>
      <c r="N317" s="168"/>
      <c r="O317" s="799"/>
      <c r="P317" s="90"/>
      <c r="Q317" s="132"/>
      <c r="R317" s="149"/>
      <c r="S317" s="168"/>
      <c r="T317" s="799"/>
      <c r="U317" s="90"/>
      <c r="V317" s="132"/>
      <c r="W317" s="149"/>
    </row>
    <row r="318" spans="1:23">
      <c r="A318" s="119">
        <f t="shared" si="60"/>
        <v>27</v>
      </c>
      <c r="B318" s="127">
        <f t="shared" ref="B318:B335" si="71">+B317+1</f>
        <v>2013</v>
      </c>
      <c r="C318" s="127"/>
      <c r="H318" s="139">
        <f t="shared" si="70"/>
        <v>2013</v>
      </c>
      <c r="I318" s="168"/>
      <c r="J318" s="799"/>
      <c r="K318" s="90"/>
      <c r="L318" s="132"/>
      <c r="M318" s="149"/>
      <c r="N318" s="168"/>
      <c r="O318" s="799"/>
      <c r="P318" s="90"/>
      <c r="Q318" s="132"/>
      <c r="R318" s="149"/>
      <c r="S318" s="168"/>
      <c r="T318" s="799"/>
      <c r="U318" s="90"/>
      <c r="V318" s="132"/>
      <c r="W318" s="149"/>
    </row>
    <row r="319" spans="1:23">
      <c r="A319" s="119">
        <f t="shared" si="60"/>
        <v>28</v>
      </c>
      <c r="B319" s="127">
        <f t="shared" si="71"/>
        <v>2014</v>
      </c>
      <c r="C319" s="127"/>
      <c r="H319" s="139">
        <f t="shared" si="70"/>
        <v>2014</v>
      </c>
      <c r="I319" s="168"/>
      <c r="J319" s="799"/>
      <c r="K319" s="90"/>
      <c r="L319" s="132"/>
      <c r="M319" s="149"/>
      <c r="N319" s="168"/>
      <c r="O319" s="799"/>
      <c r="P319" s="90"/>
      <c r="Q319" s="132"/>
      <c r="R319" s="149"/>
      <c r="S319" s="168"/>
      <c r="T319" s="799"/>
      <c r="U319" s="90"/>
      <c r="V319" s="132"/>
      <c r="W319" s="149"/>
    </row>
    <row r="320" spans="1:23">
      <c r="A320" s="119">
        <f t="shared" si="60"/>
        <v>29</v>
      </c>
      <c r="B320" s="127">
        <f t="shared" si="71"/>
        <v>2015</v>
      </c>
      <c r="C320" s="127"/>
      <c r="H320" s="139">
        <f t="shared" si="70"/>
        <v>2015</v>
      </c>
      <c r="I320" s="168"/>
      <c r="J320" s="799"/>
      <c r="K320" s="90"/>
      <c r="L320" s="132"/>
      <c r="M320" s="149"/>
      <c r="N320" s="168"/>
      <c r="O320" s="799"/>
      <c r="P320" s="90"/>
      <c r="Q320" s="132"/>
      <c r="R320" s="149"/>
      <c r="S320" s="168"/>
      <c r="T320" s="799"/>
      <c r="U320" s="90"/>
      <c r="V320" s="132"/>
      <c r="W320" s="149"/>
    </row>
    <row r="321" spans="1:23">
      <c r="A321" s="119">
        <f t="shared" si="60"/>
        <v>30</v>
      </c>
      <c r="B321" s="127">
        <f t="shared" si="71"/>
        <v>2016</v>
      </c>
      <c r="C321" s="127"/>
      <c r="H321" s="139">
        <f t="shared" si="70"/>
        <v>2016</v>
      </c>
      <c r="I321" s="168"/>
      <c r="J321" s="799"/>
      <c r="K321" s="90"/>
      <c r="L321" s="132"/>
      <c r="M321" s="149"/>
      <c r="N321" s="168"/>
      <c r="O321" s="799"/>
      <c r="P321" s="90"/>
      <c r="Q321" s="132"/>
      <c r="R321" s="149"/>
      <c r="S321" s="168"/>
      <c r="T321" s="799"/>
      <c r="U321" s="90"/>
      <c r="V321" s="132"/>
      <c r="W321" s="149"/>
    </row>
    <row r="322" spans="1:23">
      <c r="A322" s="119">
        <f t="shared" si="60"/>
        <v>31</v>
      </c>
      <c r="B322" s="127">
        <f t="shared" si="71"/>
        <v>2017</v>
      </c>
      <c r="C322" s="127"/>
      <c r="H322" s="139">
        <f t="shared" si="70"/>
        <v>2017</v>
      </c>
      <c r="I322" s="168"/>
      <c r="J322" s="799"/>
      <c r="K322" s="90"/>
      <c r="L322" s="132"/>
      <c r="M322" s="149"/>
      <c r="N322" s="168"/>
      <c r="O322" s="799"/>
      <c r="P322" s="90"/>
      <c r="Q322" s="132"/>
      <c r="R322" s="149"/>
      <c r="S322" s="168"/>
      <c r="T322" s="799"/>
      <c r="U322" s="90"/>
      <c r="V322" s="132"/>
      <c r="W322" s="149"/>
    </row>
    <row r="323" spans="1:23">
      <c r="A323" s="119">
        <f t="shared" si="60"/>
        <v>32</v>
      </c>
      <c r="B323" s="127">
        <f t="shared" si="71"/>
        <v>2018</v>
      </c>
      <c r="C323" s="127"/>
      <c r="H323" s="139">
        <f t="shared" si="70"/>
        <v>2018</v>
      </c>
      <c r="I323" s="168"/>
      <c r="J323" s="799"/>
      <c r="K323" s="90"/>
      <c r="L323" s="132"/>
      <c r="M323" s="149"/>
      <c r="N323" s="168"/>
      <c r="O323" s="799"/>
      <c r="P323" s="90"/>
      <c r="Q323" s="132"/>
      <c r="R323" s="149"/>
      <c r="S323" s="168"/>
      <c r="T323" s="799"/>
      <c r="U323" s="90"/>
      <c r="V323" s="132"/>
      <c r="W323" s="149"/>
    </row>
    <row r="324" spans="1:23">
      <c r="A324" s="119">
        <f t="shared" si="60"/>
        <v>33</v>
      </c>
      <c r="B324" s="127">
        <f t="shared" si="71"/>
        <v>2019</v>
      </c>
      <c r="C324" s="127"/>
      <c r="H324" s="139">
        <f t="shared" si="70"/>
        <v>2019</v>
      </c>
      <c r="I324" s="168"/>
      <c r="J324" s="799"/>
      <c r="K324" s="90"/>
      <c r="L324" s="132"/>
      <c r="M324" s="149"/>
      <c r="N324" s="168"/>
      <c r="O324" s="799"/>
      <c r="P324" s="90"/>
      <c r="Q324" s="132"/>
      <c r="R324" s="149"/>
      <c r="S324" s="168"/>
      <c r="T324" s="799"/>
      <c r="U324" s="90"/>
      <c r="V324" s="132"/>
      <c r="W324" s="149"/>
    </row>
    <row r="325" spans="1:23">
      <c r="A325" s="119">
        <f t="shared" si="60"/>
        <v>34</v>
      </c>
      <c r="B325" s="127">
        <f t="shared" si="71"/>
        <v>2020</v>
      </c>
      <c r="C325" s="127"/>
      <c r="H325" s="139">
        <f t="shared" si="70"/>
        <v>2020</v>
      </c>
      <c r="I325" s="168"/>
      <c r="J325" s="799"/>
      <c r="K325" s="90"/>
      <c r="L325" s="132"/>
      <c r="M325" s="149"/>
      <c r="N325" s="168"/>
      <c r="O325" s="799"/>
      <c r="P325" s="90"/>
      <c r="Q325" s="132"/>
      <c r="R325" s="149"/>
      <c r="S325" s="168"/>
      <c r="T325" s="799"/>
      <c r="U325" s="90"/>
      <c r="V325" s="132"/>
      <c r="W325" s="149"/>
    </row>
    <row r="326" spans="1:23">
      <c r="A326" s="119">
        <f t="shared" si="60"/>
        <v>35</v>
      </c>
      <c r="B326" s="127">
        <f t="shared" si="71"/>
        <v>2021</v>
      </c>
      <c r="C326" s="127"/>
      <c r="H326" s="139">
        <f t="shared" si="70"/>
        <v>2021</v>
      </c>
      <c r="I326" s="168"/>
      <c r="J326" s="799"/>
      <c r="K326" s="90"/>
      <c r="L326" s="132"/>
      <c r="M326" s="149"/>
      <c r="N326" s="168"/>
      <c r="O326" s="799"/>
      <c r="P326" s="90"/>
      <c r="Q326" s="132"/>
      <c r="R326" s="149"/>
      <c r="S326" s="168"/>
      <c r="T326" s="799"/>
      <c r="U326" s="90"/>
      <c r="V326" s="132"/>
      <c r="W326" s="149"/>
    </row>
    <row r="327" spans="1:23">
      <c r="A327" s="119">
        <f t="shared" si="60"/>
        <v>36</v>
      </c>
      <c r="B327" s="127">
        <f t="shared" si="71"/>
        <v>2022</v>
      </c>
      <c r="C327" s="127"/>
      <c r="H327" s="139">
        <f t="shared" si="70"/>
        <v>2022</v>
      </c>
      <c r="I327" s="168"/>
      <c r="J327" s="799"/>
      <c r="K327" s="90"/>
      <c r="L327" s="132"/>
      <c r="M327" s="149"/>
      <c r="N327" s="168"/>
      <c r="O327" s="799"/>
      <c r="P327" s="90"/>
      <c r="Q327" s="132"/>
      <c r="R327" s="149"/>
      <c r="S327" s="168"/>
      <c r="T327" s="799"/>
      <c r="U327" s="90"/>
      <c r="V327" s="132"/>
      <c r="W327" s="149"/>
    </row>
    <row r="328" spans="1:23">
      <c r="A328" s="119">
        <f t="shared" si="60"/>
        <v>37</v>
      </c>
      <c r="B328" s="127">
        <f t="shared" si="71"/>
        <v>2023</v>
      </c>
      <c r="C328" s="127"/>
      <c r="H328" s="139">
        <f t="shared" si="70"/>
        <v>2023</v>
      </c>
      <c r="I328" s="168"/>
      <c r="J328" s="799"/>
      <c r="K328" s="90"/>
      <c r="L328" s="132"/>
      <c r="M328" s="149"/>
      <c r="N328" s="168"/>
      <c r="O328" s="799"/>
      <c r="P328" s="90"/>
      <c r="Q328" s="132"/>
      <c r="R328" s="149"/>
      <c r="S328" s="168"/>
      <c r="T328" s="799"/>
      <c r="U328" s="90"/>
      <c r="V328" s="132"/>
      <c r="W328" s="149"/>
    </row>
    <row r="329" spans="1:23">
      <c r="A329" s="119">
        <f t="shared" si="60"/>
        <v>38</v>
      </c>
      <c r="B329" s="127">
        <f t="shared" si="71"/>
        <v>2024</v>
      </c>
      <c r="C329" s="127"/>
      <c r="H329" s="139">
        <f t="shared" si="70"/>
        <v>2024</v>
      </c>
      <c r="I329" s="168"/>
      <c r="J329" s="799"/>
      <c r="K329" s="90"/>
      <c r="L329" s="132"/>
      <c r="M329" s="149"/>
      <c r="N329" s="168"/>
      <c r="O329" s="799"/>
      <c r="P329" s="90"/>
      <c r="Q329" s="132"/>
      <c r="R329" s="149"/>
      <c r="S329" s="168"/>
      <c r="T329" s="799"/>
      <c r="U329" s="90"/>
      <c r="V329" s="132"/>
      <c r="W329" s="149"/>
    </row>
    <row r="330" spans="1:23">
      <c r="A330" s="119">
        <f t="shared" si="60"/>
        <v>39</v>
      </c>
      <c r="B330" s="127">
        <f t="shared" si="71"/>
        <v>2025</v>
      </c>
      <c r="C330" s="127"/>
      <c r="H330" s="139">
        <f t="shared" si="70"/>
        <v>2025</v>
      </c>
      <c r="I330" s="168"/>
      <c r="J330" s="799"/>
      <c r="K330" s="90"/>
      <c r="L330" s="132"/>
      <c r="M330" s="149"/>
      <c r="N330" s="168"/>
      <c r="O330" s="799"/>
      <c r="P330" s="90"/>
      <c r="Q330" s="132"/>
      <c r="R330" s="149"/>
      <c r="S330" s="168"/>
      <c r="T330" s="799"/>
      <c r="U330" s="90"/>
      <c r="V330" s="132"/>
      <c r="W330" s="149"/>
    </row>
    <row r="331" spans="1:23">
      <c r="A331" s="119">
        <f t="shared" si="60"/>
        <v>40</v>
      </c>
      <c r="B331" s="127">
        <f t="shared" si="71"/>
        <v>2026</v>
      </c>
      <c r="C331" s="127"/>
      <c r="H331" s="139">
        <f t="shared" si="70"/>
        <v>2026</v>
      </c>
      <c r="I331" s="168"/>
      <c r="J331" s="799"/>
      <c r="K331" s="90"/>
      <c r="L331" s="132"/>
      <c r="M331" s="149"/>
      <c r="N331" s="168"/>
      <c r="O331" s="799"/>
      <c r="P331" s="90"/>
      <c r="Q331" s="132"/>
      <c r="R331" s="149"/>
      <c r="S331" s="168"/>
      <c r="T331" s="799"/>
      <c r="U331" s="90"/>
      <c r="V331" s="132"/>
      <c r="W331" s="149"/>
    </row>
    <row r="332" spans="1:23">
      <c r="A332" s="119">
        <f t="shared" si="60"/>
        <v>41</v>
      </c>
      <c r="B332" s="127">
        <f t="shared" si="71"/>
        <v>2027</v>
      </c>
      <c r="C332" s="127"/>
      <c r="H332" s="139">
        <f t="shared" si="70"/>
        <v>2027</v>
      </c>
      <c r="I332" s="168"/>
      <c r="J332" s="799"/>
      <c r="K332" s="90"/>
      <c r="L332" s="132"/>
      <c r="M332" s="149"/>
      <c r="N332" s="168"/>
      <c r="O332" s="799"/>
      <c r="P332" s="90"/>
      <c r="Q332" s="132"/>
      <c r="R332" s="149"/>
      <c r="S332" s="168"/>
      <c r="T332" s="799"/>
      <c r="U332" s="90"/>
      <c r="V332" s="132"/>
      <c r="W332" s="149"/>
    </row>
    <row r="333" spans="1:23">
      <c r="A333" s="119">
        <f t="shared" si="60"/>
        <v>42</v>
      </c>
      <c r="B333" s="127">
        <f t="shared" si="71"/>
        <v>2028</v>
      </c>
      <c r="C333" s="127"/>
      <c r="H333" s="139">
        <f t="shared" si="70"/>
        <v>2028</v>
      </c>
      <c r="I333" s="168"/>
      <c r="J333" s="799"/>
      <c r="K333" s="90"/>
      <c r="L333" s="132"/>
      <c r="M333" s="149"/>
      <c r="N333" s="168"/>
      <c r="O333" s="799"/>
      <c r="P333" s="90"/>
      <c r="Q333" s="132"/>
      <c r="R333" s="149"/>
      <c r="S333" s="168"/>
      <c r="T333" s="799"/>
      <c r="U333" s="90"/>
      <c r="V333" s="132"/>
      <c r="W333" s="149"/>
    </row>
    <row r="334" spans="1:23">
      <c r="A334" s="119">
        <f t="shared" si="60"/>
        <v>43</v>
      </c>
      <c r="B334" s="127">
        <f t="shared" si="71"/>
        <v>2029</v>
      </c>
      <c r="C334" s="127"/>
      <c r="H334" s="139">
        <f t="shared" si="70"/>
        <v>2029</v>
      </c>
      <c r="I334" s="168"/>
      <c r="J334" s="799"/>
      <c r="K334" s="90"/>
      <c r="L334" s="90"/>
      <c r="M334" s="171"/>
      <c r="N334" s="168"/>
      <c r="O334" s="799"/>
      <c r="P334" s="90"/>
      <c r="Q334" s="132"/>
      <c r="R334" s="149"/>
      <c r="S334" s="168"/>
      <c r="T334" s="799"/>
      <c r="U334" s="90"/>
      <c r="V334" s="132"/>
      <c r="W334" s="149"/>
    </row>
    <row r="335" spans="1:23">
      <c r="A335" s="119">
        <f t="shared" si="60"/>
        <v>44</v>
      </c>
      <c r="B335" s="127">
        <f t="shared" si="71"/>
        <v>2030</v>
      </c>
      <c r="C335" s="127"/>
      <c r="H335" s="139">
        <f t="shared" si="70"/>
        <v>2030</v>
      </c>
      <c r="I335" s="927"/>
      <c r="J335" s="921"/>
      <c r="K335" s="363"/>
      <c r="L335" s="363"/>
      <c r="M335" s="929"/>
      <c r="N335" s="928"/>
      <c r="O335" s="921"/>
      <c r="P335" s="363"/>
      <c r="Q335" s="363"/>
      <c r="R335" s="929"/>
      <c r="S335" s="928"/>
      <c r="T335" s="921"/>
      <c r="U335" s="363"/>
      <c r="V335" s="138"/>
      <c r="W335" s="150"/>
    </row>
    <row r="336" spans="1:23">
      <c r="A336" s="119">
        <f t="shared" si="60"/>
        <v>45</v>
      </c>
      <c r="B336" s="127"/>
      <c r="C336" s="127"/>
      <c r="H336" s="139"/>
      <c r="I336" s="919"/>
      <c r="J336" s="155"/>
      <c r="K336" s="155"/>
      <c r="L336" s="155"/>
      <c r="M336" s="155"/>
      <c r="N336" s="155"/>
      <c r="O336" s="277"/>
      <c r="P336" s="155"/>
      <c r="Q336" s="132"/>
      <c r="R336" s="132"/>
      <c r="S336" s="132"/>
      <c r="T336" s="277"/>
      <c r="U336" s="155"/>
      <c r="V336" s="132"/>
      <c r="W336" s="132"/>
    </row>
    <row r="337" spans="1:23">
      <c r="A337" s="119">
        <f t="shared" si="60"/>
        <v>46</v>
      </c>
      <c r="I337" s="123"/>
      <c r="J337" s="123"/>
      <c r="K337" s="123"/>
      <c r="L337" s="123"/>
      <c r="M337" s="123"/>
      <c r="N337" s="123"/>
      <c r="O337" s="123"/>
      <c r="P337" s="123"/>
      <c r="Q337" s="123"/>
      <c r="R337" s="123"/>
      <c r="S337" s="123"/>
      <c r="T337" s="123"/>
      <c r="U337" s="123"/>
      <c r="V337" s="123"/>
      <c r="W337" s="123"/>
    </row>
    <row r="338" spans="1:23" ht="15.75">
      <c r="A338" s="119">
        <f t="shared" si="60"/>
        <v>47</v>
      </c>
      <c r="B338" s="74" t="s">
        <v>1206</v>
      </c>
      <c r="C338" s="74"/>
      <c r="I338" s="123"/>
      <c r="J338" s="123"/>
      <c r="K338" s="123"/>
      <c r="L338" s="123"/>
      <c r="M338" s="123"/>
      <c r="N338" s="123"/>
      <c r="O338" s="123"/>
      <c r="P338" s="123"/>
      <c r="Q338" s="123"/>
      <c r="R338" s="123"/>
      <c r="S338" s="123"/>
      <c r="T338" s="123"/>
      <c r="U338" s="123"/>
      <c r="V338" s="123"/>
      <c r="W338" s="123"/>
    </row>
    <row r="339" spans="1:23">
      <c r="I339" s="123"/>
      <c r="J339" s="123"/>
      <c r="K339" s="123"/>
      <c r="L339" s="123"/>
      <c r="M339" s="123"/>
      <c r="N339" s="123"/>
      <c r="O339" s="123"/>
      <c r="P339" s="123"/>
      <c r="Q339" s="123"/>
      <c r="R339" s="123"/>
      <c r="S339" s="123"/>
      <c r="T339" s="123"/>
      <c r="U339" s="123"/>
      <c r="V339" s="123"/>
      <c r="W339" s="123"/>
    </row>
  </sheetData>
  <customSheetViews>
    <customSheetView guid="{FAA8FFD9-C96B-4A1B-8B9E-B863FD90DDBA}" scale="70" hiddenRows="1" showRuler="0" topLeftCell="C1">
      <selection activeCell="U5" sqref="U5:U6"/>
      <rowBreaks count="3" manualBreakCount="3">
        <brk id="43" max="22" man="1"/>
        <brk id="123" max="22" man="1"/>
        <brk id="202" max="22" man="1"/>
      </rowBreaks>
      <pageMargins left="0.25" right="0" top="0.5" bottom="0.5" header="0.25" footer="0"/>
      <printOptions horizontalCentered="1" gridLines="1"/>
      <pageSetup scale="42" fitToHeight="3" orientation="landscape" r:id="rId1"/>
      <headerFooter alignWithMargins="0">
        <oddFooter xml:space="preserve">&amp;R&amp;"Arial MT,Bold"&amp;14A-9
&amp;"Arial MT,Regular"&amp;12
</oddFooter>
      </headerFooter>
    </customSheetView>
  </customSheetViews>
  <mergeCells count="21">
    <mergeCell ref="T2:U2"/>
    <mergeCell ref="S3:T3"/>
    <mergeCell ref="D261:G261"/>
    <mergeCell ref="D310:G310"/>
    <mergeCell ref="B30:F30"/>
    <mergeCell ref="B36:F36"/>
    <mergeCell ref="B42:F42"/>
    <mergeCell ref="D68:G68"/>
    <mergeCell ref="D116:G116"/>
    <mergeCell ref="D164:G164"/>
    <mergeCell ref="D211:G211"/>
    <mergeCell ref="S290:T290"/>
    <mergeCell ref="A5:J5"/>
    <mergeCell ref="B8:F8"/>
    <mergeCell ref="B14:F14"/>
    <mergeCell ref="B24:F24"/>
    <mergeCell ref="S48:T48"/>
    <mergeCell ref="S96:T96"/>
    <mergeCell ref="S144:T144"/>
    <mergeCell ref="S191:T191"/>
    <mergeCell ref="S240:T240"/>
  </mergeCells>
  <phoneticPr fontId="28" type="noConversion"/>
  <printOptions horizontalCentered="1" gridLines="1"/>
  <pageMargins left="0.5" right="0.25" top="0.5" bottom="0.5" header="0" footer="0"/>
  <pageSetup scale="50" fitToHeight="3" orientation="landscape" r:id="rId2"/>
  <headerFooter alignWithMargins="0">
    <oddFooter xml:space="preserve">&amp;R&amp;"Arial MT,Bold"&amp;14A-9
&amp;"Arial MT,Regular"&amp;12
</oddFooter>
  </headerFooter>
  <rowBreaks count="6" manualBreakCount="6">
    <brk id="47" max="22" man="1"/>
    <brk id="95" max="16383" man="1"/>
    <brk id="143" max="16383" man="1"/>
    <brk id="190" max="16383" man="1"/>
    <brk id="239" max="16383" man="1"/>
    <brk id="28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pageSetUpPr fitToPage="1"/>
  </sheetPr>
  <dimension ref="A1:J55"/>
  <sheetViews>
    <sheetView view="pageBreakPreview" zoomScale="75" zoomScaleNormal="100" zoomScaleSheetLayoutView="75" workbookViewId="0">
      <selection activeCell="B56" sqref="B56"/>
    </sheetView>
  </sheetViews>
  <sheetFormatPr defaultRowHeight="15"/>
  <cols>
    <col min="1" max="1" width="5.21875" customWidth="1"/>
    <col min="2" max="2" width="9.6640625" customWidth="1"/>
    <col min="3" max="3" width="54.33203125" customWidth="1"/>
    <col min="4" max="4" width="1.33203125" customWidth="1"/>
    <col min="5" max="5" width="11.5546875" customWidth="1"/>
    <col min="6" max="6" width="13.77734375" customWidth="1"/>
    <col min="7" max="8" width="11.5546875" bestFit="1" customWidth="1"/>
    <col min="9" max="9" width="15" style="595" customWidth="1"/>
    <col min="10" max="10" width="12.33203125" bestFit="1" customWidth="1"/>
  </cols>
  <sheetData>
    <row r="1" spans="1:10" ht="15.75">
      <c r="I1" s="1265"/>
    </row>
    <row r="2" spans="1:10" ht="15.75">
      <c r="H2" s="2193" t="s">
        <v>182</v>
      </c>
      <c r="I2" s="2193"/>
    </row>
    <row r="3" spans="1:10" ht="20.25">
      <c r="B3" s="1013" t="s">
        <v>643</v>
      </c>
      <c r="C3" s="780"/>
      <c r="D3" s="780"/>
      <c r="E3" s="780"/>
      <c r="F3" s="780"/>
      <c r="G3" s="1014"/>
      <c r="J3" s="1015"/>
    </row>
    <row r="4" spans="1:10" ht="20.25">
      <c r="B4" s="1013"/>
      <c r="C4" s="780"/>
      <c r="D4" s="780"/>
      <c r="E4" s="780"/>
      <c r="F4" s="780"/>
      <c r="G4" s="1014"/>
      <c r="I4" s="1794" t="s">
        <v>1119</v>
      </c>
      <c r="J4" s="1015"/>
    </row>
    <row r="5" spans="1:10" ht="20.25">
      <c r="B5" s="83"/>
      <c r="C5" s="2191" t="s">
        <v>67</v>
      </c>
      <c r="D5" s="2191"/>
      <c r="E5" s="2191"/>
      <c r="F5" s="2191"/>
      <c r="G5" s="2191"/>
      <c r="H5" s="2191"/>
      <c r="I5" s="2191"/>
      <c r="J5" s="1015"/>
    </row>
    <row r="6" spans="1:10" ht="20.25" customHeight="1">
      <c r="B6" s="83"/>
      <c r="C6" s="2234" t="s">
        <v>1824</v>
      </c>
      <c r="D6" s="2234"/>
      <c r="E6" s="2234"/>
      <c r="F6" s="2234"/>
      <c r="G6" s="2234"/>
      <c r="H6" s="2234"/>
      <c r="I6" s="2234"/>
      <c r="J6" s="1015"/>
    </row>
    <row r="8" spans="1:10" ht="20.25">
      <c r="A8" s="1257"/>
      <c r="B8" s="1259"/>
      <c r="C8" s="1260"/>
      <c r="D8" s="1260"/>
      <c r="E8" s="1260"/>
      <c r="F8" s="1016" t="s">
        <v>118</v>
      </c>
      <c r="G8" s="2236" t="s">
        <v>489</v>
      </c>
      <c r="H8" s="2236"/>
      <c r="I8" s="1266" t="s">
        <v>646</v>
      </c>
      <c r="J8" s="1016"/>
    </row>
    <row r="9" spans="1:10" ht="20.25">
      <c r="A9" s="1257"/>
      <c r="B9" s="1261" t="s">
        <v>1726</v>
      </c>
      <c r="C9" s="2237" t="s">
        <v>1633</v>
      </c>
      <c r="D9" s="2237"/>
      <c r="E9" s="1261"/>
      <c r="F9" s="1261" t="s">
        <v>685</v>
      </c>
      <c r="G9" s="1261" t="s">
        <v>645</v>
      </c>
      <c r="H9" s="1261" t="s">
        <v>1181</v>
      </c>
      <c r="I9" s="1267"/>
    </row>
    <row r="10" spans="1:10">
      <c r="A10" s="1263">
        <f>1</f>
        <v>1</v>
      </c>
      <c r="B10" s="230" t="s">
        <v>1104</v>
      </c>
      <c r="C10" t="s">
        <v>644</v>
      </c>
      <c r="F10" s="2055">
        <f>153155327-5868803</f>
        <v>147286524</v>
      </c>
      <c r="G10" s="29" t="s">
        <v>1425</v>
      </c>
      <c r="H10" s="1262">
        <f t="shared" ref="H10:H20" si="0">WS</f>
        <v>1.898472513614197E-2</v>
      </c>
      <c r="I10" s="595">
        <f>F10*H10</f>
        <v>2796194.1743977778</v>
      </c>
    </row>
    <row r="11" spans="1:10">
      <c r="A11" s="1263">
        <f>A10+1</f>
        <v>2</v>
      </c>
      <c r="B11" s="232" t="s">
        <v>103</v>
      </c>
      <c r="C11" s="24" t="s">
        <v>1481</v>
      </c>
      <c r="F11" s="2069">
        <v>142802</v>
      </c>
      <c r="G11" s="29" t="s">
        <v>1425</v>
      </c>
      <c r="H11" s="1262">
        <f t="shared" si="0"/>
        <v>1.898472513614197E-2</v>
      </c>
      <c r="I11" s="595">
        <f t="shared" ref="I11:I20" si="1">F11*H11</f>
        <v>2711.0567188913456</v>
      </c>
    </row>
    <row r="12" spans="1:10">
      <c r="A12" s="1263">
        <f t="shared" ref="A12:A44" si="2">A11+1</f>
        <v>3</v>
      </c>
      <c r="B12" s="232" t="s">
        <v>104</v>
      </c>
      <c r="C12" s="24" t="s">
        <v>1482</v>
      </c>
      <c r="F12" s="2069">
        <v>10999551</v>
      </c>
      <c r="G12" s="29" t="s">
        <v>1425</v>
      </c>
      <c r="H12" s="1262">
        <f t="shared" si="0"/>
        <v>1.898472513614197E-2</v>
      </c>
      <c r="I12" s="595">
        <f t="shared" si="1"/>
        <v>208823.45235597555</v>
      </c>
    </row>
    <row r="13" spans="1:10">
      <c r="A13" s="1263">
        <f t="shared" si="2"/>
        <v>4</v>
      </c>
      <c r="B13" s="1033">
        <v>335</v>
      </c>
      <c r="C13" s="24" t="s">
        <v>639</v>
      </c>
      <c r="F13" s="2069">
        <v>176195</v>
      </c>
      <c r="G13" s="29" t="s">
        <v>1425</v>
      </c>
      <c r="H13" s="1262">
        <f t="shared" si="0"/>
        <v>1.898472513614197E-2</v>
      </c>
      <c r="I13" s="595">
        <f t="shared" si="1"/>
        <v>3345.0136453625346</v>
      </c>
    </row>
    <row r="14" spans="1:10">
      <c r="A14" s="1263">
        <f t="shared" si="2"/>
        <v>5</v>
      </c>
      <c r="B14" s="1033">
        <v>335</v>
      </c>
      <c r="C14" s="24" t="s">
        <v>1483</v>
      </c>
      <c r="F14" s="2069">
        <v>1587968</v>
      </c>
      <c r="G14" s="29" t="s">
        <v>1425</v>
      </c>
      <c r="H14" s="1262">
        <f t="shared" si="0"/>
        <v>1.898472513614197E-2</v>
      </c>
      <c r="I14" s="595">
        <f t="shared" si="1"/>
        <v>30147.136004989094</v>
      </c>
    </row>
    <row r="15" spans="1:10">
      <c r="A15" s="1263">
        <f t="shared" si="2"/>
        <v>6</v>
      </c>
      <c r="B15" s="1033">
        <v>353</v>
      </c>
      <c r="C15" s="24" t="s">
        <v>640</v>
      </c>
      <c r="F15" s="2069">
        <v>4612617</v>
      </c>
      <c r="G15" s="29" t="s">
        <v>1425</v>
      </c>
      <c r="H15" s="1262">
        <f t="shared" si="0"/>
        <v>1.898472513614197E-2</v>
      </c>
      <c r="I15" s="595">
        <f t="shared" si="1"/>
        <v>87569.26590329576</v>
      </c>
    </row>
    <row r="16" spans="1:10">
      <c r="A16" s="1263">
        <f t="shared" si="2"/>
        <v>7</v>
      </c>
      <c r="B16" s="1033">
        <v>335</v>
      </c>
      <c r="C16" s="24" t="s">
        <v>641</v>
      </c>
      <c r="F16" s="2070">
        <v>1344048</v>
      </c>
      <c r="G16" s="29" t="s">
        <v>1425</v>
      </c>
      <c r="H16" s="1262">
        <f t="shared" si="0"/>
        <v>1.898472513614197E-2</v>
      </c>
      <c r="I16" s="1272">
        <f t="shared" si="1"/>
        <v>25516.381849781341</v>
      </c>
    </row>
    <row r="17" spans="1:9">
      <c r="A17" s="1263">
        <f t="shared" si="2"/>
        <v>8</v>
      </c>
      <c r="B17" s="1033"/>
      <c r="C17" s="1305" t="s">
        <v>262</v>
      </c>
      <c r="F17" s="2092">
        <f>F10-F11-F12-F13-F14-F15-F16</f>
        <v>128423343</v>
      </c>
      <c r="G17" s="1302"/>
      <c r="H17" s="1303"/>
      <c r="I17" s="1301">
        <f>I10-I11-I12-I13-I14-I15-I16</f>
        <v>2438081.8679194818</v>
      </c>
    </row>
    <row r="18" spans="1:9">
      <c r="A18" s="1263">
        <f t="shared" si="2"/>
        <v>9</v>
      </c>
      <c r="B18" s="15"/>
      <c r="C18" s="24" t="s">
        <v>966</v>
      </c>
      <c r="E18" s="1951"/>
      <c r="F18" s="2093">
        <v>8086621</v>
      </c>
      <c r="G18" s="29" t="s">
        <v>1425</v>
      </c>
      <c r="H18" s="1262">
        <f t="shared" si="0"/>
        <v>1.898472513614197E-2</v>
      </c>
      <c r="I18" s="595">
        <f>F18*H18</f>
        <v>153522.27696515352</v>
      </c>
    </row>
    <row r="19" spans="1:9">
      <c r="A19" s="1263">
        <f>A18+1</f>
        <v>10</v>
      </c>
      <c r="B19" s="15"/>
      <c r="C19" s="24" t="s">
        <v>1143</v>
      </c>
      <c r="F19" s="68">
        <v>8598615</v>
      </c>
      <c r="G19" s="29" t="s">
        <v>1425</v>
      </c>
      <c r="H19" s="1262">
        <f t="shared" si="0"/>
        <v>1.898472513614197E-2</v>
      </c>
      <c r="I19" s="595">
        <f t="shared" si="1"/>
        <v>163242.34232650738</v>
      </c>
    </row>
    <row r="20" spans="1:9">
      <c r="A20" s="1263">
        <f t="shared" si="2"/>
        <v>11</v>
      </c>
      <c r="B20" s="1033">
        <v>335</v>
      </c>
      <c r="C20" s="24" t="s">
        <v>1225</v>
      </c>
      <c r="F20" s="276">
        <v>0</v>
      </c>
      <c r="G20" s="29" t="s">
        <v>1425</v>
      </c>
      <c r="H20" s="1262">
        <f t="shared" si="0"/>
        <v>1.898472513614197E-2</v>
      </c>
      <c r="I20" s="595">
        <f t="shared" si="1"/>
        <v>0</v>
      </c>
    </row>
    <row r="21" spans="1:9">
      <c r="A21" s="1263">
        <f t="shared" si="2"/>
        <v>12</v>
      </c>
      <c r="B21" s="1033">
        <v>335</v>
      </c>
      <c r="C21" s="972" t="s">
        <v>43</v>
      </c>
      <c r="D21" s="1274"/>
      <c r="E21" s="1274"/>
      <c r="F21" s="310"/>
      <c r="G21" s="1274"/>
      <c r="H21" s="1276"/>
      <c r="I21" s="1275"/>
    </row>
    <row r="22" spans="1:9">
      <c r="A22" s="1263">
        <f t="shared" si="2"/>
        <v>13</v>
      </c>
      <c r="C22" s="972" t="s">
        <v>1684</v>
      </c>
      <c r="D22" s="1274"/>
      <c r="E22" s="1942">
        <v>0</v>
      </c>
      <c r="F22" s="310"/>
      <c r="G22" s="1274"/>
      <c r="H22" s="1276"/>
      <c r="I22" s="1275"/>
    </row>
    <row r="23" spans="1:9">
      <c r="A23" s="1263">
        <f t="shared" si="2"/>
        <v>14</v>
      </c>
      <c r="C23" s="972" t="s">
        <v>97</v>
      </c>
      <c r="D23" s="1274"/>
      <c r="E23" s="1942">
        <v>0</v>
      </c>
      <c r="F23" s="310"/>
      <c r="G23" s="1274"/>
      <c r="H23" s="1276"/>
      <c r="I23" s="1275"/>
    </row>
    <row r="24" spans="1:9">
      <c r="A24" s="1263">
        <f t="shared" si="2"/>
        <v>15</v>
      </c>
      <c r="C24" s="972" t="s">
        <v>98</v>
      </c>
      <c r="D24" s="1274"/>
      <c r="E24" s="1943">
        <v>0</v>
      </c>
      <c r="F24" s="310"/>
      <c r="G24" s="1274"/>
      <c r="H24" s="1276"/>
      <c r="I24" s="1275"/>
    </row>
    <row r="25" spans="1:9">
      <c r="A25" s="1263">
        <f t="shared" si="2"/>
        <v>16</v>
      </c>
      <c r="C25" s="972" t="s">
        <v>1397</v>
      </c>
      <c r="D25" s="1274"/>
      <c r="E25" s="1272">
        <f>SUM(E22:E24)</f>
        <v>0</v>
      </c>
      <c r="F25" s="1271">
        <f>E25</f>
        <v>0</v>
      </c>
      <c r="G25" s="488" t="s">
        <v>1385</v>
      </c>
      <c r="H25" s="1276">
        <v>1</v>
      </c>
      <c r="I25" s="1272">
        <f>F25*H25</f>
        <v>0</v>
      </c>
    </row>
    <row r="26" spans="1:9">
      <c r="A26" s="1263">
        <f t="shared" si="2"/>
        <v>17</v>
      </c>
      <c r="B26" s="1033">
        <v>353</v>
      </c>
      <c r="C26" s="972" t="s">
        <v>642</v>
      </c>
      <c r="D26" s="1274"/>
      <c r="E26" s="1274"/>
      <c r="F26" s="310"/>
      <c r="G26" s="1274"/>
      <c r="H26" s="1276"/>
      <c r="I26" s="1275"/>
    </row>
    <row r="27" spans="1:9">
      <c r="A27" s="1263">
        <f t="shared" si="2"/>
        <v>18</v>
      </c>
      <c r="C27" s="1941" t="s">
        <v>1366</v>
      </c>
      <c r="D27" s="1274"/>
      <c r="E27" s="2071">
        <v>96152</v>
      </c>
      <c r="F27" s="310"/>
      <c r="G27" s="1274"/>
      <c r="H27" s="1276"/>
      <c r="I27" s="1275"/>
    </row>
    <row r="28" spans="1:9">
      <c r="A28" s="1263">
        <f t="shared" si="2"/>
        <v>19</v>
      </c>
      <c r="C28" s="1941" t="s">
        <v>1367</v>
      </c>
      <c r="D28" s="1274"/>
      <c r="E28" s="2071">
        <v>0</v>
      </c>
      <c r="F28" s="310"/>
      <c r="G28" s="1274"/>
      <c r="H28" s="1276"/>
      <c r="I28" s="1275"/>
    </row>
    <row r="29" spans="1:9">
      <c r="A29" s="1263" t="s">
        <v>863</v>
      </c>
      <c r="C29" s="1941" t="s">
        <v>862</v>
      </c>
      <c r="D29" s="1274"/>
      <c r="E29" s="2071">
        <v>342892</v>
      </c>
      <c r="F29" s="310"/>
      <c r="G29" s="1274"/>
      <c r="H29" s="1276"/>
      <c r="I29" s="1275"/>
    </row>
    <row r="30" spans="1:9">
      <c r="A30" s="1263" t="s">
        <v>1323</v>
      </c>
      <c r="C30" s="1941" t="s">
        <v>807</v>
      </c>
      <c r="D30" s="1274"/>
      <c r="E30" s="2071">
        <v>230322</v>
      </c>
      <c r="F30" s="310"/>
      <c r="G30" s="1274"/>
      <c r="H30" s="1276"/>
      <c r="I30" s="1275"/>
    </row>
    <row r="31" spans="1:9">
      <c r="A31" s="1263">
        <f>A28+1</f>
        <v>20</v>
      </c>
      <c r="C31" s="1311"/>
      <c r="D31" s="1277"/>
      <c r="E31" s="1269">
        <v>0</v>
      </c>
      <c r="F31" s="1313"/>
      <c r="G31" s="1277"/>
      <c r="H31" s="1314"/>
      <c r="I31" s="1312"/>
    </row>
    <row r="32" spans="1:9">
      <c r="A32" s="1263">
        <f t="shared" si="2"/>
        <v>21</v>
      </c>
      <c r="C32" s="972" t="s">
        <v>99</v>
      </c>
      <c r="D32" s="1274"/>
      <c r="E32" s="1272">
        <f>SUM(E27:E31)</f>
        <v>669366</v>
      </c>
      <c r="F32" s="1271">
        <f>E32</f>
        <v>669366</v>
      </c>
      <c r="G32" s="488" t="s">
        <v>1385</v>
      </c>
      <c r="H32" s="1276">
        <v>1</v>
      </c>
      <c r="I32" s="1272">
        <f>F32*H32</f>
        <v>669366</v>
      </c>
    </row>
    <row r="33" spans="1:9">
      <c r="A33" s="1263">
        <f t="shared" si="2"/>
        <v>22</v>
      </c>
      <c r="B33" s="1033">
        <v>350</v>
      </c>
      <c r="C33" s="972" t="s">
        <v>1226</v>
      </c>
      <c r="D33" s="1274"/>
      <c r="E33" s="1944"/>
      <c r="F33" s="1278"/>
      <c r="G33" s="1274"/>
      <c r="H33" s="1276"/>
      <c r="I33" s="1275"/>
    </row>
    <row r="34" spans="1:9">
      <c r="A34" s="1263">
        <f>A33+1</f>
        <v>23</v>
      </c>
      <c r="B34" s="1017"/>
      <c r="C34" s="1284" t="s">
        <v>1489</v>
      </c>
      <c r="D34" s="296"/>
      <c r="E34" s="2071">
        <v>22596</v>
      </c>
      <c r="F34" s="71"/>
      <c r="G34" s="296"/>
      <c r="H34" s="1279"/>
      <c r="I34" s="1315"/>
    </row>
    <row r="35" spans="1:9">
      <c r="A35" s="1263">
        <f t="shared" si="2"/>
        <v>24</v>
      </c>
      <c r="B35" s="1017"/>
      <c r="C35" s="1284" t="s">
        <v>1490</v>
      </c>
      <c r="D35" s="296"/>
      <c r="E35" s="2071">
        <v>45309</v>
      </c>
      <c r="F35" s="1278"/>
      <c r="G35" s="1274"/>
      <c r="H35" s="1276"/>
      <c r="I35" s="1275"/>
    </row>
    <row r="36" spans="1:9">
      <c r="A36" s="1263">
        <f>A35+1</f>
        <v>25</v>
      </c>
      <c r="B36" s="1017"/>
      <c r="C36" s="1316"/>
      <c r="D36" s="1282"/>
      <c r="E36" s="1270">
        <v>0</v>
      </c>
      <c r="F36" s="1317"/>
      <c r="G36" s="1277"/>
      <c r="H36" s="1314"/>
      <c r="I36" s="1312"/>
    </row>
    <row r="37" spans="1:9">
      <c r="A37" s="1263">
        <f t="shared" si="2"/>
        <v>26</v>
      </c>
      <c r="B37" s="1017"/>
      <c r="C37" s="1284" t="s">
        <v>1398</v>
      </c>
      <c r="D37" s="296"/>
      <c r="E37" s="1273">
        <f>SUM(E34:E36)</f>
        <v>67905</v>
      </c>
      <c r="F37" s="661">
        <f>E37</f>
        <v>67905</v>
      </c>
      <c r="G37" s="1365" t="s">
        <v>1385</v>
      </c>
      <c r="H37" s="1279">
        <v>1</v>
      </c>
      <c r="I37" s="1318">
        <f>F37*H37</f>
        <v>67905</v>
      </c>
    </row>
    <row r="38" spans="1:9">
      <c r="A38" s="1263">
        <f t="shared" si="2"/>
        <v>27</v>
      </c>
      <c r="B38" s="1033">
        <v>335</v>
      </c>
      <c r="C38" s="972" t="s">
        <v>1484</v>
      </c>
      <c r="D38" s="1274"/>
      <c r="E38" s="1274"/>
      <c r="F38" s="1274"/>
      <c r="G38" s="1274"/>
      <c r="H38" s="1276"/>
      <c r="I38" s="1275"/>
    </row>
    <row r="39" spans="1:9">
      <c r="A39" s="1263">
        <f t="shared" si="2"/>
        <v>28</v>
      </c>
      <c r="C39" s="972" t="s">
        <v>1485</v>
      </c>
      <c r="D39" s="1274"/>
      <c r="E39" s="2072">
        <v>0</v>
      </c>
      <c r="F39" s="1274"/>
      <c r="G39" s="1274"/>
      <c r="H39" s="1274"/>
      <c r="I39" s="1275"/>
    </row>
    <row r="40" spans="1:9">
      <c r="A40" s="1263">
        <f t="shared" si="2"/>
        <v>29</v>
      </c>
      <c r="C40" s="972" t="s">
        <v>1486</v>
      </c>
      <c r="D40" s="1274"/>
      <c r="E40" s="2072">
        <v>122420</v>
      </c>
      <c r="F40" s="1274"/>
      <c r="G40" s="1274"/>
      <c r="H40" s="1274"/>
      <c r="I40" s="1275"/>
    </row>
    <row r="41" spans="1:9">
      <c r="A41" s="1263">
        <f t="shared" si="2"/>
        <v>30</v>
      </c>
      <c r="C41" s="972" t="s">
        <v>1487</v>
      </c>
      <c r="D41" s="1274"/>
      <c r="E41" s="2072">
        <v>25496</v>
      </c>
      <c r="F41" s="1274"/>
      <c r="G41" s="1274"/>
      <c r="H41" s="1274"/>
      <c r="I41" s="1275"/>
    </row>
    <row r="42" spans="1:9">
      <c r="A42" s="1263">
        <f t="shared" si="2"/>
        <v>31</v>
      </c>
      <c r="C42" s="972" t="s">
        <v>1488</v>
      </c>
      <c r="D42" s="1274"/>
      <c r="E42" s="2073">
        <v>1576</v>
      </c>
      <c r="F42" s="1274"/>
      <c r="G42" s="1274"/>
      <c r="H42" s="1274"/>
      <c r="I42" s="1275"/>
    </row>
    <row r="43" spans="1:9">
      <c r="A43" s="1263">
        <f t="shared" si="2"/>
        <v>32</v>
      </c>
      <c r="C43" s="1284" t="s">
        <v>1399</v>
      </c>
      <c r="D43" s="1274"/>
      <c r="E43" s="1268">
        <f>SUM(E39:E42)</f>
        <v>149492</v>
      </c>
      <c r="F43" s="1271">
        <f>E43</f>
        <v>149492</v>
      </c>
      <c r="G43" s="488" t="s">
        <v>1160</v>
      </c>
      <c r="H43" s="2099">
        <f>WS</f>
        <v>1.898472513614197E-2</v>
      </c>
      <c r="I43" s="1272">
        <f>F43*H43</f>
        <v>2838.0645300521355</v>
      </c>
    </row>
    <row r="44" spans="1:9" ht="21" customHeight="1" thickBot="1">
      <c r="A44" s="1263">
        <f t="shared" si="2"/>
        <v>33</v>
      </c>
      <c r="C44" s="1258" t="s">
        <v>1400</v>
      </c>
      <c r="E44" s="1280"/>
      <c r="F44" s="1281">
        <f>F17-F18+F19+F25+F32+F37+F43+F20</f>
        <v>129822100</v>
      </c>
      <c r="G44" s="1280"/>
      <c r="H44" s="1280"/>
      <c r="I44" s="1281">
        <f>I17-I18+I19+I25+I32+I37+I43+I20</f>
        <v>3187910.9978108881</v>
      </c>
    </row>
    <row r="45" spans="1:9" ht="15.75" thickTop="1">
      <c r="A45" s="1263"/>
    </row>
    <row r="46" spans="1:9">
      <c r="A46" s="1263"/>
    </row>
    <row r="47" spans="1:9" ht="15.75">
      <c r="A47" s="1304"/>
      <c r="B47" s="1791" t="s">
        <v>1547</v>
      </c>
      <c r="C47" s="448"/>
      <c r="D47" s="1285"/>
      <c r="E47" s="1285"/>
      <c r="F47" s="1285"/>
      <c r="G47" s="1285"/>
      <c r="H47" s="77"/>
      <c r="I47" s="1383"/>
    </row>
    <row r="48" spans="1:9" ht="29.25" customHeight="1">
      <c r="A48" s="1304"/>
      <c r="B48" s="1792"/>
      <c r="C48" s="1793" t="s">
        <v>992</v>
      </c>
      <c r="D48" s="77"/>
      <c r="E48" s="77"/>
      <c r="F48" s="77"/>
      <c r="G48" s="77"/>
      <c r="H48" s="77"/>
      <c r="I48" s="77"/>
    </row>
    <row r="49" spans="1:9" ht="25.5" customHeight="1">
      <c r="A49" s="1304"/>
      <c r="B49" s="1285"/>
      <c r="C49" s="2235" t="s">
        <v>993</v>
      </c>
      <c r="D49" s="2133"/>
      <c r="E49" s="2133"/>
      <c r="F49" s="2133"/>
      <c r="G49" s="2133"/>
      <c r="H49" s="2133"/>
      <c r="I49" s="1384"/>
    </row>
    <row r="50" spans="1:9" ht="53.25" customHeight="1">
      <c r="A50" s="1304"/>
      <c r="B50" s="1285"/>
      <c r="C50" s="2235" t="s">
        <v>994</v>
      </c>
      <c r="D50" s="2133"/>
      <c r="E50" s="2133"/>
      <c r="F50" s="2133"/>
      <c r="G50" s="2133"/>
      <c r="H50" s="2133"/>
      <c r="I50" s="1385"/>
    </row>
    <row r="51" spans="1:9" ht="35.25" customHeight="1">
      <c r="A51" s="1304"/>
      <c r="B51" s="1285"/>
      <c r="C51" s="2235" t="s">
        <v>995</v>
      </c>
      <c r="D51" s="2133"/>
      <c r="E51" s="2133"/>
      <c r="F51" s="2133"/>
      <c r="G51" s="2133"/>
      <c r="H51" s="2133"/>
      <c r="I51" s="1384"/>
    </row>
    <row r="52" spans="1:9" ht="31.5" customHeight="1">
      <c r="A52" s="1304"/>
      <c r="B52" s="1285"/>
      <c r="C52" s="2235" t="s">
        <v>1626</v>
      </c>
      <c r="D52" s="2133"/>
      <c r="E52" s="2133"/>
      <c r="F52" s="2133"/>
      <c r="G52" s="2133"/>
      <c r="H52" s="2133"/>
      <c r="I52" s="1384"/>
    </row>
    <row r="53" spans="1:9" ht="48.75" customHeight="1">
      <c r="A53" s="1304"/>
      <c r="B53" s="1285"/>
      <c r="C53" s="2235" t="s">
        <v>1627</v>
      </c>
      <c r="D53" s="2133"/>
      <c r="E53" s="2133"/>
      <c r="F53" s="2133"/>
      <c r="G53" s="2133"/>
      <c r="H53" s="2133"/>
      <c r="I53" s="1384"/>
    </row>
    <row r="54" spans="1:9" ht="39.75" customHeight="1">
      <c r="A54" s="1304"/>
      <c r="B54" s="1285"/>
      <c r="C54" s="2235"/>
      <c r="D54" s="2133"/>
      <c r="E54" s="2133"/>
      <c r="F54" s="2133"/>
      <c r="G54" s="2133"/>
      <c r="H54" s="2133"/>
      <c r="I54" s="1385"/>
    </row>
    <row r="55" spans="1:9">
      <c r="A55" s="1274"/>
      <c r="B55" s="1285"/>
      <c r="C55" s="2133"/>
      <c r="D55" s="2133"/>
      <c r="E55" s="2133"/>
      <c r="F55" s="2133"/>
      <c r="G55" s="2133"/>
      <c r="H55" s="2133"/>
    </row>
  </sheetData>
  <customSheetViews>
    <customSheetView guid="{FAA8FFD9-C96B-4A1B-8B9E-B863FD90DDBA}" scale="75" fitToPage="1" showRuler="0">
      <selection activeCell="G1" sqref="G1:G2"/>
      <pageMargins left="0.32" right="0.25" top="0.75" bottom="0.75" header="0" footer="0"/>
      <pageSetup scale="91" orientation="portrait" horizontalDpi="300" verticalDpi="300" r:id="rId1"/>
      <headerFooter alignWithMargins="0"/>
    </customSheetView>
  </customSheetViews>
  <mergeCells count="11">
    <mergeCell ref="C54:H55"/>
    <mergeCell ref="C9:D9"/>
    <mergeCell ref="C49:H49"/>
    <mergeCell ref="C50:H50"/>
    <mergeCell ref="C51:H51"/>
    <mergeCell ref="C6:I6"/>
    <mergeCell ref="C52:H52"/>
    <mergeCell ref="H2:I2"/>
    <mergeCell ref="C53:H53"/>
    <mergeCell ref="G8:H8"/>
    <mergeCell ref="C5:I5"/>
  </mergeCells>
  <phoneticPr fontId="28" type="noConversion"/>
  <printOptions horizontalCentered="1" gridLines="1"/>
  <pageMargins left="0.5" right="0.5" top="0.5" bottom="0.5" header="0" footer="0"/>
  <pageSetup scale="59"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dimension ref="A1:U114"/>
  <sheetViews>
    <sheetView view="pageBreakPreview" topLeftCell="A4" zoomScale="125" zoomScaleNormal="100" zoomScaleSheetLayoutView="100" workbookViewId="0">
      <pane xSplit="2" ySplit="8" topLeftCell="C12" activePane="bottomRight" state="frozen"/>
      <selection activeCell="B56" sqref="B56"/>
      <selection pane="topRight" activeCell="B56" sqref="B56"/>
      <selection pane="bottomLeft" activeCell="B56" sqref="B56"/>
      <selection pane="bottomRight" activeCell="B56" sqref="B56"/>
    </sheetView>
  </sheetViews>
  <sheetFormatPr defaultRowHeight="12.75"/>
  <cols>
    <col min="1" max="1" width="3.6640625" style="1120" customWidth="1"/>
    <col min="2" max="2" width="14" style="1118" customWidth="1"/>
    <col min="3" max="16" width="12.44140625" style="1119" customWidth="1"/>
    <col min="17" max="17" width="11.88671875" style="1120" bestFit="1" customWidth="1"/>
    <col min="18" max="18" width="8" style="1120" bestFit="1" customWidth="1"/>
    <col min="19" max="16384" width="8.88671875" style="1120"/>
  </cols>
  <sheetData>
    <row r="1" spans="1:21" ht="20.25">
      <c r="A1" s="2238" t="s">
        <v>67</v>
      </c>
      <c r="B1" s="2239"/>
      <c r="C1" s="2239"/>
      <c r="D1" s="2239"/>
      <c r="E1" s="2239"/>
      <c r="F1" s="2239"/>
      <c r="G1" s="2239"/>
      <c r="N1" s="2193" t="s">
        <v>183</v>
      </c>
      <c r="O1" s="2193"/>
    </row>
    <row r="2" spans="1:21">
      <c r="P2" s="1622"/>
    </row>
    <row r="3" spans="1:21" ht="20.25">
      <c r="A3" s="2242" t="s">
        <v>573</v>
      </c>
      <c r="B3" s="2242"/>
      <c r="C3" s="2242"/>
      <c r="D3" s="2242"/>
      <c r="E3" s="2242"/>
      <c r="F3" s="2242"/>
      <c r="G3" s="2242"/>
      <c r="H3" s="2242"/>
    </row>
    <row r="4" spans="1:21" ht="13.5" customHeight="1">
      <c r="P4" s="1119" t="s">
        <v>1735</v>
      </c>
    </row>
    <row r="6" spans="1:21" s="1" customFormat="1" ht="15.75">
      <c r="B6" s="1121" t="s">
        <v>1106</v>
      </c>
      <c r="C6" s="3"/>
      <c r="D6" s="3"/>
      <c r="E6" s="3"/>
      <c r="F6" s="3"/>
      <c r="G6" s="3"/>
      <c r="H6" s="3"/>
      <c r="I6" s="3"/>
      <c r="J6" s="3"/>
      <c r="K6" s="3"/>
      <c r="L6" s="3"/>
      <c r="M6" s="3"/>
      <c r="N6" s="3"/>
      <c r="O6" s="3"/>
      <c r="P6" s="3"/>
    </row>
    <row r="7" spans="1:21">
      <c r="F7" s="1949"/>
      <c r="G7" s="1569"/>
    </row>
    <row r="9" spans="1:21" s="1125" customFormat="1" ht="15">
      <c r="A9" s="1122"/>
      <c r="B9" s="1123"/>
      <c r="C9" s="2194" t="s">
        <v>1815</v>
      </c>
      <c r="D9" s="2194"/>
      <c r="E9" s="2194"/>
      <c r="F9" s="2194"/>
      <c r="G9" s="2194"/>
      <c r="H9" s="2194"/>
      <c r="I9" s="2194"/>
      <c r="J9" s="2194"/>
      <c r="K9" s="2194"/>
      <c r="L9" s="2194"/>
      <c r="M9" s="2194"/>
      <c r="N9" s="2194"/>
      <c r="O9" s="2194"/>
      <c r="P9" s="2195"/>
      <c r="Q9" s="1124"/>
      <c r="R9" s="1124"/>
      <c r="S9" s="1124"/>
      <c r="T9" s="1124"/>
      <c r="U9" s="1124"/>
    </row>
    <row r="10" spans="1:21" s="1118" customFormat="1">
      <c r="A10" s="1119" t="s">
        <v>50</v>
      </c>
      <c r="B10" s="1126"/>
      <c r="C10" s="1127" t="s">
        <v>1107</v>
      </c>
      <c r="D10" s="1128"/>
      <c r="E10" s="1129"/>
      <c r="F10" s="1128"/>
      <c r="G10" s="1129"/>
      <c r="H10" s="1128"/>
      <c r="I10" s="1129"/>
      <c r="J10" s="1128"/>
      <c r="K10" s="1129"/>
      <c r="L10" s="1128"/>
      <c r="M10" s="1129"/>
      <c r="N10" s="1128"/>
      <c r="O10" s="1127" t="s">
        <v>1107</v>
      </c>
      <c r="P10" s="1130" t="s">
        <v>1108</v>
      </c>
      <c r="Q10" s="1131"/>
      <c r="R10" s="1131"/>
      <c r="S10" s="1131"/>
      <c r="T10" s="1131"/>
      <c r="U10" s="1131"/>
    </row>
    <row r="11" spans="1:21" s="1137" customFormat="1">
      <c r="A11" s="1119" t="s">
        <v>51</v>
      </c>
      <c r="B11" s="1132"/>
      <c r="C11" s="1134">
        <v>40878</v>
      </c>
      <c r="D11" s="1134">
        <v>40909</v>
      </c>
      <c r="E11" s="1134">
        <v>40940</v>
      </c>
      <c r="F11" s="1134">
        <v>40969</v>
      </c>
      <c r="G11" s="1134">
        <v>41000</v>
      </c>
      <c r="H11" s="1134">
        <v>41030</v>
      </c>
      <c r="I11" s="1134">
        <v>41061</v>
      </c>
      <c r="J11" s="1134">
        <v>41091</v>
      </c>
      <c r="K11" s="1134">
        <v>41122</v>
      </c>
      <c r="L11" s="1134">
        <v>41153</v>
      </c>
      <c r="M11" s="1134">
        <v>41183</v>
      </c>
      <c r="N11" s="1134">
        <v>41214</v>
      </c>
      <c r="O11" s="1134">
        <v>41244</v>
      </c>
      <c r="P11" s="1135" t="s">
        <v>1585</v>
      </c>
      <c r="Q11" s="1136"/>
      <c r="R11" s="1136"/>
      <c r="S11" s="1136"/>
      <c r="T11" s="1136"/>
      <c r="U11" s="1136"/>
    </row>
    <row r="12" spans="1:21">
      <c r="A12" s="1119">
        <v>1</v>
      </c>
      <c r="B12" s="1140" t="s">
        <v>1586</v>
      </c>
      <c r="C12" s="1962">
        <v>3052865222</v>
      </c>
      <c r="D12" s="2034">
        <v>3065465394</v>
      </c>
      <c r="E12" s="2034">
        <v>3056551671</v>
      </c>
      <c r="F12" s="2034">
        <v>3056783381</v>
      </c>
      <c r="G12" s="2034">
        <v>3073940172</v>
      </c>
      <c r="H12" s="2034">
        <v>3074157359</v>
      </c>
      <c r="I12" s="2034">
        <v>3095536494</v>
      </c>
      <c r="J12" s="2034">
        <v>3105194433</v>
      </c>
      <c r="K12" s="2034">
        <v>3101821757</v>
      </c>
      <c r="L12" s="2034">
        <v>3102476750</v>
      </c>
      <c r="M12" s="2034">
        <v>3110907783</v>
      </c>
      <c r="N12" s="2034">
        <v>3116854430</v>
      </c>
      <c r="O12" s="2034">
        <v>3114362956</v>
      </c>
      <c r="P12" s="1172">
        <f t="shared" ref="P12:P17" si="0">ROUND(SUM(C12:O12)/13,0)</f>
        <v>3086685985</v>
      </c>
      <c r="Q12" s="1139"/>
      <c r="R12" s="1139"/>
      <c r="S12" s="1139"/>
      <c r="T12" s="1139"/>
      <c r="U12" s="1139"/>
    </row>
    <row r="13" spans="1:21">
      <c r="A13" s="1119">
        <f t="shared" ref="A13:A18" si="1">A12+1</f>
        <v>2</v>
      </c>
      <c r="B13" s="1141" t="s">
        <v>1587</v>
      </c>
      <c r="C13" s="1960">
        <v>2020586266</v>
      </c>
      <c r="D13" s="2035">
        <v>2020432085</v>
      </c>
      <c r="E13" s="2035">
        <v>2020635420</v>
      </c>
      <c r="F13" s="2035">
        <v>2020396524</v>
      </c>
      <c r="G13" s="2035">
        <v>2021272363</v>
      </c>
      <c r="H13" s="2035">
        <v>2021108706</v>
      </c>
      <c r="I13" s="2035">
        <v>2022174277</v>
      </c>
      <c r="J13" s="2035">
        <v>2022278525</v>
      </c>
      <c r="K13" s="2035">
        <v>2022755084</v>
      </c>
      <c r="L13" s="2035">
        <v>2019178263</v>
      </c>
      <c r="M13" s="2035">
        <v>2019335306</v>
      </c>
      <c r="N13" s="2035">
        <v>2019476352</v>
      </c>
      <c r="O13" s="2035">
        <v>2021068556</v>
      </c>
      <c r="P13" s="1963">
        <f t="shared" si="0"/>
        <v>2020822902</v>
      </c>
      <c r="Q13" s="1139"/>
      <c r="R13" s="1139"/>
      <c r="S13" s="1139"/>
      <c r="T13" s="1139"/>
      <c r="U13" s="1139"/>
    </row>
    <row r="14" spans="1:21">
      <c r="A14" s="1119">
        <f t="shared" si="1"/>
        <v>3</v>
      </c>
      <c r="B14" s="1140" t="s">
        <v>452</v>
      </c>
      <c r="C14" s="1961">
        <v>410835134</v>
      </c>
      <c r="D14" s="2096">
        <v>410431628</v>
      </c>
      <c r="E14" s="2097">
        <v>410613908</v>
      </c>
      <c r="F14" s="2096">
        <v>411316926</v>
      </c>
      <c r="G14" s="2097">
        <v>411775466</v>
      </c>
      <c r="H14" s="2096">
        <v>412299337</v>
      </c>
      <c r="I14" s="2097">
        <v>412339606</v>
      </c>
      <c r="J14" s="2096">
        <v>413184853</v>
      </c>
      <c r="K14" s="2097">
        <v>410568065</v>
      </c>
      <c r="L14" s="2097">
        <v>411009825</v>
      </c>
      <c r="M14" s="2097">
        <v>410865158</v>
      </c>
      <c r="N14" s="2096">
        <v>411896555</v>
      </c>
      <c r="O14" s="2097">
        <v>412619768</v>
      </c>
      <c r="P14" s="1963">
        <f>ROUND(SUM(C14:O14)/13,0)</f>
        <v>411519710</v>
      </c>
      <c r="Q14" s="2018"/>
      <c r="R14" s="1139"/>
      <c r="S14" s="1139"/>
      <c r="T14" s="1139"/>
      <c r="U14" s="1139"/>
    </row>
    <row r="15" spans="1:21">
      <c r="A15" s="1119">
        <f t="shared" si="1"/>
        <v>4</v>
      </c>
      <c r="B15" s="1141" t="s">
        <v>1588</v>
      </c>
      <c r="C15" s="1961">
        <v>1838889836</v>
      </c>
      <c r="D15" s="2094">
        <v>1840836096</v>
      </c>
      <c r="E15" s="2095">
        <v>1844348336</v>
      </c>
      <c r="F15" s="2094">
        <v>1849076183</v>
      </c>
      <c r="G15" s="2095">
        <v>1854359160</v>
      </c>
      <c r="H15" s="2094">
        <v>1857358975</v>
      </c>
      <c r="I15" s="2095">
        <v>1860276767</v>
      </c>
      <c r="J15" s="2094">
        <v>1867591744</v>
      </c>
      <c r="K15" s="2095">
        <v>1875649243</v>
      </c>
      <c r="L15" s="2095">
        <v>1880465292</v>
      </c>
      <c r="M15" s="2095">
        <v>1885094619</v>
      </c>
      <c r="N15" s="2094">
        <v>1889240792</v>
      </c>
      <c r="O15" s="2095">
        <v>1892562959</v>
      </c>
      <c r="P15" s="1963">
        <f t="shared" si="0"/>
        <v>1864288462</v>
      </c>
      <c r="Q15" s="1139"/>
      <c r="R15" s="1139"/>
      <c r="S15" s="1139"/>
      <c r="T15" s="1139"/>
      <c r="U15" s="1139"/>
    </row>
    <row r="16" spans="1:21">
      <c r="A16" s="1119">
        <f t="shared" si="1"/>
        <v>5</v>
      </c>
      <c r="B16" s="1140" t="s">
        <v>1589</v>
      </c>
      <c r="C16" s="1960">
        <v>312236450</v>
      </c>
      <c r="D16" s="2096">
        <v>312269700</v>
      </c>
      <c r="E16" s="2097">
        <v>309939164</v>
      </c>
      <c r="F16" s="2096">
        <v>311271919</v>
      </c>
      <c r="G16" s="2097">
        <v>314071119</v>
      </c>
      <c r="H16" s="2096">
        <v>314350497</v>
      </c>
      <c r="I16" s="2097">
        <v>314662186</v>
      </c>
      <c r="J16" s="2096">
        <v>317622978</v>
      </c>
      <c r="K16" s="2097">
        <v>318825346</v>
      </c>
      <c r="L16" s="2097">
        <v>318837223</v>
      </c>
      <c r="M16" s="2097">
        <v>322631625</v>
      </c>
      <c r="N16" s="2096">
        <v>324559853</v>
      </c>
      <c r="O16" s="2097">
        <v>319062751</v>
      </c>
      <c r="P16" s="1963">
        <f t="shared" si="0"/>
        <v>316180062</v>
      </c>
      <c r="Q16" s="1139"/>
      <c r="R16" s="1139"/>
      <c r="S16" s="1139"/>
      <c r="T16" s="1139"/>
      <c r="U16" s="1139"/>
    </row>
    <row r="17" spans="1:21">
      <c r="A17" s="1119">
        <f t="shared" si="1"/>
        <v>6</v>
      </c>
      <c r="B17" s="1140" t="s">
        <v>574</v>
      </c>
      <c r="C17" s="1964">
        <v>183435375</v>
      </c>
      <c r="D17" s="2098">
        <v>183667712</v>
      </c>
      <c r="E17" s="2097">
        <v>183688916</v>
      </c>
      <c r="F17" s="2096">
        <v>183936078</v>
      </c>
      <c r="G17" s="2097">
        <v>184941072</v>
      </c>
      <c r="H17" s="2096">
        <v>184861381</v>
      </c>
      <c r="I17" s="2097">
        <v>190765505</v>
      </c>
      <c r="J17" s="2096">
        <v>190845800</v>
      </c>
      <c r="K17" s="2097">
        <v>193639809</v>
      </c>
      <c r="L17" s="2097">
        <v>197358377</v>
      </c>
      <c r="M17" s="2097">
        <v>199148517</v>
      </c>
      <c r="N17" s="2096">
        <v>199148224</v>
      </c>
      <c r="O17" s="2097">
        <v>201193474</v>
      </c>
      <c r="P17" s="1963">
        <f t="shared" si="0"/>
        <v>190510018</v>
      </c>
      <c r="Q17" s="1139"/>
      <c r="R17" s="1139"/>
      <c r="S17" s="1139"/>
      <c r="T17" s="1139"/>
      <c r="U17" s="1139"/>
    </row>
    <row r="18" spans="1:21">
      <c r="A18" s="1119">
        <f t="shared" si="1"/>
        <v>7</v>
      </c>
      <c r="B18" s="1142" t="s">
        <v>54</v>
      </c>
      <c r="C18" s="1557">
        <f t="shared" ref="C18:P18" si="2">SUM(C12:C17)</f>
        <v>7818848283</v>
      </c>
      <c r="D18" s="1557">
        <f t="shared" si="2"/>
        <v>7833102615</v>
      </c>
      <c r="E18" s="1557">
        <f t="shared" si="2"/>
        <v>7825777415</v>
      </c>
      <c r="F18" s="1557">
        <f t="shared" si="2"/>
        <v>7832781011</v>
      </c>
      <c r="G18" s="1557">
        <f t="shared" si="2"/>
        <v>7860359352</v>
      </c>
      <c r="H18" s="1557">
        <f t="shared" si="2"/>
        <v>7864136255</v>
      </c>
      <c r="I18" s="1557">
        <f t="shared" si="2"/>
        <v>7895754835</v>
      </c>
      <c r="J18" s="1557">
        <f t="shared" si="2"/>
        <v>7916718333</v>
      </c>
      <c r="K18" s="1557">
        <f t="shared" si="2"/>
        <v>7923259304</v>
      </c>
      <c r="L18" s="1557">
        <f t="shared" si="2"/>
        <v>7929325730</v>
      </c>
      <c r="M18" s="1557">
        <f t="shared" si="2"/>
        <v>7947983008</v>
      </c>
      <c r="N18" s="1557">
        <f t="shared" si="2"/>
        <v>7961176206</v>
      </c>
      <c r="O18" s="1557">
        <f t="shared" si="2"/>
        <v>7960870464</v>
      </c>
      <c r="P18" s="1965">
        <f t="shared" si="2"/>
        <v>7890007139</v>
      </c>
      <c r="Q18" s="1139"/>
      <c r="R18" s="1139"/>
      <c r="S18" s="1139"/>
      <c r="T18" s="1139"/>
      <c r="U18" s="1139"/>
    </row>
    <row r="19" spans="1:21">
      <c r="A19" s="1119"/>
      <c r="B19" s="1143"/>
      <c r="C19" s="1144"/>
      <c r="D19" s="1144"/>
      <c r="E19" s="1144"/>
      <c r="F19" s="1144"/>
      <c r="G19" s="1144"/>
      <c r="H19" s="1144"/>
      <c r="I19" s="1144"/>
      <c r="J19" s="1144"/>
      <c r="K19" s="1144"/>
      <c r="L19" s="1144"/>
      <c r="M19" s="1144"/>
      <c r="N19" s="1144"/>
      <c r="O19" s="1144"/>
      <c r="P19" s="1144"/>
      <c r="Q19" s="1139"/>
      <c r="R19" s="1139"/>
      <c r="S19" s="1139"/>
      <c r="T19" s="1139"/>
      <c r="U19" s="1139"/>
    </row>
    <row r="20" spans="1:21">
      <c r="A20" s="1119"/>
      <c r="B20" s="1131"/>
      <c r="C20" s="1145"/>
      <c r="D20" s="1145"/>
      <c r="E20" s="1145"/>
      <c r="F20" s="1145"/>
      <c r="G20" s="1145"/>
      <c r="H20" s="1145"/>
      <c r="I20" s="1145"/>
      <c r="J20" s="1145"/>
      <c r="K20" s="1145"/>
      <c r="L20" s="1145"/>
      <c r="M20" s="1145"/>
      <c r="N20" s="1145"/>
      <c r="O20" s="1145"/>
      <c r="P20" s="1145"/>
      <c r="Q20" s="1139"/>
      <c r="R20" s="1139"/>
      <c r="S20" s="1139"/>
      <c r="T20" s="1139"/>
      <c r="U20" s="1139"/>
    </row>
    <row r="21" spans="1:21">
      <c r="A21" s="1119"/>
      <c r="C21" s="1146"/>
      <c r="D21" s="1146"/>
      <c r="E21" s="1146"/>
      <c r="F21" s="1146"/>
      <c r="G21" s="1146"/>
      <c r="H21" s="1146"/>
      <c r="I21" s="1146"/>
      <c r="J21" s="1146"/>
      <c r="K21" s="1146"/>
      <c r="L21" s="1146"/>
      <c r="M21" s="1146"/>
      <c r="N21" s="1146"/>
      <c r="O21" s="1146"/>
      <c r="P21" s="1146"/>
      <c r="Q21" s="1139"/>
      <c r="R21" s="1139"/>
      <c r="S21" s="1139"/>
      <c r="T21" s="1139"/>
      <c r="U21" s="1139"/>
    </row>
    <row r="22" spans="1:21" s="1125" customFormat="1" ht="15">
      <c r="A22" s="1122"/>
      <c r="B22" s="1123"/>
      <c r="C22" s="2194" t="s">
        <v>1133</v>
      </c>
      <c r="D22" s="2194"/>
      <c r="E22" s="2194"/>
      <c r="F22" s="2194"/>
      <c r="G22" s="2194"/>
      <c r="H22" s="2194"/>
      <c r="I22" s="2194"/>
      <c r="J22" s="2194"/>
      <c r="K22" s="2194"/>
      <c r="L22" s="2194"/>
      <c r="M22" s="2194"/>
      <c r="N22" s="2194"/>
      <c r="O22" s="2194"/>
      <c r="P22" s="2195"/>
      <c r="Q22" s="1124"/>
      <c r="R22" s="1124"/>
      <c r="S22" s="1124"/>
      <c r="T22" s="1124"/>
      <c r="U22" s="1124"/>
    </row>
    <row r="23" spans="1:21" s="1118" customFormat="1">
      <c r="A23" s="1147"/>
      <c r="B23" s="1126"/>
      <c r="C23" s="2048" t="s">
        <v>1814</v>
      </c>
      <c r="D23" s="1128"/>
      <c r="E23" s="1129"/>
      <c r="F23" s="1128"/>
      <c r="G23" s="1129"/>
      <c r="H23" s="1128"/>
      <c r="I23" s="1129"/>
      <c r="J23" s="1128"/>
      <c r="K23" s="1129"/>
      <c r="L23" s="1128"/>
      <c r="M23" s="1129"/>
      <c r="N23" s="1128"/>
      <c r="O23" s="1127" t="s">
        <v>1107</v>
      </c>
      <c r="P23" s="1130" t="s">
        <v>1108</v>
      </c>
      <c r="Q23" s="1131"/>
      <c r="R23" s="1131"/>
      <c r="S23" s="1131"/>
      <c r="T23" s="1131"/>
      <c r="U23" s="1131"/>
    </row>
    <row r="24" spans="1:21" s="1137" customFormat="1">
      <c r="A24" s="1148"/>
      <c r="B24" s="1132"/>
      <c r="C24" s="1133">
        <f t="shared" ref="C24:O24" si="3">C11</f>
        <v>40878</v>
      </c>
      <c r="D24" s="1133">
        <f t="shared" si="3"/>
        <v>40909</v>
      </c>
      <c r="E24" s="1133">
        <f t="shared" si="3"/>
        <v>40940</v>
      </c>
      <c r="F24" s="1133">
        <f t="shared" si="3"/>
        <v>40969</v>
      </c>
      <c r="G24" s="1133">
        <f t="shared" si="3"/>
        <v>41000</v>
      </c>
      <c r="H24" s="1133">
        <f t="shared" si="3"/>
        <v>41030</v>
      </c>
      <c r="I24" s="1133">
        <f t="shared" si="3"/>
        <v>41061</v>
      </c>
      <c r="J24" s="1133">
        <f t="shared" si="3"/>
        <v>41091</v>
      </c>
      <c r="K24" s="1133">
        <f t="shared" si="3"/>
        <v>41122</v>
      </c>
      <c r="L24" s="1133">
        <f t="shared" si="3"/>
        <v>41153</v>
      </c>
      <c r="M24" s="1133">
        <f t="shared" si="3"/>
        <v>41183</v>
      </c>
      <c r="N24" s="1133">
        <f t="shared" si="3"/>
        <v>41214</v>
      </c>
      <c r="O24" s="1133">
        <f t="shared" si="3"/>
        <v>41244</v>
      </c>
      <c r="P24" s="1135" t="s">
        <v>1585</v>
      </c>
      <c r="Q24" s="1136"/>
      <c r="R24" s="1136"/>
      <c r="S24" s="1136"/>
      <c r="T24" s="1136"/>
      <c r="U24" s="1136"/>
    </row>
    <row r="25" spans="1:21">
      <c r="A25" s="1119">
        <f>A18+1</f>
        <v>8</v>
      </c>
      <c r="B25" s="1140" t="s">
        <v>1586</v>
      </c>
      <c r="C25" s="1630">
        <v>1228156707</v>
      </c>
      <c r="D25" s="2037">
        <v>1233458534</v>
      </c>
      <c r="E25" s="2037">
        <v>1238646183</v>
      </c>
      <c r="F25" s="2037">
        <v>1242148606</v>
      </c>
      <c r="G25" s="2037">
        <v>1246833661</v>
      </c>
      <c r="H25" s="2037">
        <v>1251178567</v>
      </c>
      <c r="I25" s="2037">
        <v>1251751860</v>
      </c>
      <c r="J25" s="2037">
        <v>1256986456</v>
      </c>
      <c r="K25" s="2037">
        <v>1255529347</v>
      </c>
      <c r="L25" s="2037">
        <v>1258916177</v>
      </c>
      <c r="M25" s="2037">
        <v>1263940559</v>
      </c>
      <c r="N25" s="2037">
        <v>1269026084</v>
      </c>
      <c r="O25" s="2037">
        <v>1272512568</v>
      </c>
      <c r="P25" s="1172">
        <f t="shared" ref="P25:P30" si="4">ROUND(SUM(C25:O25)/13,0)</f>
        <v>1251468101</v>
      </c>
      <c r="Q25" s="1139"/>
      <c r="R25" s="1139"/>
      <c r="S25" s="1139"/>
      <c r="T25" s="1139"/>
      <c r="U25" s="1139"/>
    </row>
    <row r="26" spans="1:21">
      <c r="A26" s="1119">
        <f t="shared" ref="A26:A31" si="5">A25+1</f>
        <v>9</v>
      </c>
      <c r="B26" s="1141" t="s">
        <v>1587</v>
      </c>
      <c r="C26" s="1631">
        <v>946123076</v>
      </c>
      <c r="D26" s="2038">
        <v>950058735</v>
      </c>
      <c r="E26" s="2038">
        <v>954008241</v>
      </c>
      <c r="F26" s="2038">
        <v>957713244</v>
      </c>
      <c r="G26" s="2038">
        <v>960650399</v>
      </c>
      <c r="H26" s="2038">
        <v>964743425</v>
      </c>
      <c r="I26" s="2038">
        <v>968273013</v>
      </c>
      <c r="J26" s="2038">
        <v>972204519</v>
      </c>
      <c r="K26" s="2038">
        <v>976131236</v>
      </c>
      <c r="L26" s="2038">
        <v>975731958</v>
      </c>
      <c r="M26" s="2038">
        <v>979664688</v>
      </c>
      <c r="N26" s="2038">
        <v>982819750</v>
      </c>
      <c r="O26" s="2038">
        <v>986721800</v>
      </c>
      <c r="P26" s="1963">
        <f t="shared" si="4"/>
        <v>967295699</v>
      </c>
      <c r="Q26" s="1139"/>
      <c r="R26" s="1139"/>
      <c r="S26" s="1139"/>
      <c r="T26" s="1139"/>
      <c r="U26" s="1139"/>
    </row>
    <row r="27" spans="1:21">
      <c r="A27" s="1119">
        <f t="shared" si="5"/>
        <v>10</v>
      </c>
      <c r="B27" s="1140" t="s">
        <v>452</v>
      </c>
      <c r="C27" s="1632">
        <v>179646968</v>
      </c>
      <c r="D27" s="2035">
        <v>180119445</v>
      </c>
      <c r="E27" s="2035">
        <v>180573740</v>
      </c>
      <c r="F27" s="2035">
        <v>180659463</v>
      </c>
      <c r="G27" s="2035">
        <v>181150357</v>
      </c>
      <c r="H27" s="2035">
        <v>181446058</v>
      </c>
      <c r="I27" s="2035">
        <v>182171763</v>
      </c>
      <c r="J27" s="2035">
        <v>182940478</v>
      </c>
      <c r="K27" s="2035">
        <v>182375528</v>
      </c>
      <c r="L27" s="2035">
        <v>182659106</v>
      </c>
      <c r="M27" s="2035">
        <v>183243037</v>
      </c>
      <c r="N27" s="2035">
        <v>183754330</v>
      </c>
      <c r="O27" s="2035">
        <f>175187210</f>
        <v>175187210</v>
      </c>
      <c r="P27" s="1963">
        <f t="shared" si="4"/>
        <v>181225191</v>
      </c>
      <c r="Q27" s="1139"/>
      <c r="R27" s="1139"/>
      <c r="S27" s="1139"/>
      <c r="T27" s="1139"/>
      <c r="U27" s="1139"/>
    </row>
    <row r="28" spans="1:21">
      <c r="A28" s="1119">
        <f t="shared" si="5"/>
        <v>11</v>
      </c>
      <c r="B28" s="1141" t="s">
        <v>1588</v>
      </c>
      <c r="C28" s="1632">
        <v>680584315</v>
      </c>
      <c r="D28" s="2035">
        <v>682830339</v>
      </c>
      <c r="E28" s="2035">
        <v>685927116</v>
      </c>
      <c r="F28" s="2035">
        <v>687663929</v>
      </c>
      <c r="G28" s="2035">
        <v>690240561</v>
      </c>
      <c r="H28" s="2035">
        <v>692773851</v>
      </c>
      <c r="I28" s="2035">
        <v>694954292</v>
      </c>
      <c r="J28" s="2035">
        <v>697201394</v>
      </c>
      <c r="K28" s="2035">
        <v>699818874</v>
      </c>
      <c r="L28" s="2035">
        <v>701880276</v>
      </c>
      <c r="M28" s="2035">
        <v>704580773</v>
      </c>
      <c r="N28" s="2035">
        <v>706981491</v>
      </c>
      <c r="O28" s="2035">
        <v>709237093</v>
      </c>
      <c r="P28" s="1963">
        <f t="shared" si="4"/>
        <v>694974946</v>
      </c>
      <c r="Q28" s="1139"/>
      <c r="R28" s="1139"/>
      <c r="S28" s="1139"/>
      <c r="T28" s="1139"/>
      <c r="U28" s="1139"/>
    </row>
    <row r="29" spans="1:21">
      <c r="A29" s="1119">
        <f t="shared" si="5"/>
        <v>12</v>
      </c>
      <c r="B29" s="1140" t="s">
        <v>1589</v>
      </c>
      <c r="C29" s="1632">
        <v>68647832</v>
      </c>
      <c r="D29" s="2035">
        <v>69562520</v>
      </c>
      <c r="E29" s="2035">
        <v>68880946</v>
      </c>
      <c r="F29" s="2035">
        <v>69414305</v>
      </c>
      <c r="G29" s="2035">
        <v>70647918</v>
      </c>
      <c r="H29" s="2035">
        <v>71749260</v>
      </c>
      <c r="I29" s="2035">
        <v>72210613</v>
      </c>
      <c r="J29" s="2035">
        <v>72749776</v>
      </c>
      <c r="K29" s="2035">
        <v>73422329</v>
      </c>
      <c r="L29" s="2035">
        <v>74293836</v>
      </c>
      <c r="M29" s="2035">
        <v>74984787</v>
      </c>
      <c r="N29" s="2035">
        <v>76036382</v>
      </c>
      <c r="O29" s="2035">
        <v>77741812</v>
      </c>
      <c r="P29" s="1963">
        <f t="shared" si="4"/>
        <v>72334024</v>
      </c>
      <c r="Q29" s="1139"/>
      <c r="R29" s="1139"/>
      <c r="S29" s="1139"/>
      <c r="T29" s="1139"/>
      <c r="U29" s="1139"/>
    </row>
    <row r="30" spans="1:21">
      <c r="A30" s="1119">
        <f t="shared" si="5"/>
        <v>13</v>
      </c>
      <c r="B30" s="1140" t="s">
        <v>574</v>
      </c>
      <c r="C30" s="1633">
        <v>143939147</v>
      </c>
      <c r="D30" s="2036">
        <v>145013171</v>
      </c>
      <c r="E30" s="2036">
        <v>146110875</v>
      </c>
      <c r="F30" s="2036">
        <v>147214718</v>
      </c>
      <c r="G30" s="2036">
        <v>148364064</v>
      </c>
      <c r="H30" s="2036">
        <v>149476933</v>
      </c>
      <c r="I30" s="2036">
        <v>150588264</v>
      </c>
      <c r="J30" s="2036">
        <v>152320113</v>
      </c>
      <c r="K30" s="2036">
        <v>153557530</v>
      </c>
      <c r="L30" s="2036">
        <v>154843610</v>
      </c>
      <c r="M30" s="2036">
        <v>156198011</v>
      </c>
      <c r="N30" s="2036">
        <v>157519837</v>
      </c>
      <c r="O30" s="2036">
        <v>158859207</v>
      </c>
      <c r="P30" s="1963">
        <f t="shared" si="4"/>
        <v>151077345</v>
      </c>
      <c r="Q30" s="1139"/>
      <c r="R30" s="1139"/>
      <c r="S30" s="1139"/>
      <c r="T30" s="1139"/>
      <c r="U30" s="1139"/>
    </row>
    <row r="31" spans="1:21">
      <c r="A31" s="1119">
        <f t="shared" si="5"/>
        <v>14</v>
      </c>
      <c r="B31" s="1142" t="s">
        <v>54</v>
      </c>
      <c r="C31" s="1557">
        <f t="shared" ref="C31:P31" si="6">SUM(C25:C30)</f>
        <v>3247098045</v>
      </c>
      <c r="D31" s="1557">
        <f t="shared" si="6"/>
        <v>3261042744</v>
      </c>
      <c r="E31" s="1557">
        <f t="shared" si="6"/>
        <v>3274147101</v>
      </c>
      <c r="F31" s="1557">
        <f t="shared" si="6"/>
        <v>3284814265</v>
      </c>
      <c r="G31" s="1557">
        <f t="shared" si="6"/>
        <v>3297886960</v>
      </c>
      <c r="H31" s="1557">
        <f t="shared" si="6"/>
        <v>3311368094</v>
      </c>
      <c r="I31" s="1557">
        <f t="shared" si="6"/>
        <v>3319949805</v>
      </c>
      <c r="J31" s="1557">
        <f t="shared" si="6"/>
        <v>3334402736</v>
      </c>
      <c r="K31" s="1557">
        <f t="shared" si="6"/>
        <v>3340834844</v>
      </c>
      <c r="L31" s="1557">
        <f t="shared" si="6"/>
        <v>3348324963</v>
      </c>
      <c r="M31" s="1557">
        <f t="shared" si="6"/>
        <v>3362611855</v>
      </c>
      <c r="N31" s="1557">
        <f t="shared" si="6"/>
        <v>3376137874</v>
      </c>
      <c r="O31" s="1557">
        <f t="shared" si="6"/>
        <v>3380259690</v>
      </c>
      <c r="P31" s="1966">
        <f t="shared" si="6"/>
        <v>3318375306</v>
      </c>
      <c r="Q31" s="1139"/>
      <c r="R31" s="1139"/>
      <c r="S31" s="1139"/>
      <c r="T31" s="1139"/>
      <c r="U31" s="1139"/>
    </row>
    <row r="32" spans="1:21">
      <c r="A32" s="1119"/>
      <c r="B32" s="1947"/>
      <c r="C32" s="1948"/>
      <c r="D32" s="1144"/>
      <c r="E32" s="1144"/>
      <c r="F32" s="1144"/>
      <c r="G32" s="1144"/>
      <c r="H32" s="1144"/>
      <c r="I32" s="1144"/>
      <c r="J32" s="1144"/>
      <c r="K32" s="1144"/>
      <c r="L32" s="1144"/>
      <c r="M32" s="1144"/>
      <c r="N32" s="1144"/>
      <c r="O32" s="1144"/>
      <c r="P32" s="1149"/>
      <c r="Q32" s="1139"/>
      <c r="R32" s="1139"/>
      <c r="S32" s="1139"/>
      <c r="T32" s="1139"/>
      <c r="U32" s="1139"/>
    </row>
    <row r="33" spans="1:21">
      <c r="A33" s="1119"/>
      <c r="B33" s="1131"/>
      <c r="C33" s="1946"/>
      <c r="D33" s="1945"/>
      <c r="E33" s="1145"/>
      <c r="F33" s="1145"/>
      <c r="G33" s="1145"/>
      <c r="H33" s="1145"/>
      <c r="I33" s="1145"/>
      <c r="J33" s="1145"/>
      <c r="K33" s="1145"/>
      <c r="L33" s="1145"/>
      <c r="M33" s="1145"/>
      <c r="N33" s="1145"/>
      <c r="O33" s="1145"/>
      <c r="P33" s="1145"/>
      <c r="Q33" s="1139"/>
      <c r="R33" s="1139"/>
      <c r="S33" s="1139"/>
      <c r="T33" s="1139"/>
      <c r="U33" s="1139"/>
    </row>
    <row r="34" spans="1:21">
      <c r="A34" s="1119"/>
      <c r="C34" s="1146"/>
      <c r="D34" s="1146"/>
      <c r="E34" s="1146"/>
      <c r="F34" s="1146"/>
      <c r="G34" s="1146"/>
      <c r="H34" s="1146"/>
      <c r="I34" s="1146"/>
      <c r="J34" s="1146"/>
      <c r="K34" s="1146"/>
      <c r="L34" s="1146"/>
      <c r="M34" s="1146"/>
      <c r="N34" s="1146"/>
      <c r="O34" s="1146"/>
      <c r="P34" s="1146"/>
      <c r="Q34" s="1139"/>
      <c r="R34" s="1139"/>
      <c r="S34" s="1139"/>
      <c r="T34" s="1139"/>
      <c r="U34" s="1139"/>
    </row>
    <row r="35" spans="1:21" s="1125" customFormat="1" ht="15">
      <c r="A35" s="1122"/>
      <c r="B35" s="1123"/>
      <c r="C35" s="2194" t="s">
        <v>559</v>
      </c>
      <c r="D35" s="2194"/>
      <c r="E35" s="2194"/>
      <c r="F35" s="2194"/>
      <c r="G35" s="2194"/>
      <c r="H35" s="2194"/>
      <c r="I35" s="2194"/>
      <c r="J35" s="2194"/>
      <c r="K35" s="2194"/>
      <c r="L35" s="2194"/>
      <c r="M35" s="2194"/>
      <c r="N35" s="2194"/>
      <c r="O35" s="2194"/>
      <c r="P35" s="2195"/>
      <c r="Q35" s="1124"/>
      <c r="R35" s="1124"/>
      <c r="S35" s="1124"/>
      <c r="T35" s="1124"/>
      <c r="U35" s="1124"/>
    </row>
    <row r="36" spans="1:21" s="1118" customFormat="1">
      <c r="A36" s="1147"/>
      <c r="B36" s="1126"/>
      <c r="C36" s="1127" t="s">
        <v>1107</v>
      </c>
      <c r="D36" s="1128"/>
      <c r="E36" s="1129"/>
      <c r="F36" s="1128"/>
      <c r="G36" s="1129"/>
      <c r="H36" s="1128"/>
      <c r="I36" s="1129"/>
      <c r="J36" s="1128"/>
      <c r="K36" s="1129"/>
      <c r="L36" s="1128"/>
      <c r="M36" s="1129"/>
      <c r="N36" s="1128"/>
      <c r="O36" s="1127" t="s">
        <v>1107</v>
      </c>
      <c r="P36" s="1130" t="s">
        <v>1108</v>
      </c>
      <c r="Q36" s="1131"/>
      <c r="R36" s="1131"/>
      <c r="S36" s="1131"/>
      <c r="T36" s="1131"/>
      <c r="U36" s="1131"/>
    </row>
    <row r="37" spans="1:21" s="1137" customFormat="1">
      <c r="A37" s="1148"/>
      <c r="B37" s="1132"/>
      <c r="C37" s="1133">
        <f>C24</f>
        <v>40878</v>
      </c>
      <c r="D37" s="1133">
        <f t="shared" ref="D37:O37" si="7">D24</f>
        <v>40909</v>
      </c>
      <c r="E37" s="1133">
        <f t="shared" si="7"/>
        <v>40940</v>
      </c>
      <c r="F37" s="1133">
        <f t="shared" si="7"/>
        <v>40969</v>
      </c>
      <c r="G37" s="1133">
        <f t="shared" si="7"/>
        <v>41000</v>
      </c>
      <c r="H37" s="1133">
        <f t="shared" si="7"/>
        <v>41030</v>
      </c>
      <c r="I37" s="1133">
        <f t="shared" si="7"/>
        <v>41061</v>
      </c>
      <c r="J37" s="1133">
        <f t="shared" si="7"/>
        <v>41091</v>
      </c>
      <c r="K37" s="1133">
        <f t="shared" si="7"/>
        <v>41122</v>
      </c>
      <c r="L37" s="1133">
        <f t="shared" si="7"/>
        <v>41153</v>
      </c>
      <c r="M37" s="1133">
        <f t="shared" si="7"/>
        <v>41183</v>
      </c>
      <c r="N37" s="1133">
        <f t="shared" si="7"/>
        <v>41214</v>
      </c>
      <c r="O37" s="1133">
        <f t="shared" si="7"/>
        <v>41244</v>
      </c>
      <c r="P37" s="1135" t="s">
        <v>1585</v>
      </c>
      <c r="Q37" s="1136"/>
      <c r="R37" s="1136"/>
      <c r="S37" s="1136"/>
      <c r="T37" s="1136"/>
      <c r="U37" s="1136"/>
    </row>
    <row r="38" spans="1:21">
      <c r="A38" s="1119">
        <f>A31+1</f>
        <v>15</v>
      </c>
      <c r="B38" s="1140" t="s">
        <v>1586</v>
      </c>
      <c r="C38" s="1173">
        <f t="shared" ref="C38:P38" si="8">C12-C25</f>
        <v>1824708515</v>
      </c>
      <c r="D38" s="1173">
        <f t="shared" si="8"/>
        <v>1832006860</v>
      </c>
      <c r="E38" s="1173">
        <f t="shared" si="8"/>
        <v>1817905488</v>
      </c>
      <c r="F38" s="1173">
        <f t="shared" si="8"/>
        <v>1814634775</v>
      </c>
      <c r="G38" s="1173">
        <f t="shared" si="8"/>
        <v>1827106511</v>
      </c>
      <c r="H38" s="1173">
        <f t="shared" si="8"/>
        <v>1822978792</v>
      </c>
      <c r="I38" s="1173">
        <f t="shared" si="8"/>
        <v>1843784634</v>
      </c>
      <c r="J38" s="1173">
        <f t="shared" si="8"/>
        <v>1848207977</v>
      </c>
      <c r="K38" s="1173">
        <f t="shared" si="8"/>
        <v>1846292410</v>
      </c>
      <c r="L38" s="1173">
        <f t="shared" si="8"/>
        <v>1843560573</v>
      </c>
      <c r="M38" s="1173">
        <f t="shared" si="8"/>
        <v>1846967224</v>
      </c>
      <c r="N38" s="1173">
        <f t="shared" si="8"/>
        <v>1847828346</v>
      </c>
      <c r="O38" s="1173">
        <f t="shared" si="8"/>
        <v>1841850388</v>
      </c>
      <c r="P38" s="1173">
        <f t="shared" si="8"/>
        <v>1835217884</v>
      </c>
      <c r="Q38" s="1139"/>
      <c r="R38" s="1139"/>
      <c r="S38" s="1139"/>
      <c r="T38" s="1139"/>
      <c r="U38" s="1139"/>
    </row>
    <row r="39" spans="1:21">
      <c r="A39" s="1119">
        <f t="shared" ref="A39:A44" si="9">A38+1</f>
        <v>16</v>
      </c>
      <c r="B39" s="1141" t="s">
        <v>1587</v>
      </c>
      <c r="C39" s="1152">
        <f t="shared" ref="C39:P39" si="10">C13-C26</f>
        <v>1074463190</v>
      </c>
      <c r="D39" s="2008">
        <f t="shared" si="10"/>
        <v>1070373350</v>
      </c>
      <c r="E39" s="2008">
        <f t="shared" si="10"/>
        <v>1066627179</v>
      </c>
      <c r="F39" s="2008">
        <f t="shared" si="10"/>
        <v>1062683280</v>
      </c>
      <c r="G39" s="2008">
        <f t="shared" si="10"/>
        <v>1060621964</v>
      </c>
      <c r="H39" s="2008">
        <f t="shared" si="10"/>
        <v>1056365281</v>
      </c>
      <c r="I39" s="2008">
        <f t="shared" si="10"/>
        <v>1053901264</v>
      </c>
      <c r="J39" s="2008">
        <f t="shared" si="10"/>
        <v>1050074006</v>
      </c>
      <c r="K39" s="2008">
        <f t="shared" si="10"/>
        <v>1046623848</v>
      </c>
      <c r="L39" s="2008">
        <f t="shared" si="10"/>
        <v>1043446305</v>
      </c>
      <c r="M39" s="2008">
        <f t="shared" si="10"/>
        <v>1039670618</v>
      </c>
      <c r="N39" s="2008">
        <f t="shared" si="10"/>
        <v>1036656602</v>
      </c>
      <c r="O39" s="2008">
        <f t="shared" si="10"/>
        <v>1034346756</v>
      </c>
      <c r="P39" s="1152">
        <f t="shared" si="10"/>
        <v>1053527203</v>
      </c>
      <c r="Q39" s="1139"/>
      <c r="R39" s="1139"/>
      <c r="S39" s="1139"/>
      <c r="T39" s="1139"/>
      <c r="U39" s="1139"/>
    </row>
    <row r="40" spans="1:21">
      <c r="A40" s="1119">
        <f t="shared" si="9"/>
        <v>17</v>
      </c>
      <c r="B40" s="1140" t="s">
        <v>452</v>
      </c>
      <c r="C40" s="1150">
        <f t="shared" ref="C40:P40" si="11">C14-C27</f>
        <v>231188166</v>
      </c>
      <c r="D40" s="2009">
        <f t="shared" si="11"/>
        <v>230312183</v>
      </c>
      <c r="E40" s="2009">
        <f t="shared" si="11"/>
        <v>230040168</v>
      </c>
      <c r="F40" s="2009">
        <f t="shared" si="11"/>
        <v>230657463</v>
      </c>
      <c r="G40" s="2009">
        <f t="shared" si="11"/>
        <v>230625109</v>
      </c>
      <c r="H40" s="2009">
        <f t="shared" si="11"/>
        <v>230853279</v>
      </c>
      <c r="I40" s="2009">
        <f t="shared" si="11"/>
        <v>230167843</v>
      </c>
      <c r="J40" s="2009">
        <f t="shared" si="11"/>
        <v>230244375</v>
      </c>
      <c r="K40" s="2009">
        <f t="shared" si="11"/>
        <v>228192537</v>
      </c>
      <c r="L40" s="2009">
        <f t="shared" si="11"/>
        <v>228350719</v>
      </c>
      <c r="M40" s="2009">
        <f t="shared" si="11"/>
        <v>227622121</v>
      </c>
      <c r="N40" s="2009">
        <f t="shared" si="11"/>
        <v>228142225</v>
      </c>
      <c r="O40" s="2009">
        <f t="shared" si="11"/>
        <v>237432558</v>
      </c>
      <c r="P40" s="1150">
        <f t="shared" si="11"/>
        <v>230294519</v>
      </c>
      <c r="Q40" s="1139"/>
      <c r="R40" s="1139"/>
      <c r="S40" s="1139"/>
      <c r="T40" s="1139"/>
      <c r="U40" s="1139"/>
    </row>
    <row r="41" spans="1:21">
      <c r="A41" s="1119">
        <f t="shared" si="9"/>
        <v>18</v>
      </c>
      <c r="B41" s="1141" t="s">
        <v>1588</v>
      </c>
      <c r="C41" s="1152">
        <f t="shared" ref="C41:P41" si="12">C15-C28</f>
        <v>1158305521</v>
      </c>
      <c r="D41" s="2008">
        <f t="shared" si="12"/>
        <v>1158005757</v>
      </c>
      <c r="E41" s="2008">
        <f t="shared" si="12"/>
        <v>1158421220</v>
      </c>
      <c r="F41" s="2008">
        <f t="shared" si="12"/>
        <v>1161412254</v>
      </c>
      <c r="G41" s="2008">
        <f t="shared" si="12"/>
        <v>1164118599</v>
      </c>
      <c r="H41" s="2008">
        <f t="shared" si="12"/>
        <v>1164585124</v>
      </c>
      <c r="I41" s="2008">
        <f t="shared" si="12"/>
        <v>1165322475</v>
      </c>
      <c r="J41" s="2008">
        <f t="shared" si="12"/>
        <v>1170390350</v>
      </c>
      <c r="K41" s="2008">
        <f t="shared" si="12"/>
        <v>1175830369</v>
      </c>
      <c r="L41" s="2008">
        <f t="shared" si="12"/>
        <v>1178585016</v>
      </c>
      <c r="M41" s="2008">
        <f t="shared" si="12"/>
        <v>1180513846</v>
      </c>
      <c r="N41" s="2008">
        <f t="shared" si="12"/>
        <v>1182259301</v>
      </c>
      <c r="O41" s="2008">
        <f t="shared" si="12"/>
        <v>1183325866</v>
      </c>
      <c r="P41" s="1152">
        <f t="shared" si="12"/>
        <v>1169313516</v>
      </c>
      <c r="Q41" s="1139"/>
      <c r="R41" s="1139"/>
      <c r="S41" s="1139"/>
      <c r="T41" s="1139"/>
      <c r="U41" s="1139"/>
    </row>
    <row r="42" spans="1:21">
      <c r="A42" s="1119">
        <f t="shared" si="9"/>
        <v>19</v>
      </c>
      <c r="B42" s="1140" t="s">
        <v>1589</v>
      </c>
      <c r="C42" s="1150">
        <f t="shared" ref="C42:P42" si="13">C16-C29</f>
        <v>243588618</v>
      </c>
      <c r="D42" s="2009">
        <f t="shared" si="13"/>
        <v>242707180</v>
      </c>
      <c r="E42" s="2009">
        <f t="shared" si="13"/>
        <v>241058218</v>
      </c>
      <c r="F42" s="2009">
        <f t="shared" si="13"/>
        <v>241857614</v>
      </c>
      <c r="G42" s="2009">
        <f t="shared" si="13"/>
        <v>243423201</v>
      </c>
      <c r="H42" s="2009">
        <f t="shared" si="13"/>
        <v>242601237</v>
      </c>
      <c r="I42" s="2009">
        <f t="shared" si="13"/>
        <v>242451573</v>
      </c>
      <c r="J42" s="2009">
        <f t="shared" si="13"/>
        <v>244873202</v>
      </c>
      <c r="K42" s="2009">
        <f t="shared" si="13"/>
        <v>245403017</v>
      </c>
      <c r="L42" s="2009">
        <f t="shared" si="13"/>
        <v>244543387</v>
      </c>
      <c r="M42" s="2009">
        <f t="shared" si="13"/>
        <v>247646838</v>
      </c>
      <c r="N42" s="2009">
        <f t="shared" si="13"/>
        <v>248523471</v>
      </c>
      <c r="O42" s="2009">
        <f t="shared" si="13"/>
        <v>241320939</v>
      </c>
      <c r="P42" s="1150">
        <f t="shared" si="13"/>
        <v>243846038</v>
      </c>
      <c r="Q42" s="1139"/>
      <c r="R42" s="1139"/>
      <c r="S42" s="1139"/>
      <c r="T42" s="1139"/>
      <c r="U42" s="1139"/>
    </row>
    <row r="43" spans="1:21">
      <c r="A43" s="1119">
        <f t="shared" si="9"/>
        <v>20</v>
      </c>
      <c r="B43" s="1138" t="s">
        <v>574</v>
      </c>
      <c r="C43" s="1152">
        <f t="shared" ref="C43:P43" si="14">C17-C30</f>
        <v>39496228</v>
      </c>
      <c r="D43" s="2008">
        <f t="shared" si="14"/>
        <v>38654541</v>
      </c>
      <c r="E43" s="2008">
        <f t="shared" si="14"/>
        <v>37578041</v>
      </c>
      <c r="F43" s="2008">
        <f t="shared" si="14"/>
        <v>36721360</v>
      </c>
      <c r="G43" s="2008">
        <f t="shared" si="14"/>
        <v>36577008</v>
      </c>
      <c r="H43" s="2008">
        <f t="shared" si="14"/>
        <v>35384448</v>
      </c>
      <c r="I43" s="2008">
        <f t="shared" si="14"/>
        <v>40177241</v>
      </c>
      <c r="J43" s="2008">
        <f t="shared" si="14"/>
        <v>38525687</v>
      </c>
      <c r="K43" s="2008">
        <f t="shared" si="14"/>
        <v>40082279</v>
      </c>
      <c r="L43" s="2008">
        <f t="shared" si="14"/>
        <v>42514767</v>
      </c>
      <c r="M43" s="2008">
        <f t="shared" si="14"/>
        <v>42950506</v>
      </c>
      <c r="N43" s="2008">
        <f t="shared" si="14"/>
        <v>41628387</v>
      </c>
      <c r="O43" s="2008">
        <f t="shared" si="14"/>
        <v>42334267</v>
      </c>
      <c r="P43" s="1152">
        <f t="shared" si="14"/>
        <v>39432673</v>
      </c>
      <c r="Q43" s="1139"/>
      <c r="R43" s="1139"/>
      <c r="S43" s="1139"/>
      <c r="T43" s="1139"/>
      <c r="U43" s="1139"/>
    </row>
    <row r="44" spans="1:21">
      <c r="A44" s="1119">
        <f t="shared" si="9"/>
        <v>21</v>
      </c>
      <c r="B44" s="1142" t="s">
        <v>54</v>
      </c>
      <c r="C44" s="1557">
        <f t="shared" ref="C44:P44" si="15">SUM(C38:C43)</f>
        <v>4571750238</v>
      </c>
      <c r="D44" s="1557">
        <f t="shared" si="15"/>
        <v>4572059871</v>
      </c>
      <c r="E44" s="1557">
        <f t="shared" si="15"/>
        <v>4551630314</v>
      </c>
      <c r="F44" s="1557">
        <f t="shared" si="15"/>
        <v>4547966746</v>
      </c>
      <c r="G44" s="1557">
        <f t="shared" si="15"/>
        <v>4562472392</v>
      </c>
      <c r="H44" s="1557">
        <f t="shared" si="15"/>
        <v>4552768161</v>
      </c>
      <c r="I44" s="1557">
        <f t="shared" si="15"/>
        <v>4575805030</v>
      </c>
      <c r="J44" s="1557">
        <f t="shared" si="15"/>
        <v>4582315597</v>
      </c>
      <c r="K44" s="1557">
        <f t="shared" si="15"/>
        <v>4582424460</v>
      </c>
      <c r="L44" s="1557">
        <f t="shared" si="15"/>
        <v>4581000767</v>
      </c>
      <c r="M44" s="1557">
        <f t="shared" si="15"/>
        <v>4585371153</v>
      </c>
      <c r="N44" s="1557">
        <f t="shared" si="15"/>
        <v>4585038332</v>
      </c>
      <c r="O44" s="1557">
        <f t="shared" si="15"/>
        <v>4580610774</v>
      </c>
      <c r="P44" s="1557">
        <f t="shared" si="15"/>
        <v>4571631833</v>
      </c>
      <c r="Q44" s="1139"/>
      <c r="R44" s="1139"/>
      <c r="S44" s="1139"/>
      <c r="T44" s="1139"/>
      <c r="U44" s="1139"/>
    </row>
    <row r="45" spans="1:21">
      <c r="A45" s="1119"/>
      <c r="B45" s="1143"/>
      <c r="C45" s="1144"/>
      <c r="D45" s="1144"/>
      <c r="E45" s="1144"/>
      <c r="F45" s="1144"/>
      <c r="G45" s="1144"/>
      <c r="H45" s="1144"/>
      <c r="I45" s="1144"/>
      <c r="J45" s="1144"/>
      <c r="K45" s="1144"/>
      <c r="L45" s="1144"/>
      <c r="M45" s="1144"/>
      <c r="N45" s="1144"/>
      <c r="O45" s="1144"/>
      <c r="P45" s="1149"/>
      <c r="Q45" s="1139"/>
      <c r="R45" s="1139"/>
      <c r="S45" s="1139"/>
      <c r="T45" s="1139"/>
      <c r="U45" s="1139"/>
    </row>
    <row r="46" spans="1:21">
      <c r="A46" s="1119"/>
      <c r="B46" s="1159" t="s">
        <v>1547</v>
      </c>
      <c r="C46" s="1145"/>
      <c r="D46" s="1145"/>
      <c r="E46" s="1145"/>
      <c r="F46" s="1145"/>
      <c r="G46" s="1145"/>
      <c r="H46" s="1145"/>
      <c r="I46" s="1145"/>
      <c r="J46" s="1145"/>
      <c r="K46" s="1145"/>
      <c r="L46" s="1145"/>
      <c r="M46" s="1145"/>
      <c r="N46" s="1145"/>
      <c r="O46" s="1145"/>
      <c r="P46" s="1145"/>
      <c r="Q46" s="1139"/>
      <c r="R46" s="1139"/>
      <c r="S46" s="1139"/>
      <c r="T46" s="1139"/>
      <c r="U46" s="1139"/>
    </row>
    <row r="47" spans="1:21">
      <c r="A47" s="1119"/>
      <c r="B47" s="1159" t="s">
        <v>63</v>
      </c>
      <c r="C47" s="1145"/>
      <c r="D47" s="1145"/>
      <c r="E47" s="1145"/>
      <c r="F47" s="1145"/>
      <c r="G47" s="1145"/>
      <c r="H47" s="1145"/>
      <c r="I47" s="1145"/>
      <c r="J47" s="1145"/>
      <c r="K47" s="1145"/>
      <c r="L47" s="1145"/>
      <c r="M47" s="1145"/>
      <c r="N47" s="1145"/>
      <c r="O47" s="1145"/>
      <c r="P47" s="1145"/>
      <c r="Q47" s="1139"/>
      <c r="R47" s="1139"/>
      <c r="S47" s="1139"/>
      <c r="T47" s="1139"/>
      <c r="U47" s="1139"/>
    </row>
    <row r="48" spans="1:21">
      <c r="A48" s="1119"/>
      <c r="B48" s="1159" t="s">
        <v>1813</v>
      </c>
      <c r="C48" s="1145"/>
      <c r="D48" s="1145"/>
      <c r="E48" s="1145"/>
      <c r="F48" s="1145"/>
      <c r="G48" s="1145"/>
      <c r="H48" s="1145"/>
      <c r="I48" s="1145"/>
      <c r="J48" s="1145"/>
      <c r="K48" s="1145"/>
      <c r="L48" s="1145"/>
      <c r="M48" s="1145"/>
      <c r="N48" s="1145"/>
      <c r="O48" s="1145"/>
      <c r="P48" s="1145"/>
      <c r="Q48" s="1139"/>
      <c r="R48" s="1139"/>
      <c r="S48" s="1139"/>
      <c r="T48" s="1139"/>
      <c r="U48" s="1139"/>
    </row>
    <row r="49" spans="1:21">
      <c r="A49" s="1119"/>
      <c r="B49" s="1120"/>
      <c r="Q49" s="1139"/>
      <c r="R49" s="1139"/>
      <c r="S49" s="1139"/>
      <c r="T49" s="1139"/>
      <c r="U49" s="1139"/>
    </row>
    <row r="50" spans="1:21" ht="20.25">
      <c r="A50" s="1117" t="str">
        <f>A1</f>
        <v>Kansas City Power &amp; Light Company</v>
      </c>
      <c r="N50" s="2193" t="s">
        <v>184</v>
      </c>
      <c r="O50" s="2193"/>
    </row>
    <row r="51" spans="1:21">
      <c r="A51" s="1119"/>
      <c r="P51" s="1622"/>
    </row>
    <row r="52" spans="1:21" ht="20.25">
      <c r="A52" s="2242" t="str">
        <f>A3</f>
        <v>A-11 13 Month Average Balance and BOY-EOY Average Balances</v>
      </c>
      <c r="B52" s="2242"/>
      <c r="C52" s="2242"/>
      <c r="D52" s="2242"/>
      <c r="E52" s="2242"/>
      <c r="F52" s="2242"/>
      <c r="G52" s="2242"/>
      <c r="H52" s="2242"/>
      <c r="P52" s="1119" t="s">
        <v>1738</v>
      </c>
    </row>
    <row r="53" spans="1:21" ht="12.75" customHeight="1">
      <c r="B53" s="1121" t="s">
        <v>1128</v>
      </c>
      <c r="C53" s="1120"/>
      <c r="D53" s="1120"/>
      <c r="E53" s="1120"/>
      <c r="F53" s="1161"/>
    </row>
    <row r="54" spans="1:21" ht="12.75" customHeight="1">
      <c r="C54" s="1120"/>
      <c r="D54" s="1120"/>
      <c r="E54" s="1120"/>
      <c r="F54" s="1161"/>
    </row>
    <row r="55" spans="1:21" ht="12.75" customHeight="1">
      <c r="B55" s="1120"/>
      <c r="C55" s="1120"/>
      <c r="D55" s="1120"/>
      <c r="E55" s="1120"/>
      <c r="F55" s="1161"/>
      <c r="G55" s="1396"/>
      <c r="H55" s="1396"/>
      <c r="I55" s="1397"/>
      <c r="J55" s="1398"/>
    </row>
    <row r="56" spans="1:21" ht="12.75" customHeight="1">
      <c r="A56" s="1119"/>
      <c r="B56" s="1162"/>
      <c r="C56" s="1174"/>
      <c r="D56" s="1163" t="s">
        <v>566</v>
      </c>
      <c r="E56" s="1164" t="s">
        <v>567</v>
      </c>
      <c r="F56" s="1163" t="s">
        <v>568</v>
      </c>
      <c r="G56" s="1809" t="s">
        <v>1612</v>
      </c>
      <c r="H56" s="1810" t="s">
        <v>1613</v>
      </c>
      <c r="I56" s="1810" t="s">
        <v>822</v>
      </c>
      <c r="J56" s="1811" t="s">
        <v>823</v>
      </c>
    </row>
    <row r="57" spans="1:21" ht="12.75" customHeight="1">
      <c r="A57" s="1119"/>
      <c r="B57" s="1797" t="s">
        <v>905</v>
      </c>
      <c r="C57" s="1798"/>
      <c r="D57" s="1799" t="s">
        <v>569</v>
      </c>
      <c r="E57" s="1187" t="s">
        <v>569</v>
      </c>
      <c r="F57" s="1800" t="s">
        <v>1534</v>
      </c>
      <c r="G57" s="1801" t="s">
        <v>824</v>
      </c>
      <c r="H57" s="1802" t="s">
        <v>824</v>
      </c>
      <c r="I57" s="1802" t="s">
        <v>824</v>
      </c>
      <c r="J57" s="1803" t="s">
        <v>824</v>
      </c>
    </row>
    <row r="58" spans="1:21" ht="12.75" customHeight="1">
      <c r="A58" s="1119">
        <f>A44+1</f>
        <v>22</v>
      </c>
      <c r="B58" s="1795" t="s">
        <v>904</v>
      </c>
      <c r="C58" s="1804"/>
      <c r="D58" s="1805" t="s">
        <v>1129</v>
      </c>
      <c r="E58" s="1805" t="s">
        <v>1130</v>
      </c>
      <c r="F58" s="1806"/>
      <c r="G58" s="1796"/>
      <c r="H58" s="1796"/>
      <c r="I58" s="1796"/>
      <c r="J58" s="1921"/>
    </row>
    <row r="59" spans="1:21" ht="12.75" customHeight="1">
      <c r="A59" s="1119">
        <f>A58+1</f>
        <v>23</v>
      </c>
      <c r="B59" s="1807" t="s">
        <v>903</v>
      </c>
      <c r="C59" s="1804"/>
      <c r="D59" s="1368">
        <v>-3868421</v>
      </c>
      <c r="E59" s="2074">
        <v>-2933441</v>
      </c>
      <c r="F59" s="1370">
        <f>IF((D59+E59)=0,0,(AVERAGE((D59:E59))))</f>
        <v>-3400931</v>
      </c>
      <c r="G59" s="1808">
        <v>0</v>
      </c>
      <c r="H59" s="1808">
        <v>0</v>
      </c>
      <c r="I59" s="1808">
        <v>0</v>
      </c>
      <c r="J59" s="1922">
        <f>F59</f>
        <v>-3400931</v>
      </c>
    </row>
    <row r="60" spans="1:21" ht="12.75" customHeight="1">
      <c r="A60" s="1796" t="s">
        <v>1540</v>
      </c>
      <c r="B60" s="1366"/>
      <c r="C60" s="1367"/>
      <c r="D60" s="1368"/>
      <c r="E60" s="1369"/>
      <c r="F60" s="1370">
        <f>IF((D60+E60)=0,0,(AVERAGE((D60:E60))))</f>
        <v>0</v>
      </c>
      <c r="G60" s="1812">
        <v>0</v>
      </c>
      <c r="H60" s="1813">
        <v>0</v>
      </c>
      <c r="I60" s="1813">
        <v>0</v>
      </c>
      <c r="J60" s="1923">
        <v>0</v>
      </c>
    </row>
    <row r="61" spans="1:21" ht="12.75" customHeight="1">
      <c r="A61" s="1796" t="s">
        <v>1541</v>
      </c>
      <c r="B61" s="1819"/>
      <c r="C61" s="1820" t="s">
        <v>54</v>
      </c>
      <c r="D61" s="1821">
        <f t="shared" ref="D61:J61" si="16">SUM(D59:D60)</f>
        <v>-3868421</v>
      </c>
      <c r="E61" s="1821">
        <f t="shared" si="16"/>
        <v>-2933441</v>
      </c>
      <c r="F61" s="1822">
        <f t="shared" si="16"/>
        <v>-3400931</v>
      </c>
      <c r="G61" s="1814">
        <f t="shared" si="16"/>
        <v>0</v>
      </c>
      <c r="H61" s="1814">
        <f t="shared" si="16"/>
        <v>0</v>
      </c>
      <c r="I61" s="1814">
        <f t="shared" si="16"/>
        <v>0</v>
      </c>
      <c r="J61" s="1924">
        <f t="shared" si="16"/>
        <v>-3400931</v>
      </c>
      <c r="K61" s="1796"/>
      <c r="L61" s="1796"/>
      <c r="M61" s="1796"/>
    </row>
    <row r="62" spans="1:21" ht="12.75" customHeight="1">
      <c r="A62" s="1796" t="s">
        <v>1607</v>
      </c>
      <c r="B62" s="1419"/>
      <c r="C62" s="77"/>
      <c r="D62" s="77"/>
      <c r="E62" s="77"/>
      <c r="F62" s="77"/>
      <c r="G62" s="1815"/>
      <c r="H62" s="1816"/>
      <c r="I62" s="1815"/>
      <c r="J62" s="1925"/>
      <c r="K62" s="1796"/>
      <c r="L62" s="1796"/>
      <c r="M62" s="1796"/>
    </row>
    <row r="63" spans="1:21" ht="12.75" customHeight="1">
      <c r="A63" s="1796" t="s">
        <v>1608</v>
      </c>
      <c r="B63" s="77"/>
      <c r="C63" s="77"/>
      <c r="D63" s="77"/>
      <c r="E63" s="1823" t="s">
        <v>1776</v>
      </c>
      <c r="F63" s="1796"/>
      <c r="G63" s="81"/>
      <c r="H63" s="81"/>
      <c r="I63" s="81"/>
      <c r="J63" s="1926">
        <f>WS</f>
        <v>1.898472513614197E-2</v>
      </c>
      <c r="K63" s="1796"/>
      <c r="L63" s="1796"/>
      <c r="M63" s="1796"/>
    </row>
    <row r="64" spans="1:21" ht="12.75" customHeight="1">
      <c r="A64" s="1796" t="s">
        <v>1609</v>
      </c>
      <c r="B64" s="77"/>
      <c r="C64" s="77"/>
      <c r="D64" s="77"/>
      <c r="E64" s="1823" t="s">
        <v>1623</v>
      </c>
      <c r="F64" s="1796"/>
      <c r="G64" s="1815"/>
      <c r="H64" s="1817"/>
      <c r="I64" s="1818">
        <f>GP</f>
        <v>4.3009977375187969E-2</v>
      </c>
      <c r="J64" s="1927"/>
      <c r="K64" s="1796"/>
      <c r="L64" s="1796"/>
      <c r="M64" s="1796"/>
    </row>
    <row r="65" spans="1:16" ht="12.75" customHeight="1">
      <c r="A65" s="1796" t="s">
        <v>1610</v>
      </c>
      <c r="B65" s="77"/>
      <c r="C65" s="77"/>
      <c r="D65" s="77"/>
      <c r="E65" s="1823" t="s">
        <v>1697</v>
      </c>
      <c r="F65" s="1796"/>
      <c r="G65" s="1815"/>
      <c r="H65" s="1818">
        <f>DA</f>
        <v>1</v>
      </c>
      <c r="I65" s="1817"/>
      <c r="J65" s="1927"/>
      <c r="K65" s="1796"/>
      <c r="L65" s="1796"/>
      <c r="M65" s="1796"/>
    </row>
    <row r="66" spans="1:16" ht="12.75" customHeight="1" thickBot="1">
      <c r="A66" s="1796" t="s">
        <v>1611</v>
      </c>
      <c r="B66" s="77"/>
      <c r="C66" s="77"/>
      <c r="D66" s="77"/>
      <c r="E66" s="77"/>
      <c r="F66" s="77"/>
      <c r="G66" s="1413">
        <v>0</v>
      </c>
      <c r="H66" s="1413">
        <f>H61*H65</f>
        <v>0</v>
      </c>
      <c r="I66" s="1413">
        <f>I61*I64</f>
        <v>0</v>
      </c>
      <c r="J66" s="1928">
        <f>J61*J63</f>
        <v>-64565.740241984444</v>
      </c>
      <c r="K66" s="77"/>
      <c r="L66" s="77"/>
      <c r="M66" s="1186"/>
      <c r="N66" s="1156"/>
      <c r="O66" s="1156"/>
      <c r="P66" s="1156"/>
    </row>
    <row r="67" spans="1:16" ht="12.75" customHeight="1" thickTop="1">
      <c r="A67" s="1186"/>
      <c r="B67" s="77"/>
      <c r="C67" s="77"/>
      <c r="D67" s="77"/>
      <c r="E67" s="77"/>
      <c r="F67" s="77"/>
      <c r="G67" s="1237"/>
      <c r="H67" s="1237"/>
      <c r="I67" s="1237"/>
      <c r="J67" s="1237"/>
      <c r="K67" s="77"/>
      <c r="L67" s="77"/>
      <c r="M67" s="1186"/>
      <c r="N67" s="1156"/>
      <c r="O67" s="1156"/>
      <c r="P67" s="1156"/>
    </row>
    <row r="68" spans="1:16" ht="12.75" customHeight="1">
      <c r="A68" s="1186"/>
      <c r="B68" s="1390" t="s">
        <v>96</v>
      </c>
      <c r="C68" s="1390"/>
      <c r="D68" s="1389"/>
      <c r="E68" s="1389"/>
      <c r="F68" s="1389"/>
      <c r="G68" s="1186"/>
      <c r="H68" s="1186"/>
      <c r="I68" s="1186"/>
      <c r="J68" s="1186"/>
      <c r="K68" s="1186"/>
      <c r="L68" s="1186"/>
      <c r="M68" s="1186"/>
      <c r="N68" s="1156"/>
      <c r="O68" s="1156"/>
      <c r="P68" s="1156"/>
    </row>
    <row r="69" spans="1:16" ht="12.75" customHeight="1">
      <c r="A69" s="1186"/>
      <c r="B69" s="1324"/>
      <c r="C69" s="1390"/>
      <c r="D69" s="1389"/>
      <c r="E69" s="1389"/>
      <c r="F69" s="1389"/>
      <c r="G69" s="1156"/>
      <c r="H69" s="1156"/>
      <c r="I69" s="1156"/>
      <c r="J69" s="1156"/>
      <c r="K69" s="1156"/>
      <c r="L69" s="1156"/>
      <c r="M69" s="1156"/>
      <c r="N69" s="1156"/>
      <c r="O69" s="1156"/>
      <c r="P69" s="1156"/>
    </row>
    <row r="70" spans="1:16" ht="12.75" customHeight="1">
      <c r="A70" s="1122"/>
      <c r="B70" s="1394"/>
      <c r="C70" s="2245"/>
      <c r="D70" s="2245"/>
      <c r="E70" s="2245"/>
      <c r="F70" s="2245"/>
      <c r="G70" s="2245"/>
      <c r="H70" s="2245"/>
      <c r="I70" s="2245"/>
      <c r="J70" s="2245"/>
      <c r="K70" s="2245"/>
      <c r="L70" s="2245"/>
      <c r="M70" s="2245"/>
      <c r="N70" s="2245"/>
      <c r="O70" s="2245"/>
      <c r="P70" s="2246"/>
    </row>
    <row r="71" spans="1:16" ht="12.75" customHeight="1">
      <c r="A71" s="1147"/>
      <c r="B71" s="1138"/>
      <c r="C71" s="1233" t="s">
        <v>1107</v>
      </c>
      <c r="D71" s="1128"/>
      <c r="E71" s="1129"/>
      <c r="F71" s="1128"/>
      <c r="G71" s="1129"/>
      <c r="H71" s="1128"/>
      <c r="I71" s="1129"/>
      <c r="J71" s="1128"/>
      <c r="K71" s="1129"/>
      <c r="L71" s="1128"/>
      <c r="M71" s="1129"/>
      <c r="N71" s="1128"/>
      <c r="O71" s="1127" t="s">
        <v>1107</v>
      </c>
      <c r="P71" s="1130" t="s">
        <v>1108</v>
      </c>
    </row>
    <row r="72" spans="1:16" ht="12.75" customHeight="1">
      <c r="A72" s="1148"/>
      <c r="B72" s="1395"/>
      <c r="C72" s="1234">
        <f>C37</f>
        <v>40878</v>
      </c>
      <c r="D72" s="1133">
        <f t="shared" ref="D72:O72" si="17">D37</f>
        <v>40909</v>
      </c>
      <c r="E72" s="1133">
        <f t="shared" si="17"/>
        <v>40940</v>
      </c>
      <c r="F72" s="1133">
        <f t="shared" si="17"/>
        <v>40969</v>
      </c>
      <c r="G72" s="1133">
        <f t="shared" si="17"/>
        <v>41000</v>
      </c>
      <c r="H72" s="1133">
        <f t="shared" si="17"/>
        <v>41030</v>
      </c>
      <c r="I72" s="1133">
        <f t="shared" si="17"/>
        <v>41061</v>
      </c>
      <c r="J72" s="1133">
        <f t="shared" si="17"/>
        <v>41091</v>
      </c>
      <c r="K72" s="1133">
        <f t="shared" si="17"/>
        <v>41122</v>
      </c>
      <c r="L72" s="1133">
        <f t="shared" si="17"/>
        <v>41153</v>
      </c>
      <c r="M72" s="1133">
        <f t="shared" si="17"/>
        <v>41183</v>
      </c>
      <c r="N72" s="1133">
        <f t="shared" si="17"/>
        <v>41214</v>
      </c>
      <c r="O72" s="1133">
        <f t="shared" si="17"/>
        <v>41244</v>
      </c>
      <c r="P72" s="1135" t="s">
        <v>1585</v>
      </c>
    </row>
    <row r="73" spans="1:16" ht="12.75" customHeight="1">
      <c r="A73" s="1119">
        <f>A59+1</f>
        <v>24</v>
      </c>
      <c r="B73" s="1140" t="s">
        <v>44</v>
      </c>
      <c r="C73" s="1173"/>
      <c r="D73" s="1173"/>
      <c r="E73" s="1173"/>
      <c r="F73" s="1173"/>
      <c r="G73" s="1173"/>
      <c r="H73" s="1173"/>
      <c r="I73" s="1173"/>
      <c r="J73" s="1173"/>
      <c r="K73" s="1173"/>
      <c r="L73" s="1173"/>
      <c r="M73" s="1173"/>
      <c r="N73" s="1173"/>
      <c r="O73" s="1173"/>
      <c r="P73" s="1173"/>
    </row>
    <row r="74" spans="1:16" ht="12.75" customHeight="1">
      <c r="A74" s="1119">
        <f t="shared" ref="A74:A80" si="18">A73+1</f>
        <v>25</v>
      </c>
      <c r="B74" s="1327" t="s">
        <v>554</v>
      </c>
      <c r="C74" s="1624">
        <v>0</v>
      </c>
      <c r="D74" s="1624">
        <v>0</v>
      </c>
      <c r="E74" s="1624">
        <v>0</v>
      </c>
      <c r="F74" s="1624">
        <v>0</v>
      </c>
      <c r="G74" s="1624">
        <v>0</v>
      </c>
      <c r="H74" s="1624">
        <v>0</v>
      </c>
      <c r="I74" s="1624">
        <v>0</v>
      </c>
      <c r="J74" s="1624">
        <v>0</v>
      </c>
      <c r="K74" s="1624">
        <v>0</v>
      </c>
      <c r="L74" s="1624">
        <v>0</v>
      </c>
      <c r="M74" s="1624">
        <v>0</v>
      </c>
      <c r="N74" s="1624">
        <v>0</v>
      </c>
      <c r="O74" s="1624">
        <v>0</v>
      </c>
      <c r="P74" s="1325">
        <f>SUM(C74:O74)/13</f>
        <v>0</v>
      </c>
    </row>
    <row r="75" spans="1:16" ht="12.75" customHeight="1">
      <c r="A75" s="1119">
        <f t="shared" si="18"/>
        <v>26</v>
      </c>
      <c r="B75" s="1140"/>
      <c r="C75" s="1150"/>
      <c r="D75" s="1150"/>
      <c r="E75" s="1150"/>
      <c r="F75" s="1150"/>
      <c r="G75" s="1150"/>
      <c r="H75" s="1150"/>
      <c r="I75" s="1150"/>
      <c r="J75" s="1150"/>
      <c r="K75" s="1150"/>
      <c r="L75" s="1150"/>
      <c r="M75" s="1150"/>
      <c r="N75" s="1150"/>
      <c r="O75" s="1150"/>
      <c r="P75" s="1150"/>
    </row>
    <row r="76" spans="1:16" ht="12.75" customHeight="1">
      <c r="A76" s="1119">
        <f t="shared" si="18"/>
        <v>27</v>
      </c>
      <c r="B76" s="1141" t="s">
        <v>555</v>
      </c>
      <c r="C76" s="1152"/>
      <c r="D76" s="1152"/>
      <c r="E76" s="1152"/>
      <c r="F76" s="1152"/>
      <c r="G76" s="1152"/>
      <c r="H76" s="1152"/>
      <c r="I76" s="1152"/>
      <c r="J76" s="1152"/>
      <c r="K76" s="1152"/>
      <c r="L76" s="1152"/>
      <c r="M76" s="1152"/>
      <c r="N76" s="1152"/>
      <c r="O76" s="1152"/>
      <c r="P76" s="1152"/>
    </row>
    <row r="77" spans="1:16" ht="12.75" customHeight="1">
      <c r="A77" s="1119">
        <f t="shared" si="18"/>
        <v>28</v>
      </c>
      <c r="B77" s="1169" t="s">
        <v>556</v>
      </c>
      <c r="C77" s="1624">
        <v>0</v>
      </c>
      <c r="D77" s="1624">
        <v>0</v>
      </c>
      <c r="E77" s="1624">
        <v>0</v>
      </c>
      <c r="F77" s="1624">
        <v>0</v>
      </c>
      <c r="G77" s="1624">
        <v>0</v>
      </c>
      <c r="H77" s="1624">
        <v>0</v>
      </c>
      <c r="I77" s="1624">
        <v>0</v>
      </c>
      <c r="J77" s="1624">
        <v>0</v>
      </c>
      <c r="K77" s="1624">
        <v>0</v>
      </c>
      <c r="L77" s="1624">
        <v>0</v>
      </c>
      <c r="M77" s="1624">
        <v>0</v>
      </c>
      <c r="N77" s="1624">
        <v>0</v>
      </c>
      <c r="O77" s="1624">
        <v>0</v>
      </c>
      <c r="P77" s="1325">
        <f>SUM(C77:O77)/13</f>
        <v>0</v>
      </c>
    </row>
    <row r="78" spans="1:16" ht="12.75" customHeight="1">
      <c r="A78" s="1119">
        <f t="shared" si="18"/>
        <v>29</v>
      </c>
      <c r="B78" s="1138"/>
      <c r="C78" s="1173"/>
      <c r="D78" s="1173"/>
      <c r="E78" s="1173"/>
      <c r="F78" s="1173"/>
      <c r="G78" s="1173"/>
      <c r="H78" s="1173"/>
      <c r="I78" s="1173"/>
      <c r="J78" s="1173"/>
      <c r="K78" s="1173"/>
      <c r="L78" s="1173"/>
      <c r="M78" s="1173"/>
      <c r="N78" s="1173"/>
      <c r="O78" s="1173"/>
      <c r="P78" s="1326"/>
    </row>
    <row r="79" spans="1:16" ht="12.75" customHeight="1">
      <c r="A79" s="1119">
        <f t="shared" si="18"/>
        <v>30</v>
      </c>
      <c r="B79" s="1141" t="s">
        <v>557</v>
      </c>
      <c r="C79" s="1371"/>
      <c r="D79" s="1173"/>
      <c r="E79" s="1173"/>
      <c r="F79" s="1173"/>
      <c r="G79" s="1173"/>
      <c r="H79" s="1173"/>
      <c r="I79" s="1173"/>
      <c r="J79" s="1173"/>
      <c r="K79" s="1173"/>
      <c r="L79" s="1173"/>
      <c r="M79" s="1173"/>
      <c r="N79" s="1173"/>
      <c r="O79" s="1173"/>
      <c r="P79" s="1325"/>
    </row>
    <row r="80" spans="1:16" ht="12.75" customHeight="1">
      <c r="A80" s="1119">
        <f t="shared" si="18"/>
        <v>31</v>
      </c>
      <c r="B80" s="1328" t="s">
        <v>558</v>
      </c>
      <c r="C80" s="1624">
        <v>56110</v>
      </c>
      <c r="D80" s="2034">
        <v>56110</v>
      </c>
      <c r="E80" s="2034">
        <v>56110</v>
      </c>
      <c r="F80" s="2034">
        <v>56110</v>
      </c>
      <c r="G80" s="2034">
        <v>56110</v>
      </c>
      <c r="H80" s="2034">
        <v>56110</v>
      </c>
      <c r="I80" s="2034">
        <v>56110</v>
      </c>
      <c r="J80" s="2034">
        <v>56110</v>
      </c>
      <c r="K80" s="2034">
        <v>56110</v>
      </c>
      <c r="L80" s="2034">
        <v>56110</v>
      </c>
      <c r="M80" s="2034">
        <v>56110</v>
      </c>
      <c r="N80" s="2034">
        <v>56110</v>
      </c>
      <c r="O80" s="2034">
        <v>56110</v>
      </c>
      <c r="P80" s="1325">
        <f>SUM(C80:O80)/13</f>
        <v>56110</v>
      </c>
    </row>
    <row r="81" spans="1:18" ht="12.75" customHeight="1">
      <c r="A81" s="1119"/>
      <c r="B81" s="1143"/>
      <c r="C81" s="1144"/>
      <c r="D81" s="1144"/>
      <c r="E81" s="1144"/>
      <c r="F81" s="1144"/>
      <c r="G81" s="1144"/>
      <c r="H81" s="1144"/>
      <c r="I81" s="1144"/>
      <c r="J81" s="1144"/>
      <c r="K81" s="1144"/>
      <c r="L81" s="1144"/>
      <c r="M81" s="1144"/>
      <c r="N81" s="1144"/>
      <c r="O81" s="1144"/>
      <c r="P81" s="1149"/>
    </row>
    <row r="82" spans="1:18" ht="12.75" customHeight="1">
      <c r="A82" s="1186"/>
      <c r="B82" s="1324"/>
      <c r="C82" s="1159"/>
      <c r="D82" s="1323"/>
      <c r="E82" s="1323"/>
      <c r="F82" s="1323"/>
      <c r="G82" s="1186"/>
    </row>
    <row r="83" spans="1:18" ht="12.75" customHeight="1">
      <c r="A83" s="1119"/>
      <c r="B83" s="1170"/>
      <c r="C83" s="1170"/>
      <c r="D83" s="1170"/>
      <c r="E83" s="1170"/>
      <c r="F83" s="1170"/>
    </row>
    <row r="84" spans="1:18" ht="12.75" customHeight="1">
      <c r="A84" s="1119"/>
      <c r="B84" s="1170"/>
      <c r="C84" s="1170"/>
      <c r="D84" s="1170"/>
      <c r="E84" s="1170"/>
      <c r="F84" s="1170"/>
    </row>
    <row r="85" spans="1:18" s="1" customFormat="1" ht="15.75">
      <c r="A85" s="1153"/>
      <c r="B85" s="1121" t="s">
        <v>581</v>
      </c>
      <c r="C85" s="3"/>
      <c r="D85" s="3"/>
      <c r="E85" s="3"/>
      <c r="F85" s="3"/>
      <c r="G85" s="3"/>
      <c r="H85" s="3"/>
      <c r="I85" s="3"/>
      <c r="J85" s="3"/>
      <c r="K85" s="3"/>
      <c r="L85" s="3"/>
      <c r="M85" s="3"/>
      <c r="N85" s="3"/>
      <c r="O85" s="3"/>
      <c r="P85" s="3"/>
    </row>
    <row r="86" spans="1:18" s="1155" customFormat="1" ht="15">
      <c r="A86" s="1154"/>
    </row>
    <row r="87" spans="1:18">
      <c r="A87" s="1119"/>
      <c r="B87" s="1195"/>
      <c r="C87" s="1130"/>
      <c r="D87" s="1180" t="s">
        <v>566</v>
      </c>
      <c r="E87" s="1164" t="s">
        <v>567</v>
      </c>
      <c r="F87" s="1163" t="s">
        <v>568</v>
      </c>
      <c r="G87" s="1186"/>
      <c r="H87" s="1186"/>
      <c r="I87" s="1186"/>
      <c r="J87" s="1186"/>
      <c r="K87" s="1186"/>
      <c r="L87" s="1186"/>
      <c r="M87" s="1186"/>
      <c r="N87" s="1186"/>
      <c r="O87" s="1187"/>
      <c r="P87" s="1187"/>
      <c r="Q87" s="1159"/>
    </row>
    <row r="88" spans="1:18" ht="15">
      <c r="A88" s="1119"/>
      <c r="B88" s="1171"/>
      <c r="C88" s="1135"/>
      <c r="D88" s="1181" t="s">
        <v>569</v>
      </c>
      <c r="E88" s="1165" t="s">
        <v>569</v>
      </c>
      <c r="F88" s="1193" t="s">
        <v>1534</v>
      </c>
      <c r="G88" s="1185"/>
      <c r="H88" s="1185"/>
      <c r="I88" s="1185"/>
      <c r="J88" s="1185"/>
      <c r="K88" s="1185"/>
      <c r="L88" s="1185"/>
      <c r="M88" s="1185"/>
      <c r="N88" s="1185"/>
      <c r="O88" s="1185"/>
      <c r="P88" s="1188"/>
      <c r="Q88" s="1189"/>
    </row>
    <row r="89" spans="1:18" ht="15">
      <c r="A89" s="1119">
        <f>A80+1</f>
        <v>32</v>
      </c>
      <c r="B89" s="1194" t="s">
        <v>575</v>
      </c>
      <c r="C89" s="1196"/>
      <c r="D89" s="1167" t="s">
        <v>577</v>
      </c>
      <c r="E89" s="1167" t="s">
        <v>578</v>
      </c>
      <c r="F89" s="1209"/>
      <c r="G89" s="1185"/>
      <c r="H89" s="1185"/>
      <c r="I89" s="1185"/>
      <c r="J89" s="1185"/>
      <c r="K89" s="1185"/>
      <c r="L89" s="1185"/>
      <c r="M89" s="1185"/>
      <c r="N89" s="1185"/>
      <c r="O89" s="1185"/>
      <c r="P89" s="1188"/>
      <c r="Q89" s="1189"/>
    </row>
    <row r="90" spans="1:18" ht="15">
      <c r="A90" s="1119">
        <f>A89+1</f>
        <v>33</v>
      </c>
      <c r="B90" s="1210" t="s">
        <v>560</v>
      </c>
      <c r="C90" s="1198"/>
      <c r="D90" s="1625">
        <v>64960500</v>
      </c>
      <c r="E90" s="2039">
        <v>64806122</v>
      </c>
      <c r="F90" s="900">
        <f>IF((D90+E90)=0,0,(AVERAGE((D90:E90))))</f>
        <v>64883311</v>
      </c>
      <c r="G90" s="1190"/>
      <c r="H90" s="1190"/>
      <c r="I90" s="1190"/>
      <c r="J90" s="1190"/>
      <c r="K90" s="1190"/>
      <c r="L90" s="1190"/>
      <c r="M90" s="1190"/>
      <c r="N90" s="1190"/>
      <c r="O90" s="1190"/>
      <c r="P90" s="1076"/>
      <c r="Q90" s="1158"/>
      <c r="R90" s="1157"/>
    </row>
    <row r="91" spans="1:18" ht="15">
      <c r="A91" s="1119">
        <f>A90+1</f>
        <v>34</v>
      </c>
      <c r="B91" s="1210" t="s">
        <v>561</v>
      </c>
      <c r="C91" s="1199"/>
      <c r="D91" s="1626">
        <v>40780</v>
      </c>
      <c r="E91" s="2040">
        <v>29105</v>
      </c>
      <c r="F91" s="1205">
        <f>IF((D91+E91)=0,0,(AVERAGE((D91:E91))))</f>
        <v>34942.5</v>
      </c>
      <c r="G91" s="1191"/>
      <c r="H91" s="1191"/>
      <c r="I91" s="1191"/>
      <c r="J91" s="1191"/>
      <c r="K91" s="1191"/>
      <c r="L91" s="1191"/>
      <c r="M91" s="1191"/>
      <c r="N91" s="1191"/>
      <c r="O91" s="1191"/>
      <c r="P91" s="786"/>
      <c r="Q91" s="1158"/>
      <c r="R91" s="1157"/>
    </row>
    <row r="92" spans="1:18" ht="15">
      <c r="A92" s="1119">
        <f>A91+1</f>
        <v>35</v>
      </c>
      <c r="B92" s="1210" t="s">
        <v>562</v>
      </c>
      <c r="C92" s="1199"/>
      <c r="D92" s="1627">
        <v>1954588</v>
      </c>
      <c r="E92" s="2041">
        <v>1730026</v>
      </c>
      <c r="F92" s="1205">
        <f>IF((D92+E92)=0,0,(AVERAGE((D92:E92))))</f>
        <v>1842307</v>
      </c>
      <c r="G92" s="1191"/>
      <c r="H92" s="1191"/>
      <c r="I92" s="1191"/>
      <c r="J92" s="1191"/>
      <c r="K92" s="1191"/>
      <c r="L92" s="1191"/>
      <c r="M92" s="1191"/>
      <c r="N92" s="1191"/>
      <c r="O92" s="1191"/>
      <c r="P92" s="786"/>
      <c r="Q92" s="1158"/>
      <c r="R92" s="1157"/>
    </row>
    <row r="93" spans="1:18" ht="15">
      <c r="A93" s="1119"/>
      <c r="B93" s="1211"/>
      <c r="C93" s="1197"/>
      <c r="D93" s="1197"/>
      <c r="E93" s="1197"/>
      <c r="F93" s="1183"/>
      <c r="G93" s="786"/>
      <c r="H93" s="786"/>
      <c r="I93" s="786"/>
      <c r="J93" s="786"/>
      <c r="K93" s="786"/>
      <c r="L93" s="786"/>
      <c r="M93" s="786"/>
      <c r="N93" s="786"/>
      <c r="O93" s="786"/>
      <c r="P93" s="786"/>
      <c r="Q93" s="1158"/>
    </row>
    <row r="94" spans="1:18" ht="15">
      <c r="A94" s="1119">
        <f>A92+1</f>
        <v>36</v>
      </c>
      <c r="B94" s="1210" t="s">
        <v>563</v>
      </c>
      <c r="C94" s="1199"/>
      <c r="D94" s="1627">
        <v>9869792</v>
      </c>
      <c r="E94" s="2041">
        <v>15051322</v>
      </c>
      <c r="F94" s="1205">
        <f>IF((D94+E94)=0,0,(AVERAGE((D94:E94))))</f>
        <v>12460557</v>
      </c>
      <c r="G94" s="1191"/>
      <c r="H94" s="1191"/>
      <c r="I94" s="1191"/>
      <c r="J94" s="1191"/>
      <c r="K94" s="1191"/>
      <c r="L94" s="1191"/>
      <c r="M94" s="1191"/>
      <c r="N94" s="1191"/>
      <c r="O94" s="1191"/>
      <c r="P94" s="786"/>
      <c r="Q94" s="1158"/>
      <c r="R94" s="1157"/>
    </row>
    <row r="95" spans="1:18" ht="15">
      <c r="A95" s="1119">
        <f>A94+1</f>
        <v>37</v>
      </c>
      <c r="B95" s="1210" t="s">
        <v>564</v>
      </c>
      <c r="C95" s="1199"/>
      <c r="D95" s="1626">
        <v>736218</v>
      </c>
      <c r="E95" s="2040">
        <v>1189671</v>
      </c>
      <c r="F95" s="1205">
        <f>IF((D95+E95)=0,0,(AVERAGE((D95:E95))))</f>
        <v>962944.5</v>
      </c>
      <c r="G95" s="1191"/>
      <c r="H95" s="1191"/>
      <c r="I95" s="1191"/>
      <c r="J95" s="1191"/>
      <c r="K95" s="1191"/>
      <c r="L95" s="1191"/>
      <c r="M95" s="1191"/>
      <c r="N95" s="1191"/>
      <c r="O95" s="1191"/>
      <c r="P95" s="786"/>
      <c r="Q95" s="1158"/>
      <c r="R95" s="1157"/>
    </row>
    <row r="96" spans="1:18" ht="15">
      <c r="A96" s="1119">
        <f>A95+1</f>
        <v>38</v>
      </c>
      <c r="B96" s="1210" t="s">
        <v>565</v>
      </c>
      <c r="C96" s="1199"/>
      <c r="D96" s="1627">
        <v>12633583</v>
      </c>
      <c r="E96" s="2041">
        <v>11020142</v>
      </c>
      <c r="F96" s="1205">
        <f>IF((D96+E96)=0,0,(AVERAGE((D96:E96))))</f>
        <v>11826862.5</v>
      </c>
      <c r="G96" s="1191"/>
      <c r="H96" s="1191"/>
      <c r="I96" s="1191"/>
      <c r="J96" s="1191"/>
      <c r="K96" s="1191"/>
      <c r="L96" s="1191"/>
      <c r="M96" s="1191"/>
      <c r="N96" s="1191"/>
      <c r="O96" s="1191"/>
      <c r="P96" s="614"/>
      <c r="Q96" s="1158"/>
      <c r="R96" s="1157"/>
    </row>
    <row r="97" spans="1:17" ht="15">
      <c r="A97" s="1119">
        <f>A96+1</f>
        <v>39</v>
      </c>
      <c r="B97" s="2243" t="s">
        <v>1617</v>
      </c>
      <c r="C97" s="2244"/>
      <c r="D97" s="1182">
        <f>SUM(D90:D96)</f>
        <v>90195461</v>
      </c>
      <c r="E97" s="1177">
        <f>SUM(E90:E96)</f>
        <v>93826388</v>
      </c>
      <c r="F97" s="1184">
        <f>SUM(F90:F96)</f>
        <v>92010924.5</v>
      </c>
      <c r="G97" s="1192"/>
      <c r="H97" s="1192"/>
      <c r="I97" s="1192"/>
      <c r="J97" s="1192"/>
      <c r="K97" s="1192"/>
      <c r="L97" s="1192"/>
      <c r="M97" s="1192"/>
      <c r="N97" s="1192"/>
      <c r="O97" s="1192"/>
      <c r="P97" s="1076"/>
      <c r="Q97" s="1158"/>
    </row>
    <row r="98" spans="1:17" ht="15">
      <c r="A98" s="1156"/>
      <c r="B98" s="1178"/>
      <c r="C98" s="1179"/>
      <c r="D98" s="1179"/>
      <c r="E98" s="1179"/>
      <c r="F98" s="1179"/>
      <c r="G98" s="1179"/>
      <c r="H98" s="1179"/>
      <c r="I98" s="1179"/>
      <c r="J98" s="1179"/>
      <c r="K98" s="1179"/>
      <c r="L98" s="1179"/>
      <c r="M98" s="1179"/>
      <c r="N98" s="1179"/>
      <c r="O98" s="1179"/>
      <c r="P98" s="867"/>
      <c r="Q98" s="943"/>
    </row>
    <row r="99" spans="1:17" ht="15">
      <c r="A99" s="1156"/>
      <c r="B99" s="1200"/>
      <c r="C99" s="1201"/>
      <c r="D99" s="1163" t="s">
        <v>566</v>
      </c>
      <c r="E99" s="1163" t="s">
        <v>567</v>
      </c>
      <c r="F99" s="1163" t="s">
        <v>568</v>
      </c>
      <c r="G99" s="1179"/>
      <c r="H99" s="1179"/>
      <c r="I99" s="1179"/>
      <c r="J99" s="1179"/>
      <c r="K99" s="1179"/>
      <c r="L99" s="1179"/>
      <c r="M99" s="1179"/>
      <c r="N99" s="1179"/>
      <c r="O99" s="1179"/>
      <c r="P99" s="867"/>
      <c r="Q99" s="943"/>
    </row>
    <row r="100" spans="1:17" ht="15">
      <c r="A100" s="1156"/>
      <c r="B100" s="1206"/>
      <c r="C100" s="1207"/>
      <c r="D100" s="1142" t="s">
        <v>569</v>
      </c>
      <c r="E100" s="1142" t="s">
        <v>569</v>
      </c>
      <c r="F100" s="1193" t="s">
        <v>1534</v>
      </c>
      <c r="G100" s="1179"/>
      <c r="H100" s="1179"/>
      <c r="I100" s="1179"/>
      <c r="J100" s="1179"/>
      <c r="K100" s="1179"/>
      <c r="L100" s="1179"/>
      <c r="M100" s="1179"/>
      <c r="N100" s="1179"/>
      <c r="O100" s="1179"/>
      <c r="P100" s="867"/>
      <c r="Q100" s="943"/>
    </row>
    <row r="101" spans="1:17" ht="15">
      <c r="A101" s="1119">
        <f>A97+1</f>
        <v>40</v>
      </c>
      <c r="B101" s="1212" t="s">
        <v>576</v>
      </c>
      <c r="C101" s="1202"/>
      <c r="D101" s="1203" t="s">
        <v>579</v>
      </c>
      <c r="E101" s="1167" t="s">
        <v>580</v>
      </c>
      <c r="F101" s="1208"/>
      <c r="G101" s="1179"/>
      <c r="H101" s="1179"/>
      <c r="I101" s="1179"/>
      <c r="J101" s="1179"/>
      <c r="K101" s="1179"/>
      <c r="L101" s="1179"/>
      <c r="M101" s="1179"/>
      <c r="N101" s="1179"/>
      <c r="O101" s="1179"/>
      <c r="P101" s="867"/>
      <c r="Q101" s="943"/>
    </row>
    <row r="102" spans="1:17" ht="15">
      <c r="A102" s="1119">
        <f>A101+1</f>
        <v>41</v>
      </c>
      <c r="B102" s="2240" t="s">
        <v>1594</v>
      </c>
      <c r="C102" s="2241"/>
      <c r="D102" s="1628">
        <v>10954222</v>
      </c>
      <c r="E102" s="2042">
        <v>16283139</v>
      </c>
      <c r="F102" s="900">
        <f>IF((D102+E102)=0,0,(AVERAGE((D102:E102))))</f>
        <v>13618680.5</v>
      </c>
      <c r="G102" s="1179"/>
      <c r="H102" s="1179"/>
      <c r="I102" s="1179"/>
      <c r="J102" s="1179"/>
      <c r="K102" s="1179"/>
      <c r="L102" s="1179"/>
      <c r="M102" s="1179"/>
      <c r="N102" s="1179"/>
      <c r="O102" s="1179"/>
      <c r="P102" s="867"/>
      <c r="Q102" s="943"/>
    </row>
    <row r="103" spans="1:17" ht="15">
      <c r="A103" s="1119"/>
      <c r="B103" s="1178"/>
      <c r="C103" s="1179"/>
      <c r="D103" s="1179"/>
      <c r="E103" s="1179"/>
      <c r="F103" s="1179"/>
      <c r="G103" s="1179"/>
      <c r="H103" s="1179"/>
      <c r="I103" s="1179"/>
      <c r="J103" s="1179"/>
      <c r="K103" s="1179"/>
      <c r="L103" s="1179"/>
      <c r="M103" s="1179"/>
      <c r="N103" s="1179"/>
      <c r="O103" s="1179"/>
      <c r="P103" s="867"/>
      <c r="Q103" s="943"/>
    </row>
    <row r="104" spans="1:17" ht="15.75">
      <c r="A104" s="1119"/>
      <c r="B104" s="1162"/>
      <c r="C104" s="1174"/>
      <c r="D104" s="1163" t="s">
        <v>566</v>
      </c>
      <c r="E104" s="1164" t="s">
        <v>567</v>
      </c>
      <c r="F104" s="1163" t="s">
        <v>568</v>
      </c>
      <c r="G104" s="1179"/>
      <c r="H104" s="1179"/>
      <c r="I104" s="1179"/>
      <c r="J104" s="1179"/>
      <c r="K104" s="1179"/>
      <c r="L104" s="1179"/>
      <c r="M104" s="1179"/>
      <c r="N104" s="1179"/>
      <c r="O104" s="1179"/>
      <c r="P104" s="867"/>
      <c r="Q104" s="943"/>
    </row>
    <row r="105" spans="1:17" ht="15">
      <c r="A105" s="1119"/>
      <c r="B105" s="1171"/>
      <c r="C105" s="1175"/>
      <c r="D105" s="1142" t="s">
        <v>569</v>
      </c>
      <c r="E105" s="1165" t="s">
        <v>569</v>
      </c>
      <c r="F105" s="1166" t="s">
        <v>1534</v>
      </c>
      <c r="G105" s="1179"/>
      <c r="H105" s="1179"/>
      <c r="I105" s="1179"/>
      <c r="J105" s="1179"/>
      <c r="K105" s="1179"/>
      <c r="L105" s="1179"/>
      <c r="M105" s="1179"/>
      <c r="N105" s="1179"/>
      <c r="O105" s="1179"/>
      <c r="P105" s="867"/>
      <c r="Q105" s="943"/>
    </row>
    <row r="106" spans="1:17" ht="15">
      <c r="A106" s="1119">
        <f>A102+1</f>
        <v>42</v>
      </c>
      <c r="B106" s="1204" t="s">
        <v>572</v>
      </c>
      <c r="C106" s="1176"/>
      <c r="D106" s="1203" t="s">
        <v>570</v>
      </c>
      <c r="E106" s="1168" t="s">
        <v>571</v>
      </c>
      <c r="F106" s="1169"/>
      <c r="G106" s="1179"/>
      <c r="H106" s="1179"/>
      <c r="I106" s="1179"/>
      <c r="J106" s="1179"/>
      <c r="K106" s="1179"/>
      <c r="L106" s="1179"/>
      <c r="M106" s="1179"/>
      <c r="N106" s="1179"/>
      <c r="O106" s="1179"/>
      <c r="P106" s="867"/>
      <c r="Q106" s="943"/>
    </row>
    <row r="107" spans="1:17" ht="15">
      <c r="A107" s="1119">
        <f>A106+1</f>
        <v>43</v>
      </c>
      <c r="B107" s="2240" t="s">
        <v>1593</v>
      </c>
      <c r="C107" s="2241"/>
      <c r="D107" s="1629">
        <v>10356570</v>
      </c>
      <c r="E107" s="2043">
        <v>11867780</v>
      </c>
      <c r="F107" s="900">
        <f>IF((D107+E107)=0,0,(AVERAGE((D107:E107))))</f>
        <v>11112175</v>
      </c>
      <c r="G107" s="1179"/>
      <c r="H107" s="1179"/>
      <c r="I107" s="1179"/>
      <c r="J107" s="1179"/>
      <c r="K107" s="1179"/>
      <c r="L107" s="1179"/>
      <c r="M107" s="1179"/>
      <c r="N107" s="1179"/>
      <c r="O107" s="1179"/>
      <c r="P107" s="867"/>
      <c r="Q107" s="943"/>
    </row>
    <row r="108" spans="1:17" ht="15.75">
      <c r="A108" s="1119"/>
      <c r="B108" s="1334"/>
      <c r="C108" s="1139"/>
      <c r="D108" s="1335"/>
      <c r="E108" s="1335"/>
      <c r="F108" s="1335"/>
      <c r="G108" s="1179"/>
      <c r="H108" s="1179"/>
      <c r="I108" s="1179"/>
      <c r="J108" s="1179"/>
      <c r="K108" s="1179"/>
      <c r="L108" s="1179"/>
      <c r="M108" s="1179"/>
      <c r="N108" s="1179"/>
      <c r="O108" s="1179"/>
      <c r="P108" s="867"/>
      <c r="Q108" s="943"/>
    </row>
    <row r="109" spans="1:17">
      <c r="A109" s="1119"/>
      <c r="B109" s="1237"/>
      <c r="C109" s="1238"/>
      <c r="D109" s="1238"/>
      <c r="E109" s="1238"/>
      <c r="F109" s="1238"/>
      <c r="G109" s="1238"/>
      <c r="H109" s="1238"/>
      <c r="I109" s="1238"/>
      <c r="J109" s="1238"/>
      <c r="K109" s="1160"/>
      <c r="L109" s="1160"/>
      <c r="M109" s="1160"/>
      <c r="N109" s="1160"/>
      <c r="O109" s="1160"/>
      <c r="P109" s="1160"/>
    </row>
    <row r="110" spans="1:17">
      <c r="A110" s="1119"/>
    </row>
    <row r="111" spans="1:17">
      <c r="A111" s="1119"/>
    </row>
    <row r="112" spans="1:17">
      <c r="A112" s="1119"/>
    </row>
    <row r="113" spans="1:1">
      <c r="A113" s="1119"/>
    </row>
    <row r="114" spans="1:1">
      <c r="A114" s="1119"/>
    </row>
  </sheetData>
  <mergeCells count="12">
    <mergeCell ref="B107:C107"/>
    <mergeCell ref="C9:P9"/>
    <mergeCell ref="C22:P22"/>
    <mergeCell ref="C35:P35"/>
    <mergeCell ref="B97:C97"/>
    <mergeCell ref="C70:P70"/>
    <mergeCell ref="A52:H52"/>
    <mergeCell ref="N1:O1"/>
    <mergeCell ref="N50:O50"/>
    <mergeCell ref="A1:G1"/>
    <mergeCell ref="B102:C102"/>
    <mergeCell ref="A3:H3"/>
  </mergeCells>
  <phoneticPr fontId="28" type="noConversion"/>
  <printOptions horizontalCentered="1"/>
  <pageMargins left="0.5" right="0.3" top="0.5" bottom="0.5" header="0" footer="0"/>
  <pageSetup scale="53" orientation="landscape" r:id="rId1"/>
  <headerFooter alignWithMargins="0"/>
  <rowBreaks count="1" manualBreakCount="1">
    <brk id="4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dimension ref="A1:S259"/>
  <sheetViews>
    <sheetView view="pageBreakPreview" topLeftCell="A48" zoomScaleNormal="75" zoomScaleSheetLayoutView="100" workbookViewId="0">
      <selection activeCell="H48" sqref="H48"/>
    </sheetView>
  </sheetViews>
  <sheetFormatPr defaultColWidth="7.109375" defaultRowHeight="12.75"/>
  <cols>
    <col min="1" max="1" width="4.44140625" style="95" customWidth="1"/>
    <col min="2" max="2" width="5.5546875" style="95" customWidth="1"/>
    <col min="3" max="3" width="5.109375" style="95" customWidth="1"/>
    <col min="4" max="4" width="12.6640625" style="96" customWidth="1"/>
    <col min="5" max="5" width="14.44140625" style="96" customWidth="1"/>
    <col min="6" max="6" width="10.21875" style="96" customWidth="1"/>
    <col min="7" max="7" width="13.44140625" style="96" customWidth="1"/>
    <col min="8" max="8" width="11.21875" style="96" customWidth="1"/>
    <col min="9" max="9" width="11.109375" style="96" customWidth="1"/>
    <col min="10" max="10" width="10.6640625" style="96" customWidth="1"/>
    <col min="11" max="11" width="12.21875" style="96" customWidth="1"/>
    <col min="12" max="12" width="12.109375" style="96" customWidth="1"/>
    <col min="13" max="13" width="13" style="96" bestFit="1" customWidth="1"/>
    <col min="14" max="15" width="12.21875" style="96" customWidth="1"/>
    <col min="16" max="16" width="11.44140625" style="96" bestFit="1" customWidth="1"/>
    <col min="17" max="16384" width="7.109375" style="96"/>
  </cols>
  <sheetData>
    <row r="1" spans="1:13" ht="20.25">
      <c r="A1" s="45" t="s">
        <v>1689</v>
      </c>
      <c r="J1" s="2193" t="s">
        <v>185</v>
      </c>
      <c r="K1" s="2193"/>
      <c r="L1" s="1098"/>
    </row>
    <row r="2" spans="1:13" ht="20.25">
      <c r="A2" s="1425" t="s">
        <v>73</v>
      </c>
      <c r="K2" s="95" t="s">
        <v>1735</v>
      </c>
      <c r="L2" s="1100"/>
    </row>
    <row r="4" spans="1:13">
      <c r="A4" s="94" t="s">
        <v>533</v>
      </c>
    </row>
    <row r="5" spans="1:13">
      <c r="A5" s="95" t="s">
        <v>1745</v>
      </c>
      <c r="B5" s="95" t="s">
        <v>1582</v>
      </c>
      <c r="C5" s="95" t="s">
        <v>394</v>
      </c>
      <c r="D5" s="95" t="s">
        <v>1746</v>
      </c>
      <c r="E5" s="95"/>
    </row>
    <row r="6" spans="1:13">
      <c r="A6" s="95">
        <v>1</v>
      </c>
      <c r="C6" s="95" t="s">
        <v>528</v>
      </c>
      <c r="D6" s="97" t="s">
        <v>81</v>
      </c>
      <c r="E6" s="97"/>
    </row>
    <row r="7" spans="1:13">
      <c r="A7" s="95">
        <f>A6+1</f>
        <v>2</v>
      </c>
      <c r="C7" s="95" t="s">
        <v>528</v>
      </c>
      <c r="D7" s="97" t="s">
        <v>529</v>
      </c>
      <c r="E7" s="97"/>
    </row>
    <row r="8" spans="1:13">
      <c r="A8" s="95">
        <f>A7+1</f>
        <v>3</v>
      </c>
      <c r="B8" s="98" t="s">
        <v>674</v>
      </c>
      <c r="C8" s="95" t="s">
        <v>1749</v>
      </c>
      <c r="D8" s="97" t="s">
        <v>530</v>
      </c>
      <c r="E8" s="97"/>
    </row>
    <row r="9" spans="1:13">
      <c r="A9" s="95">
        <f t="shared" ref="A9:A16" si="0">A8+1</f>
        <v>4</v>
      </c>
      <c r="B9" s="95" t="s">
        <v>65</v>
      </c>
      <c r="C9" s="95" t="s">
        <v>1749</v>
      </c>
      <c r="D9" s="97" t="s">
        <v>82</v>
      </c>
      <c r="E9" s="97"/>
    </row>
    <row r="10" spans="1:13">
      <c r="A10" s="95">
        <f t="shared" si="0"/>
        <v>5</v>
      </c>
      <c r="B10" s="95" t="s">
        <v>65</v>
      </c>
      <c r="C10" s="95" t="str">
        <f>C9</f>
        <v>Year 1</v>
      </c>
      <c r="D10" s="97" t="s">
        <v>531</v>
      </c>
      <c r="E10" s="97"/>
    </row>
    <row r="11" spans="1:13">
      <c r="A11" s="95">
        <f t="shared" si="0"/>
        <v>6</v>
      </c>
      <c r="B11" s="95" t="s">
        <v>674</v>
      </c>
      <c r="C11" s="95" t="s">
        <v>1747</v>
      </c>
      <c r="D11" s="97" t="s">
        <v>532</v>
      </c>
      <c r="E11" s="97"/>
    </row>
    <row r="12" spans="1:13">
      <c r="A12" s="95">
        <f t="shared" si="0"/>
        <v>7</v>
      </c>
      <c r="B12" s="95" t="s">
        <v>675</v>
      </c>
      <c r="C12" s="95" t="s">
        <v>1747</v>
      </c>
      <c r="D12" s="97" t="s">
        <v>83</v>
      </c>
      <c r="E12" s="99"/>
      <c r="F12" s="428"/>
      <c r="G12" s="428"/>
      <c r="H12" s="428"/>
      <c r="I12" s="428"/>
      <c r="J12" s="428"/>
      <c r="K12" s="428"/>
      <c r="L12" s="428"/>
      <c r="M12" s="428"/>
    </row>
    <row r="13" spans="1:13">
      <c r="A13" s="95">
        <f t="shared" si="0"/>
        <v>8</v>
      </c>
      <c r="B13" s="95" t="s">
        <v>675</v>
      </c>
      <c r="C13" s="95" t="s">
        <v>1747</v>
      </c>
      <c r="D13" s="97" t="s">
        <v>1146</v>
      </c>
      <c r="E13" s="97"/>
      <c r="F13" s="458"/>
      <c r="G13" s="458"/>
      <c r="H13" s="458"/>
      <c r="I13" s="458"/>
      <c r="J13" s="458"/>
      <c r="K13" s="458"/>
      <c r="L13" s="458"/>
      <c r="M13" s="458"/>
    </row>
    <row r="14" spans="1:13">
      <c r="A14" s="95">
        <f t="shared" si="0"/>
        <v>9</v>
      </c>
      <c r="B14" s="95" t="s">
        <v>675</v>
      </c>
      <c r="C14" s="95" t="s">
        <v>1747</v>
      </c>
      <c r="D14" s="97" t="s">
        <v>1165</v>
      </c>
      <c r="E14" s="458"/>
      <c r="F14" s="458"/>
      <c r="G14" s="458"/>
      <c r="H14" s="458"/>
      <c r="I14" s="458"/>
      <c r="J14" s="458"/>
      <c r="K14" s="458"/>
      <c r="L14" s="458"/>
      <c r="M14" s="458"/>
    </row>
    <row r="15" spans="1:13">
      <c r="A15" s="95">
        <f t="shared" si="0"/>
        <v>10</v>
      </c>
      <c r="B15" s="95" t="s">
        <v>65</v>
      </c>
      <c r="C15" s="95" t="s">
        <v>1747</v>
      </c>
      <c r="D15" s="97" t="s">
        <v>84</v>
      </c>
      <c r="E15" s="97"/>
    </row>
    <row r="16" spans="1:13">
      <c r="A16" s="95">
        <f t="shared" si="0"/>
        <v>11</v>
      </c>
      <c r="B16" s="95" t="s">
        <v>65</v>
      </c>
      <c r="C16" s="95" t="s">
        <v>1747</v>
      </c>
      <c r="D16" s="97" t="s">
        <v>1164</v>
      </c>
      <c r="E16" s="97"/>
    </row>
    <row r="17" spans="1:14">
      <c r="A17" s="96"/>
      <c r="B17" s="96"/>
      <c r="C17" s="96"/>
      <c r="E17" s="97"/>
    </row>
    <row r="18" spans="1:14">
      <c r="A18" s="96"/>
      <c r="B18" s="96"/>
      <c r="C18" s="96"/>
      <c r="E18" s="97"/>
    </row>
    <row r="19" spans="1:14">
      <c r="B19" s="98"/>
      <c r="D19" s="97"/>
      <c r="E19" s="97"/>
    </row>
    <row r="20" spans="1:14">
      <c r="A20" s="94" t="s">
        <v>1748</v>
      </c>
    </row>
    <row r="21" spans="1:14">
      <c r="A21" s="94"/>
      <c r="D21" s="101"/>
      <c r="E21" s="101"/>
    </row>
    <row r="22" spans="1:14">
      <c r="A22" s="95">
        <f>+A6</f>
        <v>1</v>
      </c>
      <c r="C22" s="95" t="str">
        <f>+C6</f>
        <v>Year 0</v>
      </c>
      <c r="D22" s="96" t="str">
        <f>+D6</f>
        <v>KCP&amp;L populates the formula rate using projected costs for Year 1</v>
      </c>
    </row>
    <row r="24" spans="1:14">
      <c r="A24" s="95">
        <f>A7</f>
        <v>2</v>
      </c>
      <c r="C24" s="95" t="str">
        <f>C7</f>
        <v>Year 0</v>
      </c>
      <c r="D24" s="97" t="str">
        <f>D7</f>
        <v>Post results of Step 1</v>
      </c>
      <c r="E24" s="97"/>
    </row>
    <row r="25" spans="1:14">
      <c r="B25" s="96"/>
      <c r="H25" s="102"/>
      <c r="I25" s="102"/>
    </row>
    <row r="26" spans="1:14">
      <c r="A26" s="95">
        <f>A8</f>
        <v>3</v>
      </c>
      <c r="B26" s="95" t="str">
        <f>B8</f>
        <v>Jan</v>
      </c>
      <c r="C26" s="95" t="str">
        <f>C8</f>
        <v>Year 1</v>
      </c>
      <c r="D26" s="97" t="str">
        <f>D8</f>
        <v>Results of Step 2 go into effect.</v>
      </c>
      <c r="E26" s="97"/>
    </row>
    <row r="27" spans="1:14">
      <c r="D27" s="103"/>
      <c r="E27" s="103"/>
      <c r="F27" s="95"/>
      <c r="G27" s="102"/>
      <c r="H27" s="95"/>
      <c r="I27" s="102"/>
    </row>
    <row r="28" spans="1:14" ht="15">
      <c r="A28" s="95">
        <f>A9</f>
        <v>4</v>
      </c>
      <c r="B28" s="95" t="str">
        <f>B9</f>
        <v>Sept</v>
      </c>
      <c r="C28" s="97" t="str">
        <f>C9</f>
        <v>Year 1</v>
      </c>
      <c r="D28" s="97" t="str">
        <f>D9</f>
        <v>KCP&amp;L populates the formula rate using projected costs for Year 2</v>
      </c>
      <c r="H28" s="485"/>
    </row>
    <row r="29" spans="1:14" ht="15">
      <c r="D29" s="81"/>
      <c r="E29" s="81"/>
      <c r="H29" s="485"/>
    </row>
    <row r="30" spans="1:14">
      <c r="A30" s="95">
        <f>+A10</f>
        <v>5</v>
      </c>
      <c r="B30" s="95" t="str">
        <f>+B10</f>
        <v>Sept</v>
      </c>
      <c r="C30" s="95" t="str">
        <f>+C10</f>
        <v>Year 1</v>
      </c>
      <c r="D30" s="97" t="str">
        <f>+D10</f>
        <v>Post results of Step 4</v>
      </c>
      <c r="E30" s="95"/>
    </row>
    <row r="31" spans="1:14">
      <c r="A31" s="104"/>
      <c r="B31" s="104"/>
      <c r="C31" s="104"/>
      <c r="D31" s="105"/>
      <c r="E31" s="105"/>
      <c r="F31" s="105"/>
      <c r="G31" s="105"/>
      <c r="H31" s="105"/>
      <c r="I31" s="105"/>
      <c r="J31" s="105"/>
      <c r="K31" s="105"/>
      <c r="L31" s="105"/>
      <c r="M31" s="105"/>
      <c r="N31" s="105"/>
    </row>
    <row r="32" spans="1:14">
      <c r="A32" s="95">
        <f>A11</f>
        <v>6</v>
      </c>
      <c r="B32" s="95" t="str">
        <f>B11</f>
        <v>Jan</v>
      </c>
      <c r="C32" s="95" t="str">
        <f>C11</f>
        <v>Year 2</v>
      </c>
      <c r="D32" s="97" t="str">
        <f>D11</f>
        <v>Results of Step 5 go into effect.</v>
      </c>
      <c r="E32" s="97"/>
    </row>
    <row r="33" spans="1:14">
      <c r="D33" s="106"/>
      <c r="E33" s="106"/>
    </row>
    <row r="34" spans="1:14">
      <c r="A34" s="95">
        <f>+A12</f>
        <v>7</v>
      </c>
      <c r="B34" s="95" t="str">
        <f>+B12</f>
        <v>Jun</v>
      </c>
      <c r="C34" s="95" t="str">
        <f>+C12</f>
        <v>Year 2</v>
      </c>
      <c r="D34" s="97" t="str">
        <f>+D12</f>
        <v>KCP&amp;L populates the formula rate using actual costs for Year 1</v>
      </c>
      <c r="E34" s="107"/>
      <c r="F34" s="107"/>
      <c r="G34" s="107"/>
      <c r="H34" s="107"/>
      <c r="I34" s="107"/>
      <c r="J34" s="107"/>
      <c r="K34" s="107"/>
      <c r="L34" s="107"/>
      <c r="M34" s="107"/>
      <c r="N34" s="107"/>
    </row>
    <row r="35" spans="1:14">
      <c r="D35" s="107"/>
      <c r="E35" s="107"/>
      <c r="F35" s="107"/>
      <c r="G35" s="107"/>
      <c r="H35" s="107"/>
      <c r="I35" s="107"/>
      <c r="J35" s="107"/>
      <c r="K35" s="107"/>
      <c r="L35" s="107"/>
      <c r="M35" s="436"/>
      <c r="N35" s="107"/>
    </row>
    <row r="36" spans="1:14">
      <c r="A36" s="95">
        <f>A13</f>
        <v>8</v>
      </c>
      <c r="B36" s="95" t="str">
        <f>B13</f>
        <v>Jun</v>
      </c>
      <c r="C36" s="95" t="str">
        <f>C13</f>
        <v>Year 2</v>
      </c>
      <c r="D36" s="97" t="str">
        <f>D13</f>
        <v>Calculate  the difference between the formula rate calculated in Step 7 and Step 1</v>
      </c>
      <c r="E36" s="95"/>
      <c r="F36" s="95"/>
      <c r="G36" s="107"/>
      <c r="H36" s="107"/>
      <c r="I36" s="107"/>
      <c r="J36" s="107"/>
      <c r="K36" s="107"/>
      <c r="L36" s="107"/>
      <c r="M36" s="107"/>
      <c r="N36" s="107"/>
    </row>
    <row r="37" spans="1:14" ht="51" customHeight="1" thickBot="1">
      <c r="D37" s="107"/>
      <c r="E37" s="107"/>
      <c r="F37" s="107"/>
      <c r="G37" s="459" t="s">
        <v>834</v>
      </c>
      <c r="H37" s="459" t="s">
        <v>386</v>
      </c>
      <c r="I37" s="459" t="s">
        <v>1620</v>
      </c>
      <c r="J37" s="459" t="s">
        <v>1435</v>
      </c>
      <c r="K37" s="459" t="s">
        <v>835</v>
      </c>
      <c r="L37" s="459" t="s">
        <v>1775</v>
      </c>
      <c r="N37" s="107"/>
    </row>
    <row r="38" spans="1:14">
      <c r="D38" s="107"/>
      <c r="E38" s="107"/>
      <c r="F38" s="107"/>
      <c r="G38" s="460" t="s">
        <v>916</v>
      </c>
      <c r="H38" s="460" t="s">
        <v>917</v>
      </c>
      <c r="I38" s="460" t="s">
        <v>924</v>
      </c>
      <c r="J38" s="460" t="s">
        <v>925</v>
      </c>
      <c r="K38" s="460" t="s">
        <v>926</v>
      </c>
      <c r="L38" s="460" t="s">
        <v>694</v>
      </c>
      <c r="N38" s="107"/>
    </row>
    <row r="39" spans="1:14" ht="12.75" customHeight="1">
      <c r="A39" s="95" t="s">
        <v>459</v>
      </c>
      <c r="C39" s="96" t="s">
        <v>534</v>
      </c>
      <c r="E39" s="107"/>
      <c r="F39" s="108"/>
      <c r="G39" s="2023">
        <f>'Actual Net Rev Req'!E35</f>
        <v>2095894.6546256794</v>
      </c>
      <c r="H39" s="2024">
        <f>'Actual Net Rev Req'!E36</f>
        <v>-28597.654625679454</v>
      </c>
      <c r="I39" s="2024">
        <f>'Actual Net Rev Req'!E37</f>
        <v>0</v>
      </c>
      <c r="J39" s="2024">
        <f>'Actual Net Rev Req'!E38</f>
        <v>0</v>
      </c>
      <c r="K39" s="2024">
        <f>'Actual Net Rev Req'!H41</f>
        <v>30414924.444710903</v>
      </c>
      <c r="L39" s="461">
        <f>SUM(G39:K39)</f>
        <v>32482221.444710903</v>
      </c>
    </row>
    <row r="40" spans="1:14">
      <c r="A40" s="95" t="s">
        <v>460</v>
      </c>
      <c r="C40" s="96" t="s">
        <v>427</v>
      </c>
      <c r="E40" s="100"/>
      <c r="F40" s="111"/>
      <c r="G40" s="2010">
        <v>2585756</v>
      </c>
      <c r="H40" s="2010">
        <v>173747</v>
      </c>
      <c r="I40" s="2010">
        <f>I39</f>
        <v>0</v>
      </c>
      <c r="J40" s="2010">
        <f>J39</f>
        <v>0</v>
      </c>
      <c r="K40" s="2010">
        <v>31803605</v>
      </c>
      <c r="L40" s="461">
        <f>SUM(G40:K40)</f>
        <v>34563108</v>
      </c>
    </row>
    <row r="41" spans="1:14">
      <c r="A41" s="95" t="s">
        <v>461</v>
      </c>
      <c r="C41" s="96" t="s">
        <v>1014</v>
      </c>
      <c r="F41" s="81"/>
      <c r="G41" s="462">
        <f t="shared" ref="G41:L41" si="1">G39-G40</f>
        <v>-489861.34537432063</v>
      </c>
      <c r="H41" s="462">
        <f t="shared" si="1"/>
        <v>-202344.65462567945</v>
      </c>
      <c r="I41" s="462">
        <f t="shared" si="1"/>
        <v>0</v>
      </c>
      <c r="J41" s="462">
        <f t="shared" si="1"/>
        <v>0</v>
      </c>
      <c r="K41" s="462">
        <f t="shared" si="1"/>
        <v>-1388680.5552890971</v>
      </c>
      <c r="L41" s="462">
        <f t="shared" si="1"/>
        <v>-2080886.5552890971</v>
      </c>
    </row>
    <row r="42" spans="1:14">
      <c r="F42" s="81"/>
      <c r="H42" s="102"/>
    </row>
    <row r="43" spans="1:14" ht="15.75">
      <c r="F43" s="81"/>
      <c r="I43" s="102"/>
      <c r="L43" s="1978"/>
    </row>
    <row r="44" spans="1:14">
      <c r="A44" s="95">
        <f>+A14</f>
        <v>9</v>
      </c>
      <c r="B44" s="95" t="str">
        <f>+B14</f>
        <v>Jun</v>
      </c>
      <c r="C44" s="95" t="str">
        <f>+C14</f>
        <v>Year 2</v>
      </c>
      <c r="D44" s="97" t="str">
        <f>+D14</f>
        <v>Post results from Step 7 and Step 8</v>
      </c>
      <c r="E44" s="107"/>
      <c r="F44" s="428"/>
      <c r="G44" s="1979"/>
      <c r="H44" s="428"/>
      <c r="I44" s="428"/>
      <c r="J44" s="428"/>
      <c r="K44" s="1980"/>
      <c r="L44" s="1980"/>
      <c r="M44" s="428"/>
      <c r="N44" s="428"/>
    </row>
    <row r="45" spans="1:14" ht="15.75">
      <c r="D45" s="428"/>
      <c r="E45" s="428"/>
      <c r="F45" s="428"/>
      <c r="G45" s="428"/>
      <c r="H45" s="428"/>
      <c r="I45" s="428"/>
      <c r="J45" s="2193" t="s">
        <v>186</v>
      </c>
      <c r="K45" s="2193"/>
      <c r="L45" s="428"/>
      <c r="M45" s="428"/>
      <c r="N45" s="428"/>
    </row>
    <row r="46" spans="1:14">
      <c r="A46" s="95">
        <f>A15</f>
        <v>10</v>
      </c>
      <c r="B46" s="95" t="str">
        <f>B15</f>
        <v>Sept</v>
      </c>
      <c r="C46" s="95" t="str">
        <f>C15</f>
        <v>Year 2</v>
      </c>
      <c r="D46" s="97" t="str">
        <f>D15</f>
        <v>KCP&amp;L populates the formula rate using projected costs for Year 3, including true-up adjustment for Year 1</v>
      </c>
      <c r="E46" s="95"/>
      <c r="F46" s="107"/>
      <c r="G46" s="107"/>
      <c r="H46" s="107"/>
      <c r="I46" s="107"/>
      <c r="J46" s="107"/>
      <c r="K46" s="95" t="s">
        <v>1738</v>
      </c>
      <c r="L46" s="428"/>
      <c r="M46" s="428"/>
      <c r="N46" s="428"/>
    </row>
    <row r="47" spans="1:14">
      <c r="D47" s="97"/>
      <c r="E47" s="95"/>
      <c r="F47" s="107"/>
      <c r="G47" s="107"/>
      <c r="H47" s="107"/>
      <c r="I47" s="107"/>
      <c r="J47" s="107"/>
      <c r="K47" s="428"/>
      <c r="L47" s="428"/>
      <c r="M47" s="428"/>
      <c r="N47" s="428"/>
    </row>
    <row r="48" spans="1:14">
      <c r="B48" s="94" t="s">
        <v>1429</v>
      </c>
      <c r="D48" s="97"/>
      <c r="E48" s="95"/>
      <c r="F48" s="107"/>
      <c r="G48" s="107"/>
      <c r="H48" s="107"/>
      <c r="I48" s="107"/>
      <c r="J48" s="107"/>
      <c r="K48" s="428"/>
      <c r="L48" s="428"/>
      <c r="M48" s="428"/>
      <c r="N48" s="428"/>
    </row>
    <row r="49" spans="1:19" ht="24.75" customHeight="1">
      <c r="D49" s="1824" t="s">
        <v>411</v>
      </c>
      <c r="E49" s="1825"/>
      <c r="F49" s="1826"/>
      <c r="G49" s="107"/>
      <c r="H49" s="1827" t="s">
        <v>1430</v>
      </c>
      <c r="I49" s="463"/>
      <c r="J49" s="463"/>
      <c r="K49" s="463"/>
      <c r="L49" s="463"/>
      <c r="M49" s="463"/>
      <c r="N49" s="428"/>
    </row>
    <row r="50" spans="1:19">
      <c r="A50" s="95">
        <f>A46+1</f>
        <v>11</v>
      </c>
      <c r="D50" s="97" t="s">
        <v>1308</v>
      </c>
      <c r="E50" s="95"/>
      <c r="F50" s="107" t="s">
        <v>271</v>
      </c>
      <c r="H50" s="2025">
        <v>2943691</v>
      </c>
      <c r="I50" s="645"/>
      <c r="J50" s="645"/>
      <c r="K50" s="645"/>
      <c r="L50" s="645"/>
      <c r="M50" s="645"/>
      <c r="N50" s="428"/>
    </row>
    <row r="51" spans="1:19">
      <c r="A51" s="95">
        <f>A50+1</f>
        <v>12</v>
      </c>
      <c r="D51" s="97" t="s">
        <v>1309</v>
      </c>
      <c r="E51" s="95"/>
      <c r="F51" s="107" t="s">
        <v>271</v>
      </c>
      <c r="H51" s="2025">
        <v>267400266</v>
      </c>
      <c r="I51" s="651"/>
      <c r="J51" s="645"/>
      <c r="K51" s="645"/>
      <c r="L51" s="645"/>
      <c r="M51" s="645"/>
      <c r="N51" s="428"/>
    </row>
    <row r="52" spans="1:19">
      <c r="A52" s="95">
        <f>A51+1</f>
        <v>13</v>
      </c>
      <c r="D52" s="97" t="s">
        <v>842</v>
      </c>
      <c r="E52" s="95"/>
      <c r="F52" s="107"/>
      <c r="H52" s="1828">
        <v>12</v>
      </c>
      <c r="I52" s="645"/>
      <c r="J52" s="645"/>
      <c r="K52" s="645"/>
      <c r="L52" s="645"/>
      <c r="M52" s="645"/>
      <c r="N52" s="428"/>
    </row>
    <row r="53" spans="1:19">
      <c r="A53" s="95">
        <f>A52+1</f>
        <v>14</v>
      </c>
      <c r="D53" s="97" t="s">
        <v>1016</v>
      </c>
      <c r="E53" s="95"/>
      <c r="F53" s="100" t="s">
        <v>1560</v>
      </c>
      <c r="H53" s="1829">
        <f>IF(H51&gt;0,(H50/H51),0)</f>
        <v>1.1008556737935332E-2</v>
      </c>
      <c r="I53" s="107"/>
      <c r="J53" s="107"/>
      <c r="K53" s="428"/>
      <c r="L53" s="428"/>
      <c r="M53" s="428"/>
      <c r="N53" s="428"/>
    </row>
    <row r="54" spans="1:19">
      <c r="D54" s="97"/>
      <c r="E54" s="95"/>
      <c r="F54" s="107"/>
      <c r="H54" s="1828"/>
      <c r="I54" s="107"/>
      <c r="J54" s="107"/>
      <c r="K54" s="428"/>
      <c r="L54" s="428"/>
      <c r="M54" s="428"/>
      <c r="N54" s="428"/>
    </row>
    <row r="55" spans="1:19">
      <c r="D55" s="97"/>
      <c r="E55" s="95"/>
      <c r="F55" s="107"/>
      <c r="H55" s="1828"/>
      <c r="I55" s="107"/>
      <c r="J55" s="107"/>
      <c r="K55" s="428"/>
      <c r="L55" s="428"/>
      <c r="M55" s="428"/>
      <c r="N55" s="428"/>
    </row>
    <row r="56" spans="1:19">
      <c r="D56" s="107"/>
      <c r="E56" s="107"/>
      <c r="F56" s="107"/>
      <c r="H56" s="1828"/>
      <c r="I56" s="107"/>
      <c r="J56" s="107"/>
      <c r="K56" s="428"/>
      <c r="L56" s="428"/>
      <c r="M56" s="428"/>
      <c r="N56" s="428"/>
    </row>
    <row r="57" spans="1:19">
      <c r="D57" s="1824" t="s">
        <v>412</v>
      </c>
      <c r="E57" s="429"/>
      <c r="F57" s="1826"/>
      <c r="H57" s="1830"/>
      <c r="J57" s="436"/>
      <c r="K57" s="436"/>
      <c r="L57" s="436"/>
      <c r="M57" s="428"/>
      <c r="N57" s="428"/>
    </row>
    <row r="58" spans="1:19">
      <c r="A58" s="95">
        <f>A53+1</f>
        <v>15</v>
      </c>
      <c r="D58" s="465" t="s">
        <v>1043</v>
      </c>
      <c r="F58" s="428"/>
      <c r="H58" s="2077">
        <v>3.2500000000000001E-2</v>
      </c>
      <c r="J58" s="436"/>
      <c r="K58" s="436"/>
      <c r="L58" s="436"/>
      <c r="M58" s="428"/>
      <c r="N58" s="428"/>
    </row>
    <row r="59" spans="1:19">
      <c r="A59" s="95">
        <f>A58+1</f>
        <v>16</v>
      </c>
      <c r="D59" s="97" t="s">
        <v>1557</v>
      </c>
      <c r="E59" s="428"/>
      <c r="F59" s="428"/>
      <c r="H59" s="2078">
        <v>3.2500000000000001E-2</v>
      </c>
      <c r="J59" s="466"/>
      <c r="K59" s="466"/>
      <c r="L59" s="466"/>
      <c r="M59" s="428"/>
      <c r="N59" s="428"/>
    </row>
    <row r="60" spans="1:19">
      <c r="A60" s="95">
        <f>A59+1</f>
        <v>17</v>
      </c>
      <c r="D60" s="97" t="s">
        <v>1011</v>
      </c>
      <c r="E60" s="428"/>
      <c r="F60" s="428"/>
      <c r="H60" s="2078">
        <v>3.2500000000000001E-2</v>
      </c>
      <c r="J60" s="466"/>
      <c r="K60" s="466"/>
      <c r="L60" s="466"/>
      <c r="M60" s="428"/>
      <c r="N60" s="428"/>
    </row>
    <row r="61" spans="1:19" ht="15">
      <c r="A61" s="95">
        <f>A60+1</f>
        <v>18</v>
      </c>
      <c r="D61" s="97" t="s">
        <v>1012</v>
      </c>
      <c r="E61" s="428"/>
      <c r="F61" s="428"/>
      <c r="H61" s="2078">
        <v>3.2500000000000001E-2</v>
      </c>
      <c r="J61" s="466"/>
      <c r="K61" s="466"/>
      <c r="L61" s="466"/>
      <c r="M61" s="428"/>
      <c r="N61" s="2247"/>
      <c r="O61" s="2248"/>
      <c r="P61" s="2248"/>
      <c r="Q61" s="2248"/>
      <c r="R61" s="2248"/>
      <c r="S61" s="2248"/>
    </row>
    <row r="62" spans="1:19" ht="25.5">
      <c r="A62" s="95">
        <f>A61+1</f>
        <v>19</v>
      </c>
      <c r="D62" s="97" t="s">
        <v>1649</v>
      </c>
      <c r="E62" s="428"/>
      <c r="F62" s="428" t="s">
        <v>1036</v>
      </c>
      <c r="H62" s="467">
        <f>IF(SUM(H58:H61)=0,0,AVERAGE(H58:H61))</f>
        <v>3.2500000000000001E-2</v>
      </c>
      <c r="J62" s="468"/>
      <c r="K62" s="468"/>
      <c r="L62" s="468"/>
      <c r="M62" s="428"/>
      <c r="N62" s="428"/>
    </row>
    <row r="63" spans="1:19">
      <c r="D63" s="97"/>
      <c r="E63" s="428"/>
      <c r="F63" s="428"/>
      <c r="H63" s="467"/>
      <c r="J63" s="468"/>
      <c r="K63" s="468"/>
      <c r="L63" s="468"/>
      <c r="M63" s="428"/>
      <c r="N63" s="428"/>
    </row>
    <row r="64" spans="1:19">
      <c r="A64" s="95">
        <f>A62+1</f>
        <v>20</v>
      </c>
      <c r="D64" s="97" t="s">
        <v>425</v>
      </c>
      <c r="E64" s="428"/>
      <c r="F64" s="428"/>
      <c r="G64" s="464">
        <f>IF(G41&lt;=0,$H62,MIN($H62,$H53))</f>
        <v>3.2500000000000001E-2</v>
      </c>
      <c r="H64" s="464">
        <f>IF(H41&lt;=0,$H62,MIN($H62,$H53))</f>
        <v>3.2500000000000001E-2</v>
      </c>
      <c r="I64" s="464">
        <f>IF(I41&lt;=0,$H62,MIN($H62,$H53))</f>
        <v>3.2500000000000001E-2</v>
      </c>
      <c r="J64" s="464">
        <f>IF(J41&lt;=0,$H62,MIN($H62,$H53))</f>
        <v>3.2500000000000001E-2</v>
      </c>
      <c r="K64" s="464">
        <f>IF(K41&lt;=0,$H62,MIN($H62,$H53))</f>
        <v>3.2500000000000001E-2</v>
      </c>
      <c r="L64" s="464"/>
      <c r="M64" s="428"/>
      <c r="N64" s="428"/>
    </row>
    <row r="65" spans="1:14">
      <c r="D65" s="97"/>
      <c r="E65" s="428"/>
      <c r="F65" s="428"/>
      <c r="H65" s="464"/>
      <c r="I65" s="428"/>
      <c r="J65" s="463"/>
      <c r="K65" s="463"/>
      <c r="L65" s="463"/>
      <c r="M65" s="428"/>
      <c r="N65" s="428"/>
    </row>
    <row r="66" spans="1:14" ht="48.75" customHeight="1" thickBot="1">
      <c r="D66" s="428"/>
      <c r="E66" s="428"/>
      <c r="F66" s="428"/>
      <c r="G66" s="459" t="s">
        <v>836</v>
      </c>
      <c r="H66" s="459" t="s">
        <v>1208</v>
      </c>
      <c r="I66" s="459" t="s">
        <v>893</v>
      </c>
      <c r="J66" s="459" t="s">
        <v>894</v>
      </c>
      <c r="K66" s="459" t="s">
        <v>895</v>
      </c>
      <c r="L66" s="459" t="s">
        <v>1034</v>
      </c>
      <c r="N66" s="428"/>
    </row>
    <row r="67" spans="1:14">
      <c r="D67" s="428"/>
      <c r="E67" s="428"/>
      <c r="F67" s="428"/>
      <c r="G67" s="460" t="s">
        <v>916</v>
      </c>
      <c r="H67" s="460" t="s">
        <v>917</v>
      </c>
      <c r="I67" s="460" t="s">
        <v>924</v>
      </c>
      <c r="J67" s="460" t="s">
        <v>925</v>
      </c>
      <c r="K67" s="460" t="s">
        <v>926</v>
      </c>
      <c r="L67" s="460" t="s">
        <v>694</v>
      </c>
      <c r="N67" s="428"/>
    </row>
    <row r="68" spans="1:14">
      <c r="A68" s="95">
        <f>A64+1</f>
        <v>21</v>
      </c>
      <c r="B68" s="96" t="s">
        <v>426</v>
      </c>
      <c r="G68" s="461">
        <f>ROUND(+G41,0)</f>
        <v>-489861</v>
      </c>
      <c r="H68" s="461">
        <f>ROUND(+H41,0)</f>
        <v>-202345</v>
      </c>
      <c r="I68" s="461">
        <f>ROUND(+I41,0)</f>
        <v>0</v>
      </c>
      <c r="J68" s="461">
        <f>ROUND(+J41,0)</f>
        <v>0</v>
      </c>
      <c r="K68" s="461">
        <f>ROUND(+K41,0)</f>
        <v>-1388681</v>
      </c>
      <c r="L68" s="469">
        <f>SUM(G68:K68)</f>
        <v>-2080887</v>
      </c>
    </row>
    <row r="69" spans="1:14">
      <c r="A69" s="95">
        <f>A68+1</f>
        <v>22</v>
      </c>
      <c r="B69" s="96" t="s">
        <v>1013</v>
      </c>
      <c r="G69" s="470">
        <f>ROUND(G$64/12*24*G68,2)</f>
        <v>-31840.97</v>
      </c>
      <c r="H69" s="470">
        <f>ROUND(H$64/12*24*H68,2)</f>
        <v>-13152.43</v>
      </c>
      <c r="I69" s="470">
        <f>ROUND(I$64/12*24*I68,2)</f>
        <v>0</v>
      </c>
      <c r="J69" s="470">
        <f>ROUND(J$64/12*24*J68,2)</f>
        <v>0</v>
      </c>
      <c r="K69" s="470">
        <f>ROUND(K$64/12*24*K68,2)</f>
        <v>-90264.27</v>
      </c>
      <c r="L69" s="748">
        <f>SUM(G69:K69)</f>
        <v>-135257.67000000001</v>
      </c>
    </row>
    <row r="70" spans="1:14">
      <c r="A70" s="95">
        <f>A69+1</f>
        <v>23</v>
      </c>
      <c r="C70" s="94" t="s">
        <v>428</v>
      </c>
      <c r="D70" s="97"/>
      <c r="G70" s="646">
        <f t="shared" ref="G70:L70" si="2">IF(G40=0,0,SUM(G68:G69))</f>
        <v>-521701.97</v>
      </c>
      <c r="H70" s="646">
        <f t="shared" si="2"/>
        <v>-215497.43</v>
      </c>
      <c r="I70" s="646">
        <f t="shared" si="2"/>
        <v>0</v>
      </c>
      <c r="J70" s="646">
        <f t="shared" si="2"/>
        <v>0</v>
      </c>
      <c r="K70" s="646">
        <f t="shared" si="2"/>
        <v>-1478945.27</v>
      </c>
      <c r="L70" s="646">
        <f t="shared" si="2"/>
        <v>-2216144.67</v>
      </c>
    </row>
    <row r="71" spans="1:14">
      <c r="C71" s="103"/>
      <c r="D71" s="95"/>
      <c r="E71" s="97"/>
      <c r="G71" s="95"/>
      <c r="H71" s="102"/>
      <c r="I71" s="97"/>
      <c r="J71" s="102"/>
      <c r="K71" s="102"/>
      <c r="L71" s="102"/>
    </row>
    <row r="72" spans="1:14">
      <c r="C72" s="96"/>
    </row>
    <row r="73" spans="1:14">
      <c r="C73" s="1091" t="s">
        <v>1383</v>
      </c>
    </row>
    <row r="74" spans="1:14" ht="30" customHeight="1">
      <c r="A74" s="45"/>
      <c r="C74" s="1831" t="s">
        <v>1393</v>
      </c>
      <c r="D74" s="2249" t="s">
        <v>609</v>
      </c>
      <c r="E74" s="2135"/>
      <c r="F74" s="2135"/>
      <c r="G74" s="2135"/>
      <c r="H74" s="2135"/>
      <c r="I74" s="2135"/>
      <c r="J74" s="2135"/>
      <c r="K74" s="2135"/>
      <c r="L74" s="77"/>
    </row>
    <row r="75" spans="1:14" ht="24" customHeight="1">
      <c r="C75" s="1831" t="s">
        <v>1387</v>
      </c>
      <c r="D75" s="2249" t="s">
        <v>610</v>
      </c>
      <c r="E75" s="2249"/>
      <c r="F75" s="2249"/>
      <c r="G75" s="2249"/>
      <c r="H75" s="2249"/>
      <c r="I75" s="2249"/>
      <c r="J75" s="2249"/>
      <c r="K75" s="2249"/>
    </row>
    <row r="76" spans="1:14" ht="27.75" customHeight="1">
      <c r="C76" s="1831" t="s">
        <v>700</v>
      </c>
      <c r="D76" s="2250" t="s">
        <v>756</v>
      </c>
      <c r="E76" s="2135"/>
      <c r="F76" s="2135"/>
      <c r="G76" s="2135"/>
      <c r="H76" s="2135"/>
      <c r="I76" s="2135"/>
      <c r="J76" s="2135"/>
      <c r="K76" s="2135"/>
    </row>
    <row r="77" spans="1:14" ht="27.75" customHeight="1">
      <c r="C77" s="1831" t="s">
        <v>1771</v>
      </c>
      <c r="D77" s="2249" t="s">
        <v>611</v>
      </c>
      <c r="E77" s="2135"/>
      <c r="F77" s="2135"/>
      <c r="G77" s="2135"/>
      <c r="H77" s="2135"/>
      <c r="I77" s="2135"/>
      <c r="J77" s="2135"/>
      <c r="K77" s="2135"/>
    </row>
    <row r="78" spans="1:14">
      <c r="C78" s="95" t="s">
        <v>1769</v>
      </c>
      <c r="D78" s="96" t="s">
        <v>1049</v>
      </c>
    </row>
    <row r="79" spans="1:14">
      <c r="C79" s="95" t="s">
        <v>1770</v>
      </c>
      <c r="D79" s="96" t="s">
        <v>612</v>
      </c>
    </row>
    <row r="131" spans="3:7" ht="15.75">
      <c r="C131" s="109"/>
      <c r="D131" s="110"/>
      <c r="E131" s="110"/>
      <c r="F131" s="110"/>
      <c r="G131" s="110"/>
    </row>
    <row r="132" spans="3:7" ht="99.75" customHeight="1">
      <c r="C132" s="109"/>
      <c r="D132" s="110"/>
      <c r="E132" s="110"/>
      <c r="F132" s="110"/>
      <c r="G132" s="110"/>
    </row>
    <row r="133" spans="3:7" ht="15.75">
      <c r="C133" s="109"/>
      <c r="D133" s="110"/>
      <c r="E133" s="110"/>
      <c r="F133" s="110"/>
      <c r="G133" s="110"/>
    </row>
    <row r="134" spans="3:7" ht="15.75">
      <c r="C134" s="109"/>
      <c r="D134" s="110"/>
      <c r="E134" s="110"/>
      <c r="F134" s="110"/>
      <c r="G134" s="110"/>
    </row>
    <row r="135" spans="3:7" ht="15.75">
      <c r="C135" s="109"/>
      <c r="D135" s="110"/>
      <c r="E135" s="110"/>
      <c r="F135" s="110"/>
      <c r="G135" s="110"/>
    </row>
    <row r="136" spans="3:7" ht="15.75">
      <c r="C136" s="109"/>
      <c r="D136" s="110"/>
      <c r="E136" s="110"/>
      <c r="F136" s="110"/>
      <c r="G136" s="110"/>
    </row>
    <row r="137" spans="3:7" ht="15.75">
      <c r="C137" s="109"/>
      <c r="D137" s="110"/>
      <c r="E137" s="110"/>
      <c r="F137" s="110"/>
      <c r="G137" s="110"/>
    </row>
    <row r="138" spans="3:7" ht="15.75">
      <c r="C138" s="109"/>
      <c r="D138" s="110"/>
      <c r="E138" s="110"/>
      <c r="F138" s="110"/>
      <c r="G138" s="110"/>
    </row>
    <row r="139" spans="3:7" ht="15.75">
      <c r="C139" s="109"/>
      <c r="D139" s="110"/>
      <c r="E139" s="110"/>
      <c r="F139" s="110"/>
      <c r="G139" s="110"/>
    </row>
    <row r="140" spans="3:7" ht="15.75">
      <c r="C140" s="109"/>
      <c r="D140" s="110"/>
      <c r="E140" s="110"/>
      <c r="F140" s="110"/>
      <c r="G140" s="110"/>
    </row>
    <row r="141" spans="3:7" ht="15.75">
      <c r="C141" s="109"/>
      <c r="D141" s="110"/>
      <c r="E141" s="110"/>
      <c r="F141" s="110"/>
      <c r="G141" s="110"/>
    </row>
    <row r="142" spans="3:7" ht="15.75">
      <c r="C142" s="109"/>
      <c r="D142" s="110"/>
      <c r="E142" s="110"/>
      <c r="F142" s="110"/>
      <c r="G142" s="110"/>
    </row>
    <row r="143" spans="3:7" ht="15.75">
      <c r="C143" s="109"/>
      <c r="D143" s="110"/>
      <c r="E143" s="110"/>
      <c r="F143" s="110"/>
      <c r="G143" s="110"/>
    </row>
    <row r="144" spans="3:7" ht="15.75">
      <c r="C144" s="109"/>
      <c r="D144" s="110"/>
      <c r="E144" s="110"/>
      <c r="F144" s="110"/>
      <c r="G144" s="110"/>
    </row>
    <row r="145" spans="3:7" ht="15.75">
      <c r="C145" s="109"/>
      <c r="D145" s="110"/>
      <c r="E145" s="110"/>
      <c r="F145" s="110"/>
      <c r="G145" s="110"/>
    </row>
    <row r="146" spans="3:7" ht="15.75">
      <c r="C146" s="109"/>
      <c r="D146" s="110"/>
      <c r="E146" s="110"/>
      <c r="F146" s="110"/>
      <c r="G146" s="110"/>
    </row>
    <row r="147" spans="3:7" ht="15.75">
      <c r="C147" s="109"/>
      <c r="D147" s="110"/>
      <c r="E147" s="110"/>
      <c r="F147" s="110"/>
      <c r="G147" s="110"/>
    </row>
    <row r="148" spans="3:7" ht="15.75">
      <c r="C148" s="109"/>
      <c r="D148" s="110"/>
      <c r="E148" s="110"/>
      <c r="F148" s="110"/>
      <c r="G148" s="110"/>
    </row>
    <row r="149" spans="3:7" ht="15.75">
      <c r="C149" s="109"/>
      <c r="D149" s="110"/>
      <c r="E149" s="110"/>
      <c r="F149" s="110"/>
      <c r="G149" s="110"/>
    </row>
    <row r="150" spans="3:7" ht="15.75">
      <c r="C150" s="109"/>
      <c r="D150" s="110"/>
      <c r="E150" s="110"/>
      <c r="F150" s="110"/>
      <c r="G150" s="110"/>
    </row>
    <row r="151" spans="3:7" ht="15.75">
      <c r="C151" s="109"/>
      <c r="D151" s="110"/>
      <c r="E151" s="110"/>
      <c r="F151" s="110"/>
      <c r="G151" s="110"/>
    </row>
    <row r="152" spans="3:7" ht="15.75">
      <c r="C152" s="109"/>
      <c r="D152" s="110"/>
      <c r="E152" s="110"/>
      <c r="F152" s="110"/>
      <c r="G152" s="110"/>
    </row>
    <row r="153" spans="3:7" ht="40.5" customHeight="1">
      <c r="C153" s="109"/>
      <c r="D153" s="110"/>
      <c r="E153" s="110"/>
      <c r="F153" s="110"/>
      <c r="G153" s="110"/>
    </row>
    <row r="154" spans="3:7" ht="15.75">
      <c r="C154" s="109"/>
      <c r="D154" s="110"/>
      <c r="E154" s="110"/>
      <c r="F154" s="110"/>
      <c r="G154" s="110"/>
    </row>
    <row r="249" spans="1:7">
      <c r="A249" s="104"/>
    </row>
    <row r="250" spans="1:7">
      <c r="A250" s="104"/>
    </row>
    <row r="251" spans="1:7">
      <c r="A251" s="104"/>
      <c r="B251" s="104"/>
      <c r="C251" s="104"/>
      <c r="D251" s="105"/>
      <c r="E251" s="105"/>
      <c r="F251" s="105"/>
      <c r="G251" s="105"/>
    </row>
    <row r="252" spans="1:7">
      <c r="A252" s="104"/>
      <c r="B252" s="104"/>
      <c r="C252" s="104"/>
      <c r="D252" s="105"/>
      <c r="E252" s="105"/>
      <c r="F252" s="105"/>
      <c r="G252" s="105"/>
    </row>
    <row r="253" spans="1:7">
      <c r="A253" s="104"/>
      <c r="B253" s="104"/>
      <c r="C253" s="104"/>
      <c r="D253" s="105"/>
      <c r="E253" s="105"/>
      <c r="F253" s="105"/>
      <c r="G253" s="105"/>
    </row>
    <row r="254" spans="1:7">
      <c r="A254" s="104"/>
      <c r="B254" s="104"/>
      <c r="C254" s="104"/>
      <c r="D254" s="105"/>
      <c r="E254" s="105"/>
      <c r="F254" s="105"/>
      <c r="G254" s="105"/>
    </row>
    <row r="255" spans="1:7">
      <c r="A255" s="104"/>
      <c r="B255" s="104"/>
      <c r="C255" s="104"/>
      <c r="D255" s="105"/>
      <c r="E255" s="105"/>
      <c r="F255" s="105"/>
      <c r="G255" s="105"/>
    </row>
    <row r="256" spans="1:7">
      <c r="A256" s="104"/>
      <c r="B256" s="104"/>
      <c r="C256" s="104"/>
      <c r="D256" s="105"/>
      <c r="E256" s="105"/>
      <c r="F256" s="105"/>
      <c r="G256" s="105"/>
    </row>
    <row r="257" spans="1:7">
      <c r="A257" s="104"/>
      <c r="B257" s="104"/>
      <c r="C257" s="104"/>
      <c r="D257" s="105"/>
      <c r="E257" s="105"/>
      <c r="F257" s="105"/>
      <c r="G257" s="105"/>
    </row>
    <row r="258" spans="1:7">
      <c r="B258" s="104"/>
      <c r="C258" s="104"/>
      <c r="D258" s="105"/>
      <c r="E258" s="105"/>
      <c r="F258" s="105"/>
      <c r="G258" s="105"/>
    </row>
    <row r="259" spans="1:7">
      <c r="B259" s="104"/>
      <c r="C259" s="104"/>
      <c r="D259" s="105"/>
      <c r="E259" s="105"/>
      <c r="F259" s="105"/>
      <c r="G259" s="105"/>
    </row>
  </sheetData>
  <customSheetViews>
    <customSheetView guid="{FAA8FFD9-C96B-4A1B-8B9E-B863FD90DDBA}" scale="75" showRuler="0" topLeftCell="A19">
      <selection activeCell="L43" sqref="L43:L44"/>
      <rowBreaks count="1" manualBreakCount="1">
        <brk id="42" max="12" man="1"/>
      </rowBreaks>
      <pageMargins left="0.25" right="0.25" top="1" bottom="0.5" header="0" footer="0"/>
      <pageSetup scale="65" orientation="landscape" horizontalDpi="300" verticalDpi="300" r:id="rId1"/>
      <headerFooter alignWithMargins="0"/>
    </customSheetView>
  </customSheetViews>
  <mergeCells count="7">
    <mergeCell ref="N61:S61"/>
    <mergeCell ref="J1:K1"/>
    <mergeCell ref="J45:K45"/>
    <mergeCell ref="D77:K77"/>
    <mergeCell ref="D76:K76"/>
    <mergeCell ref="D75:K75"/>
    <mergeCell ref="D74:K74"/>
  </mergeCells>
  <phoneticPr fontId="28" type="noConversion"/>
  <printOptions horizontalCentered="1" gridLines="1"/>
  <pageMargins left="0.5" right="0.5" top="0.5" bottom="0.5" header="0" footer="0"/>
  <pageSetup scale="86" fitToWidth="2" fitToHeight="2" orientation="landscape" r:id="rId2"/>
  <headerFooter alignWithMargins="0"/>
  <rowBreaks count="1" manualBreakCount="1">
    <brk id="44" max="1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dimension ref="A1:Z174"/>
  <sheetViews>
    <sheetView topLeftCell="I76" zoomScaleNormal="100" zoomScaleSheetLayoutView="75" workbookViewId="0">
      <selection activeCell="V101" sqref="V101"/>
    </sheetView>
  </sheetViews>
  <sheetFormatPr defaultRowHeight="12.75" outlineLevelCol="1"/>
  <cols>
    <col min="1" max="1" width="4.21875" style="88" customWidth="1"/>
    <col min="2" max="2" width="11.33203125" style="88" customWidth="1"/>
    <col min="3" max="3" width="13.77734375" style="88" customWidth="1"/>
    <col min="4" max="4" width="6.5546875" style="88" customWidth="1"/>
    <col min="5" max="5" width="10.5546875" style="88" customWidth="1"/>
    <col min="6" max="6" width="10.88671875" style="88" customWidth="1"/>
    <col min="7" max="7" width="10.44140625" style="88" customWidth="1" outlineLevel="1"/>
    <col min="8" max="8" width="9.77734375" style="88" customWidth="1" outlineLevel="1"/>
    <col min="9" max="9" width="11.44140625" style="88" customWidth="1"/>
    <col min="10" max="10" width="11.6640625" style="88" customWidth="1"/>
    <col min="11" max="11" width="12.21875" style="88" customWidth="1"/>
    <col min="12" max="12" width="11.6640625" style="88" customWidth="1"/>
    <col min="13" max="13" width="10.77734375" style="88" customWidth="1"/>
    <col min="14" max="14" width="11.44140625" style="88" customWidth="1"/>
    <col min="15" max="16" width="10.6640625" style="88" customWidth="1"/>
    <col min="17" max="17" width="13.21875" style="88" customWidth="1"/>
    <col min="18" max="18" width="10.5546875" style="88" customWidth="1"/>
    <col min="19" max="19" width="11.44140625" style="88" customWidth="1"/>
    <col min="20" max="20" width="10" style="88" customWidth="1"/>
    <col min="21" max="21" width="11.33203125" style="88" customWidth="1"/>
    <col min="22" max="22" width="9.77734375" style="88" customWidth="1"/>
    <col min="23" max="23" width="12.109375" style="88" customWidth="1"/>
    <col min="24" max="24" width="8.88671875" style="88"/>
    <col min="25" max="25" width="9.88671875" style="88" bestFit="1" customWidth="1"/>
    <col min="26" max="16384" width="8.88671875" style="88"/>
  </cols>
  <sheetData>
    <row r="1" spans="1:13" ht="20.25">
      <c r="B1" s="1426" t="s">
        <v>380</v>
      </c>
      <c r="C1" s="1249"/>
      <c r="D1" s="1249"/>
      <c r="E1" s="1249"/>
      <c r="F1" s="1249"/>
      <c r="G1" s="1249"/>
      <c r="L1" s="1098"/>
    </row>
    <row r="2" spans="1:13" ht="20.25">
      <c r="B2" s="2238" t="s">
        <v>67</v>
      </c>
      <c r="C2" s="2239"/>
      <c r="D2" s="2239"/>
      <c r="E2" s="2239"/>
      <c r="F2" s="2239"/>
      <c r="G2" s="2239"/>
      <c r="H2" s="2239"/>
      <c r="K2" s="2193" t="s">
        <v>187</v>
      </c>
      <c r="L2" s="2193"/>
    </row>
    <row r="3" spans="1:13" ht="20.25" customHeight="1">
      <c r="B3" s="1832" t="s">
        <v>387</v>
      </c>
      <c r="C3" s="1833"/>
      <c r="D3" s="1833"/>
      <c r="E3" s="1833"/>
      <c r="F3" s="1833"/>
      <c r="G3" s="1833"/>
      <c r="H3" s="1833"/>
      <c r="I3" s="1833"/>
    </row>
    <row r="4" spans="1:13" ht="15">
      <c r="B4" s="72" t="s">
        <v>1858</v>
      </c>
      <c r="L4" s="341" t="s">
        <v>1252</v>
      </c>
    </row>
    <row r="5" spans="1:13" ht="20.25">
      <c r="I5" s="965"/>
    </row>
    <row r="6" spans="1:13" ht="15.75">
      <c r="I6" s="2251" t="s">
        <v>249</v>
      </c>
      <c r="J6" s="2251"/>
      <c r="K6" s="2251"/>
      <c r="L6" s="2251"/>
    </row>
    <row r="7" spans="1:13" ht="41.25" customHeight="1" thickBot="1">
      <c r="I7" s="743" t="s">
        <v>1436</v>
      </c>
      <c r="J7" s="743" t="s">
        <v>911</v>
      </c>
      <c r="K7" s="743" t="s">
        <v>1437</v>
      </c>
      <c r="L7" s="743" t="s">
        <v>1438</v>
      </c>
    </row>
    <row r="8" spans="1:13">
      <c r="A8" s="344">
        <v>1</v>
      </c>
      <c r="B8" s="88" t="s">
        <v>1750</v>
      </c>
      <c r="E8" s="345" t="s">
        <v>1751</v>
      </c>
      <c r="I8" s="89">
        <f>'P-1 (Trans Plant)'!$J$90</f>
        <v>7564594.0694839992</v>
      </c>
      <c r="J8" s="89">
        <f>'P-1 (Trans Plant)'!$J$90</f>
        <v>7564594.0694839992</v>
      </c>
      <c r="K8" s="89">
        <f>'P-1 (Trans Plant)'!$J$90</f>
        <v>7564594.0694839992</v>
      </c>
      <c r="L8" s="89">
        <f>'P-1 (Trans Plant)'!$J$90</f>
        <v>7564594.0694839992</v>
      </c>
      <c r="M8" s="344"/>
    </row>
    <row r="9" spans="1:13">
      <c r="A9" s="344"/>
      <c r="M9" s="344"/>
    </row>
    <row r="10" spans="1:13">
      <c r="A10" s="344">
        <f>A8+1</f>
        <v>2</v>
      </c>
      <c r="B10" s="88" t="s">
        <v>511</v>
      </c>
      <c r="E10" s="88" t="s">
        <v>1035</v>
      </c>
      <c r="I10" s="545">
        <f>'Projected Gross Rev Req'!$K$16</f>
        <v>338175618.09425831</v>
      </c>
      <c r="J10" s="545">
        <f>'Projected Gross Rev Req'!$K$16</f>
        <v>338175618.09425831</v>
      </c>
      <c r="K10" s="545">
        <f>'Projected Gross Rev Req'!$K$16</f>
        <v>338175618.09425831</v>
      </c>
      <c r="L10" s="545">
        <f>'Projected Gross Rev Req'!$K$16</f>
        <v>338175618.09425831</v>
      </c>
      <c r="M10" s="344"/>
    </row>
    <row r="11" spans="1:13">
      <c r="A11" s="344">
        <f>A10+1</f>
        <v>3</v>
      </c>
      <c r="B11" s="88" t="s">
        <v>953</v>
      </c>
      <c r="E11" s="88" t="s">
        <v>974</v>
      </c>
      <c r="I11" s="346">
        <f>'Projected Gross Rev Req'!E232</f>
        <v>0</v>
      </c>
      <c r="J11" s="346">
        <f>'Projected Gross Rev Req'!E233</f>
        <v>0</v>
      </c>
      <c r="K11" s="346">
        <f>'Projected Gross Rev Req'!E234</f>
        <v>0</v>
      </c>
      <c r="L11" s="346">
        <f>'Projected Gross Rev Req'!E235</f>
        <v>0</v>
      </c>
      <c r="M11" s="344"/>
    </row>
    <row r="12" spans="1:13">
      <c r="A12" s="344">
        <f>A11+1</f>
        <v>4</v>
      </c>
      <c r="B12" s="88" t="s">
        <v>918</v>
      </c>
      <c r="E12" s="88" t="s">
        <v>954</v>
      </c>
      <c r="I12" s="89">
        <f>+I10-I11</f>
        <v>338175618.09425831</v>
      </c>
      <c r="J12" s="89">
        <f>+J10-J11</f>
        <v>338175618.09425831</v>
      </c>
      <c r="K12" s="89">
        <f>+K10-K11</f>
        <v>338175618.09425831</v>
      </c>
      <c r="L12" s="89">
        <f>+L10-L11</f>
        <v>338175618.09425831</v>
      </c>
      <c r="M12" s="344"/>
    </row>
    <row r="13" spans="1:13">
      <c r="A13" s="344"/>
      <c r="M13" s="344"/>
    </row>
    <row r="14" spans="1:13">
      <c r="A14" s="344">
        <f>A12+1</f>
        <v>5</v>
      </c>
      <c r="B14" s="88" t="s">
        <v>360</v>
      </c>
      <c r="E14" s="88" t="s">
        <v>702</v>
      </c>
      <c r="I14" s="545">
        <f>'Projected Gross Rev Req'!$K$39</f>
        <v>-35740930.859887272</v>
      </c>
      <c r="J14" s="545">
        <f>'Projected Gross Rev Req'!$K$39</f>
        <v>-35740930.859887272</v>
      </c>
      <c r="K14" s="545">
        <f>'Projected Gross Rev Req'!$K$39</f>
        <v>-35740930.859887272</v>
      </c>
      <c r="L14" s="545">
        <f>'Projected Gross Rev Req'!$K$39</f>
        <v>-35740930.859887272</v>
      </c>
      <c r="M14" s="344"/>
    </row>
    <row r="15" spans="1:13">
      <c r="A15" s="344">
        <f t="shared" ref="A15:A25" si="0">A14+1</f>
        <v>6</v>
      </c>
      <c r="B15" s="88" t="s">
        <v>1061</v>
      </c>
      <c r="E15" s="345" t="s">
        <v>1060</v>
      </c>
      <c r="I15" s="346">
        <f>'P-1 (Trans Plant)'!$I$91</f>
        <v>422060708</v>
      </c>
      <c r="J15" s="346">
        <f>'P-1 (Trans Plant)'!$I$91</f>
        <v>422060708</v>
      </c>
      <c r="K15" s="346">
        <f>'P-1 (Trans Plant)'!$I$91</f>
        <v>422060708</v>
      </c>
      <c r="L15" s="346">
        <f>'P-1 (Trans Plant)'!$I$91</f>
        <v>422060708</v>
      </c>
      <c r="M15" s="344"/>
    </row>
    <row r="16" spans="1:13">
      <c r="A16" s="344">
        <f t="shared" si="0"/>
        <v>7</v>
      </c>
      <c r="B16" s="88" t="s">
        <v>698</v>
      </c>
      <c r="E16" s="88" t="s">
        <v>773</v>
      </c>
      <c r="I16" s="346">
        <f>'Projected Gross Rev Req'!$K$28</f>
        <v>182055975.14703271</v>
      </c>
      <c r="J16" s="346">
        <f>'Projected Gross Rev Req'!$K$28</f>
        <v>182055975.14703271</v>
      </c>
      <c r="K16" s="346">
        <f>'Projected Gross Rev Req'!$K$28</f>
        <v>182055975.14703271</v>
      </c>
      <c r="L16" s="346">
        <f>'Projected Gross Rev Req'!$K$28</f>
        <v>182055975.14703271</v>
      </c>
      <c r="M16" s="344"/>
    </row>
    <row r="17" spans="1:13">
      <c r="A17" s="344">
        <f t="shared" si="0"/>
        <v>8</v>
      </c>
      <c r="B17" s="1249" t="s">
        <v>1725</v>
      </c>
      <c r="E17" s="88" t="s">
        <v>1787</v>
      </c>
      <c r="I17" s="346">
        <f>I16-0</f>
        <v>182055975.14703271</v>
      </c>
      <c r="J17" s="346">
        <f>J16-0</f>
        <v>182055975.14703271</v>
      </c>
      <c r="K17" s="346">
        <f>K16-0</f>
        <v>182055975.14703271</v>
      </c>
      <c r="L17" s="346">
        <f>L16-0</f>
        <v>182055975.14703271</v>
      </c>
      <c r="M17" s="344"/>
    </row>
    <row r="18" spans="1:13">
      <c r="A18" s="344">
        <f t="shared" si="0"/>
        <v>9</v>
      </c>
      <c r="B18" s="88" t="s">
        <v>1736</v>
      </c>
      <c r="E18" s="88" t="s">
        <v>789</v>
      </c>
      <c r="I18" s="346">
        <f>'Projected Gross Rev Req'!$K$81</f>
        <v>12239936.440650588</v>
      </c>
      <c r="J18" s="346">
        <f>'Projected Gross Rev Req'!$K$81</f>
        <v>12239936.440650588</v>
      </c>
      <c r="K18" s="346">
        <f>'Projected Gross Rev Req'!$K$81</f>
        <v>12239936.440650588</v>
      </c>
      <c r="L18" s="346">
        <f>'Projected Gross Rev Req'!$K$81</f>
        <v>12239936.440650588</v>
      </c>
      <c r="M18" s="344"/>
    </row>
    <row r="19" spans="1:13">
      <c r="A19" s="344">
        <f t="shared" si="0"/>
        <v>10</v>
      </c>
      <c r="B19" s="88" t="s">
        <v>726</v>
      </c>
      <c r="E19" s="88" t="s">
        <v>1307</v>
      </c>
      <c r="I19" s="1373">
        <f>-'Projected Net Rev Req'!E23</f>
        <v>-347526.34537432063</v>
      </c>
      <c r="J19" s="346">
        <f>-'Projected Net Rev Req'!E24</f>
        <v>-28597.654625679454</v>
      </c>
      <c r="K19" s="346">
        <f>-'Projected Net Rev Req'!E25</f>
        <v>0</v>
      </c>
      <c r="L19" s="346">
        <f>-'Projected Net Rev Req'!E26</f>
        <v>0</v>
      </c>
      <c r="M19" s="344"/>
    </row>
    <row r="20" spans="1:13">
      <c r="A20" s="344">
        <f t="shared" si="0"/>
        <v>11</v>
      </c>
      <c r="B20" s="88" t="s">
        <v>687</v>
      </c>
      <c r="E20" s="88" t="s">
        <v>1752</v>
      </c>
      <c r="I20" s="346">
        <f>'Projected Gross Rev Req'!$K$98</f>
        <v>3594506.6297115721</v>
      </c>
      <c r="J20" s="346">
        <f>'Projected Gross Rev Req'!$K$98</f>
        <v>3594506.6297115721</v>
      </c>
      <c r="K20" s="346">
        <f>'Projected Gross Rev Req'!$K$98</f>
        <v>3594506.6297115721</v>
      </c>
      <c r="L20" s="346">
        <f>'Projected Gross Rev Req'!$K$98</f>
        <v>3594506.6297115721</v>
      </c>
      <c r="M20" s="344"/>
    </row>
    <row r="21" spans="1:13">
      <c r="A21" s="344">
        <f t="shared" si="0"/>
        <v>12</v>
      </c>
      <c r="B21" s="88" t="s">
        <v>697</v>
      </c>
      <c r="E21" s="88" t="s">
        <v>1753</v>
      </c>
      <c r="I21" s="348">
        <f>IF('Projected Gross Rev Req'!$K$110=0,0,'Projected Gross Rev Req'!$F$102)</f>
        <v>0.38239946345762427</v>
      </c>
      <c r="J21" s="348">
        <f>IF('Projected Gross Rev Req'!$K$110=0,0,'Projected Gross Rev Req'!$F$102)</f>
        <v>0.38239946345762427</v>
      </c>
      <c r="K21" s="348">
        <f>IF('Projected Gross Rev Req'!$K$110=0,0,'Projected Gross Rev Req'!$F$102)</f>
        <v>0.38239946345762427</v>
      </c>
      <c r="L21" s="348">
        <f>IF('Projected Gross Rev Req'!$K$110=0,0,'Projected Gross Rev Req'!$F$102)</f>
        <v>0.38239946345762427</v>
      </c>
      <c r="M21" s="344"/>
    </row>
    <row r="22" spans="1:13">
      <c r="A22" s="344">
        <f t="shared" si="0"/>
        <v>13</v>
      </c>
      <c r="B22" s="88" t="s">
        <v>1580</v>
      </c>
      <c r="E22" s="88" t="s">
        <v>1754</v>
      </c>
      <c r="I22" s="346">
        <f>'Projected Gross Rev Req'!K108</f>
        <v>5246105.2613857808</v>
      </c>
      <c r="J22" s="346">
        <f>I22</f>
        <v>5246105.2613857808</v>
      </c>
      <c r="K22" s="346">
        <f>I22</f>
        <v>5246105.2613857808</v>
      </c>
      <c r="L22" s="346">
        <f>I22</f>
        <v>5246105.2613857808</v>
      </c>
      <c r="M22" s="344"/>
    </row>
    <row r="23" spans="1:13">
      <c r="A23" s="344">
        <f t="shared" si="0"/>
        <v>14</v>
      </c>
      <c r="B23" s="88" t="s">
        <v>1005</v>
      </c>
      <c r="E23" s="1834" t="str">
        <f>"(Wksht A-9, p.1, Summary, lines "&amp;'A-9 (Act. Incentive Projects)'!A15&amp;", "&amp;'A-9 (Act. Incentive Projects)'!A31&amp;", "&amp;'A-9 (Act. Incentive Projects)'!A37&amp;", &amp; "&amp;'A-9 (Act. Incentive Projects)'!A43&amp;")"</f>
        <v>(Wksht A-9, p.1, Summary, lines 5, 17, 20, &amp; 24)</v>
      </c>
      <c r="I23" s="348">
        <f>'A-9 (Act. Incentive Projects)'!M15</f>
        <v>0.63412352476290834</v>
      </c>
      <c r="J23" s="348">
        <f>'A-9 (Act. Incentive Projects)'!M31</f>
        <v>0.63412352476290834</v>
      </c>
      <c r="K23" s="348">
        <f>'A-9 (Act. Incentive Projects)'!M37</f>
        <v>0.63412352476290834</v>
      </c>
      <c r="L23" s="348">
        <f>'A-9 (Act. Incentive Projects)'!M43</f>
        <v>0.63412352476290834</v>
      </c>
      <c r="M23" s="344"/>
    </row>
    <row r="24" spans="1:13">
      <c r="A24" s="344">
        <f>A23+1</f>
        <v>15</v>
      </c>
      <c r="B24" s="88" t="s">
        <v>1737</v>
      </c>
      <c r="E24" s="1834" t="str">
        <f>"(Proj Gross Rev Req, p.4, line "&amp;'Projected Gross Rev Req'!A232&amp;" thru "&amp;'Projected Gross Rev Req'!A235&amp;")"</f>
        <v>(Proj Gross Rev Req, p.4, line 34 thru 37)</v>
      </c>
      <c r="I24" s="346">
        <f>'Projected Gross Rev Req'!G232</f>
        <v>0</v>
      </c>
      <c r="J24" s="346">
        <f>'Projected Gross Rev Req'!G233</f>
        <v>0</v>
      </c>
      <c r="K24" s="346">
        <f>'Projected Gross Rev Req'!G234</f>
        <v>0</v>
      </c>
      <c r="L24" s="346">
        <f>'Projected Gross Rev Req'!G235</f>
        <v>0</v>
      </c>
      <c r="M24" s="344"/>
    </row>
    <row r="25" spans="1:13">
      <c r="A25" s="344">
        <f t="shared" si="0"/>
        <v>16</v>
      </c>
      <c r="B25" s="88" t="s">
        <v>919</v>
      </c>
      <c r="E25" s="88" t="s">
        <v>1755</v>
      </c>
      <c r="I25" s="89">
        <f>'TU (True-Up)'!G70</f>
        <v>-521701.97</v>
      </c>
      <c r="J25" s="89">
        <f>'TU (True-Up)'!H70</f>
        <v>-215497.43</v>
      </c>
      <c r="K25" s="89">
        <f>'TU (True-Up)'!I70</f>
        <v>0</v>
      </c>
      <c r="L25" s="89">
        <f>'TU (True-Up)'!J70</f>
        <v>0</v>
      </c>
      <c r="M25" s="344"/>
    </row>
    <row r="26" spans="1:13">
      <c r="A26" s="344">
        <f>A25+1</f>
        <v>17</v>
      </c>
      <c r="B26" s="88" t="s">
        <v>1346</v>
      </c>
      <c r="E26" s="88" t="s">
        <v>1037</v>
      </c>
      <c r="I26" s="347">
        <f>IF(I16=0,0,I14/I16)</f>
        <v>-0.1963183621467082</v>
      </c>
      <c r="J26" s="347">
        <f>IF(J16=0,0,J14/J16)</f>
        <v>-0.1963183621467082</v>
      </c>
      <c r="K26" s="347">
        <f>IF(K16=0,0,K14/K16)</f>
        <v>-0.1963183621467082</v>
      </c>
      <c r="L26" s="347">
        <f>IF(L16=0,0,L14/L16)</f>
        <v>-0.1963183621467082</v>
      </c>
      <c r="M26" s="344"/>
    </row>
    <row r="27" spans="1:13">
      <c r="A27" s="344">
        <f t="shared" ref="A27:A33" si="1">A26+1</f>
        <v>18</v>
      </c>
      <c r="B27" s="88" t="s">
        <v>1224</v>
      </c>
      <c r="E27" s="88" t="s">
        <v>1038</v>
      </c>
      <c r="I27" s="347">
        <f>IF(I16=0,0,I18/I16)</f>
        <v>6.723172052312662E-2</v>
      </c>
      <c r="J27" s="347">
        <f>IF(J16=0,0,J18/J16)</f>
        <v>6.723172052312662E-2</v>
      </c>
      <c r="K27" s="347">
        <f>IF(K16=0,0,K18/K16)</f>
        <v>6.723172052312662E-2</v>
      </c>
      <c r="L27" s="347">
        <f>IF(L16=0,0,L18/L16)</f>
        <v>6.723172052312662E-2</v>
      </c>
      <c r="M27" s="344"/>
    </row>
    <row r="28" spans="1:13">
      <c r="A28" s="344">
        <f t="shared" si="1"/>
        <v>19</v>
      </c>
      <c r="B28" s="88" t="s">
        <v>780</v>
      </c>
      <c r="E28" s="88" t="s">
        <v>1196</v>
      </c>
      <c r="I28" s="347">
        <f>IF($S$61=0,0,(I19/$S$61))</f>
        <v>-0.13741862582077013</v>
      </c>
      <c r="J28" s="347">
        <f>IF(S94=0,0,(J19/S94))</f>
        <v>0</v>
      </c>
      <c r="K28" s="347">
        <f>IF(S127=0,0,(K19/S127))</f>
        <v>0</v>
      </c>
      <c r="L28" s="347">
        <f>IF(S160=0,0,(L19/S160))</f>
        <v>0</v>
      </c>
      <c r="M28" s="344"/>
    </row>
    <row r="29" spans="1:13">
      <c r="A29" s="344">
        <f t="shared" si="1"/>
        <v>20</v>
      </c>
      <c r="B29" s="88" t="s">
        <v>902</v>
      </c>
      <c r="E29" s="88" t="s">
        <v>849</v>
      </c>
      <c r="I29" s="347">
        <f>IF(I16=0,0,I20/I16)</f>
        <v>1.9743964057255269E-2</v>
      </c>
      <c r="J29" s="347">
        <f>IF(J16=0,0,J20/J16)</f>
        <v>1.9743964057255269E-2</v>
      </c>
      <c r="K29" s="347">
        <f>IF(K16=0,0,K20/K16)</f>
        <v>1.9743964057255269E-2</v>
      </c>
      <c r="L29" s="347">
        <f>IF(L16=0,0,L20/L16)</f>
        <v>1.9743964057255269E-2</v>
      </c>
      <c r="M29" s="344"/>
    </row>
    <row r="30" spans="1:13">
      <c r="A30" s="344">
        <f>A29+1</f>
        <v>21</v>
      </c>
      <c r="B30" s="88" t="s">
        <v>901</v>
      </c>
      <c r="E30" s="1834" t="str">
        <f>"(Proj Gross Rev Req, p.4, line "&amp;'Projected Gross Rev Req'!A210&amp;")"</f>
        <v>(Proj Gross Rev Req, p.4, line 21)</v>
      </c>
      <c r="I30" s="347">
        <f>'Projected Gross Rev Req'!$K$210</f>
        <v>9.0731045752656447E-2</v>
      </c>
      <c r="J30" s="347">
        <f>'Projected Gross Rev Req'!$K$210</f>
        <v>9.0731045752656447E-2</v>
      </c>
      <c r="K30" s="347">
        <f>'Projected Gross Rev Req'!$K$210</f>
        <v>9.0731045752656447E-2</v>
      </c>
      <c r="L30" s="347">
        <f>'Projected Gross Rev Req'!$K$210</f>
        <v>9.0731045752656447E-2</v>
      </c>
      <c r="M30" s="344"/>
    </row>
    <row r="31" spans="1:13">
      <c r="A31" s="344">
        <f t="shared" si="1"/>
        <v>22</v>
      </c>
      <c r="B31" s="88" t="s">
        <v>900</v>
      </c>
      <c r="E31" s="88" t="s">
        <v>1039</v>
      </c>
      <c r="I31" s="347">
        <f>IF(I16=0,0,I22/I16)</f>
        <v>2.8815891690173321E-2</v>
      </c>
      <c r="J31" s="347">
        <f>IF(J16=0,0,J22/J16)</f>
        <v>2.8815891690173321E-2</v>
      </c>
      <c r="K31" s="347">
        <f>IF(K16=0,0,K22/K16)</f>
        <v>2.8815891690173321E-2</v>
      </c>
      <c r="L31" s="347">
        <f>IF(L16=0,0,L22/L16)</f>
        <v>2.8815891690173321E-2</v>
      </c>
      <c r="M31" s="344"/>
    </row>
    <row r="32" spans="1:13">
      <c r="A32" s="344">
        <f t="shared" si="1"/>
        <v>23</v>
      </c>
      <c r="B32" s="88" t="s">
        <v>1040</v>
      </c>
      <c r="E32" s="1834" t="str">
        <f>"(Proj Gross Rev Req, p.4, line "&amp;'Projected Gross Rev Req'!A209&amp;")"</f>
        <v>(Proj Gross Rev Req, p.4, line 20)</v>
      </c>
      <c r="I32" s="349">
        <f>'Projected Gross Rev Req'!$G$209</f>
        <v>0.4904123262493072</v>
      </c>
      <c r="J32" s="349">
        <f>'Projected Gross Rev Req'!$G$209</f>
        <v>0.4904123262493072</v>
      </c>
      <c r="K32" s="349">
        <f>'Projected Gross Rev Req'!$G$209</f>
        <v>0.4904123262493072</v>
      </c>
      <c r="L32" s="349">
        <f>'Projected Gross Rev Req'!$G$209</f>
        <v>0.4904123262493072</v>
      </c>
      <c r="M32" s="344"/>
    </row>
    <row r="33" spans="1:23">
      <c r="A33" s="344">
        <f t="shared" si="1"/>
        <v>24</v>
      </c>
      <c r="B33" s="88" t="s">
        <v>690</v>
      </c>
      <c r="E33" s="88" t="s">
        <v>972</v>
      </c>
      <c r="I33" s="347">
        <f>IF($S$61=0,0,(I25/$S$61))</f>
        <v>-0.20629103018986847</v>
      </c>
      <c r="J33" s="347">
        <f>IF(S94=0,0,(J25/S94))</f>
        <v>0</v>
      </c>
      <c r="K33" s="347">
        <f>IF(S127=0,0,(K25/S127))</f>
        <v>0</v>
      </c>
      <c r="L33" s="347">
        <f>IF(S160=0,0,(L25/S160))</f>
        <v>0</v>
      </c>
      <c r="M33" s="344"/>
    </row>
    <row r="35" spans="1:23" ht="18">
      <c r="B35" s="342" t="s">
        <v>1436</v>
      </c>
      <c r="M35" s="742"/>
    </row>
    <row r="36" spans="1:23" ht="18">
      <c r="B36" s="342"/>
      <c r="K36" s="2193" t="s">
        <v>188</v>
      </c>
      <c r="L36" s="2193"/>
      <c r="M36" s="1329"/>
      <c r="U36" s="2193" t="s">
        <v>189</v>
      </c>
      <c r="V36" s="2193"/>
    </row>
    <row r="37" spans="1:23" ht="15.75">
      <c r="B37" s="143" t="str">
        <f>+B4</f>
        <v>For the 12 months ended - December 31, 2014</v>
      </c>
      <c r="L37" s="341"/>
      <c r="M37" s="1623"/>
      <c r="V37" s="1623"/>
    </row>
    <row r="38" spans="1:23" ht="15">
      <c r="A38" s="143"/>
    </row>
    <row r="39" spans="1:23" ht="15">
      <c r="B39" s="1249" t="s">
        <v>1364</v>
      </c>
      <c r="C39" s="1249"/>
      <c r="M39" s="341" t="s">
        <v>1250</v>
      </c>
      <c r="V39" s="341" t="s">
        <v>1251</v>
      </c>
    </row>
    <row r="40" spans="1:23">
      <c r="B40" s="1249" t="s">
        <v>1365</v>
      </c>
      <c r="C40" s="1249"/>
    </row>
    <row r="41" spans="1:23">
      <c r="B41" s="88" t="s">
        <v>650</v>
      </c>
    </row>
    <row r="42" spans="1:23">
      <c r="B42" s="88" t="s">
        <v>1312</v>
      </c>
    </row>
    <row r="45" spans="1:23" ht="15.75">
      <c r="B45" s="2252"/>
      <c r="C45" s="2252"/>
      <c r="D45" s="350"/>
      <c r="E45" s="607" t="s">
        <v>1529</v>
      </c>
      <c r="F45" s="607" t="s">
        <v>1527</v>
      </c>
      <c r="G45" s="607" t="s">
        <v>1528</v>
      </c>
      <c r="H45" s="608" t="s">
        <v>1167</v>
      </c>
      <c r="I45" s="608" t="s">
        <v>1168</v>
      </c>
      <c r="J45" s="607" t="s">
        <v>1169</v>
      </c>
      <c r="K45" s="608" t="s">
        <v>1170</v>
      </c>
      <c r="L45" s="607" t="s">
        <v>1171</v>
      </c>
      <c r="M45" s="607" t="s">
        <v>1172</v>
      </c>
      <c r="N45" s="607" t="s">
        <v>1173</v>
      </c>
      <c r="O45" s="607" t="s">
        <v>1174</v>
      </c>
      <c r="P45" s="607" t="s">
        <v>1175</v>
      </c>
      <c r="Q45" s="607" t="s">
        <v>1176</v>
      </c>
      <c r="R45" s="607" t="s">
        <v>1177</v>
      </c>
      <c r="S45" s="607" t="s">
        <v>1551</v>
      </c>
      <c r="T45" s="607" t="s">
        <v>921</v>
      </c>
      <c r="U45" s="607" t="s">
        <v>828</v>
      </c>
      <c r="V45" s="607" t="s">
        <v>429</v>
      </c>
      <c r="W45" s="607" t="s">
        <v>516</v>
      </c>
    </row>
    <row r="46" spans="1:23">
      <c r="B46" s="351"/>
      <c r="C46" s="351"/>
      <c r="D46" s="351"/>
      <c r="E46" s="352" t="s">
        <v>267</v>
      </c>
      <c r="F46" s="352" t="s">
        <v>899</v>
      </c>
      <c r="G46" s="352" t="s">
        <v>1548</v>
      </c>
      <c r="H46" s="352" t="s">
        <v>1584</v>
      </c>
      <c r="I46" s="352" t="s">
        <v>148</v>
      </c>
      <c r="J46" s="352" t="s">
        <v>1549</v>
      </c>
      <c r="K46" s="352" t="s">
        <v>477</v>
      </c>
      <c r="L46" s="352" t="s">
        <v>1028</v>
      </c>
      <c r="M46" s="352" t="s">
        <v>1347</v>
      </c>
      <c r="N46" s="1244" t="s">
        <v>982</v>
      </c>
      <c r="O46" s="1244" t="s">
        <v>137</v>
      </c>
      <c r="P46" s="1244" t="s">
        <v>54</v>
      </c>
      <c r="Q46" s="1244" t="s">
        <v>1030</v>
      </c>
      <c r="R46" s="352" t="s">
        <v>465</v>
      </c>
      <c r="S46" s="352" t="s">
        <v>1201</v>
      </c>
      <c r="T46" s="352" t="s">
        <v>920</v>
      </c>
      <c r="U46" s="352" t="s">
        <v>728</v>
      </c>
      <c r="V46" s="352" t="s">
        <v>513</v>
      </c>
      <c r="W46" s="352" t="s">
        <v>430</v>
      </c>
    </row>
    <row r="47" spans="1:23" ht="13.5" thickBot="1">
      <c r="B47" s="353" t="s">
        <v>1147</v>
      </c>
      <c r="C47" s="353" t="s">
        <v>266</v>
      </c>
      <c r="D47" s="343"/>
      <c r="E47" s="354" t="s">
        <v>268</v>
      </c>
      <c r="F47" s="354" t="s">
        <v>1584</v>
      </c>
      <c r="G47" s="354" t="s">
        <v>1583</v>
      </c>
      <c r="H47" s="354" t="s">
        <v>1181</v>
      </c>
      <c r="I47" s="354" t="s">
        <v>515</v>
      </c>
      <c r="J47" s="354" t="s">
        <v>1583</v>
      </c>
      <c r="K47" s="354" t="s">
        <v>1581</v>
      </c>
      <c r="L47" s="354" t="s">
        <v>1029</v>
      </c>
      <c r="M47" s="354" t="s">
        <v>1579</v>
      </c>
      <c r="N47" s="1245" t="s">
        <v>1166</v>
      </c>
      <c r="O47" s="1245" t="s">
        <v>1534</v>
      </c>
      <c r="P47" s="1245" t="s">
        <v>1579</v>
      </c>
      <c r="Q47" s="1245" t="s">
        <v>1029</v>
      </c>
      <c r="R47" s="354" t="s">
        <v>685</v>
      </c>
      <c r="S47" s="354" t="s">
        <v>827</v>
      </c>
      <c r="T47" s="354" t="s">
        <v>1624</v>
      </c>
      <c r="U47" s="354" t="s">
        <v>1739</v>
      </c>
      <c r="V47" s="354" t="s">
        <v>512</v>
      </c>
      <c r="W47" s="354" t="s">
        <v>1739</v>
      </c>
    </row>
    <row r="48" spans="1:23" ht="36.75" customHeight="1">
      <c r="B48" s="355"/>
      <c r="C48" s="351"/>
      <c r="D48" s="352"/>
      <c r="E48" s="352"/>
      <c r="F48" s="352"/>
      <c r="G48" s="352" t="s">
        <v>619</v>
      </c>
      <c r="H48" s="352" t="s">
        <v>952</v>
      </c>
      <c r="I48" s="1835" t="s">
        <v>5</v>
      </c>
      <c r="J48" s="352" t="s">
        <v>1550</v>
      </c>
      <c r="K48" s="352" t="s">
        <v>1552</v>
      </c>
      <c r="L48" s="352" t="s">
        <v>956</v>
      </c>
      <c r="M48" s="352" t="s">
        <v>673</v>
      </c>
      <c r="N48" s="1836" t="s">
        <v>19</v>
      </c>
      <c r="O48" s="1836" t="s">
        <v>19</v>
      </c>
      <c r="P48" s="1837" t="s">
        <v>20</v>
      </c>
      <c r="Q48" s="1836" t="s">
        <v>1139</v>
      </c>
      <c r="R48" s="352" t="s">
        <v>6</v>
      </c>
      <c r="S48" s="352" t="s">
        <v>463</v>
      </c>
      <c r="T48" s="352" t="s">
        <v>1762</v>
      </c>
      <c r="U48" s="352" t="s">
        <v>829</v>
      </c>
      <c r="V48" s="352" t="s">
        <v>1763</v>
      </c>
      <c r="W48" s="352" t="s">
        <v>464</v>
      </c>
    </row>
    <row r="49" spans="1:26">
      <c r="B49" s="356" t="s">
        <v>1371</v>
      </c>
      <c r="N49" s="1246"/>
      <c r="O49" s="1246"/>
      <c r="P49" s="1246"/>
      <c r="Q49" s="1247"/>
    </row>
    <row r="50" spans="1:26">
      <c r="A50" s="609"/>
      <c r="B50" s="135" t="str">
        <f>'A-7 (Act. RTO Directed Proj)'!H41</f>
        <v>Tomahawk -Bendix Reconductor</v>
      </c>
      <c r="C50" s="135"/>
      <c r="D50" s="135"/>
      <c r="E50" s="560">
        <f>'A-7 (Act. RTO Directed Proj)'!G56</f>
        <v>983252</v>
      </c>
      <c r="F50" s="1838">
        <f>'A-7 (Act. RTO Directed Proj)'!I57+'A-7 (Act. RTO Directed Proj)'!H58</f>
        <v>123691.23473747587</v>
      </c>
      <c r="G50" s="89">
        <f t="shared" ref="G50:G55" si="2">E50-F50</f>
        <v>859560.76526252413</v>
      </c>
      <c r="H50" s="358">
        <f t="shared" ref="H50:H55" si="3">IF(I$15=0,0,I$8/I$15)</f>
        <v>1.7922999999999998E-2</v>
      </c>
      <c r="I50" s="89">
        <f t="shared" ref="I50:I57" si="4">ROUND(E50*H50*1.5,0)</f>
        <v>26434</v>
      </c>
      <c r="J50" s="89">
        <f t="shared" ref="J50:J55" si="5">MAX(E50-F50-I50,0)</f>
        <v>833126.76526252413</v>
      </c>
      <c r="K50" s="89">
        <f t="shared" ref="K50:K55" si="6">ROUND(J50*$I$27,0)</f>
        <v>56013</v>
      </c>
      <c r="L50" s="89">
        <f t="shared" ref="L50:L55" si="7">ROUND(J50*$I$29,0)</f>
        <v>16449</v>
      </c>
      <c r="M50" s="348">
        <f t="shared" ref="M50:M55" si="8">+I$30</f>
        <v>9.0731045752656447E-2</v>
      </c>
      <c r="N50" s="359">
        <v>0</v>
      </c>
      <c r="O50" s="89">
        <v>0</v>
      </c>
      <c r="P50" s="89">
        <f t="shared" ref="P50:P55" si="9">ROUND((M50*J50)+(M50*O50)+(N50*J50),0)</f>
        <v>75590</v>
      </c>
      <c r="Q50" s="89">
        <f t="shared" ref="Q50:Q55" si="10">ROUND((P50-(N50*J50))*I$21+(N50*J50*I$23),0)</f>
        <v>28906</v>
      </c>
      <c r="R50" s="89">
        <f t="shared" ref="R50:R55" si="11">I50/1.5</f>
        <v>17622.666666666668</v>
      </c>
      <c r="S50" s="89">
        <f t="shared" ref="S50:S55" si="12">+K50+L50+P50+Q50+R50</f>
        <v>194580.66666666666</v>
      </c>
      <c r="T50" s="89">
        <f t="shared" ref="T50:T55" si="13">ROUND(S50*I$33,0)</f>
        <v>-40140</v>
      </c>
      <c r="U50" s="89">
        <f t="shared" ref="U50:U55" si="14">S50+T50</f>
        <v>154440.66666666666</v>
      </c>
      <c r="V50" s="89">
        <f t="shared" ref="V50:V55" si="15">ROUND(+S50*$I$28,0)</f>
        <v>-26739</v>
      </c>
      <c r="W50" s="89">
        <f t="shared" ref="W50:W55" si="16">U50+V50</f>
        <v>127701.66666666666</v>
      </c>
    </row>
    <row r="51" spans="1:26">
      <c r="A51" s="609"/>
      <c r="B51" s="135" t="str">
        <f>'A-7 (Act. RTO Directed Proj)'!K41</f>
        <v>West Gardner Autotransformer</v>
      </c>
      <c r="C51" s="135"/>
      <c r="D51" s="135"/>
      <c r="E51" s="560">
        <f>'A-7 (Act. RTO Directed Proj)'!J56</f>
        <v>4845745</v>
      </c>
      <c r="F51" s="560">
        <f>'A-7 (Act. RTO Directed Proj)'!L57+'A-7 (Act. RTO Directed Proj)'!K58</f>
        <v>653869.30400034785</v>
      </c>
      <c r="G51" s="89">
        <f t="shared" si="2"/>
        <v>4191875.6959996521</v>
      </c>
      <c r="H51" s="358">
        <f t="shared" si="3"/>
        <v>1.7922999999999998E-2</v>
      </c>
      <c r="I51" s="89">
        <f t="shared" si="4"/>
        <v>130275</v>
      </c>
      <c r="J51" s="89">
        <f t="shared" si="5"/>
        <v>4061600.6959996521</v>
      </c>
      <c r="K51" s="89">
        <f t="shared" si="6"/>
        <v>273068</v>
      </c>
      <c r="L51" s="89">
        <f t="shared" si="7"/>
        <v>80192</v>
      </c>
      <c r="M51" s="348">
        <f t="shared" si="8"/>
        <v>9.0731045752656447E-2</v>
      </c>
      <c r="N51" s="359">
        <v>0</v>
      </c>
      <c r="O51" s="89">
        <v>0</v>
      </c>
      <c r="P51" s="89">
        <f t="shared" si="9"/>
        <v>368513</v>
      </c>
      <c r="Q51" s="89">
        <f t="shared" si="10"/>
        <v>140919</v>
      </c>
      <c r="R51" s="89">
        <f t="shared" si="11"/>
        <v>86850</v>
      </c>
      <c r="S51" s="89">
        <f t="shared" si="12"/>
        <v>949542</v>
      </c>
      <c r="T51" s="89">
        <f t="shared" si="13"/>
        <v>-195882</v>
      </c>
      <c r="U51" s="89">
        <f t="shared" si="14"/>
        <v>753660</v>
      </c>
      <c r="V51" s="89">
        <f t="shared" si="15"/>
        <v>-130485</v>
      </c>
      <c r="W51" s="89">
        <f t="shared" si="16"/>
        <v>623175</v>
      </c>
    </row>
    <row r="52" spans="1:26">
      <c r="A52" s="609"/>
      <c r="B52" s="135" t="str">
        <f>'A-7 (Act. RTO Directed Proj)'!N41</f>
        <v>Stilwell-Antioch Reconductor</v>
      </c>
      <c r="E52" s="89">
        <f>'A-7 (Act. RTO Directed Proj)'!M56</f>
        <v>2122148</v>
      </c>
      <c r="F52" s="89">
        <f>'A-7 (Act. RTO Directed Proj)'!O57+'A-7 (Act. RTO Directed Proj)'!N58</f>
        <v>279653.14165205357</v>
      </c>
      <c r="G52" s="89">
        <f t="shared" si="2"/>
        <v>1842494.8583479463</v>
      </c>
      <c r="H52" s="358">
        <f t="shared" si="3"/>
        <v>1.7922999999999998E-2</v>
      </c>
      <c r="I52" s="89">
        <f t="shared" si="4"/>
        <v>57053</v>
      </c>
      <c r="J52" s="89">
        <f t="shared" si="5"/>
        <v>1785441.8583479463</v>
      </c>
      <c r="K52" s="89">
        <f t="shared" si="6"/>
        <v>120038</v>
      </c>
      <c r="L52" s="89">
        <f t="shared" si="7"/>
        <v>35252</v>
      </c>
      <c r="M52" s="348">
        <f t="shared" si="8"/>
        <v>9.0731045752656447E-2</v>
      </c>
      <c r="N52" s="359">
        <v>0</v>
      </c>
      <c r="O52" s="89">
        <v>0</v>
      </c>
      <c r="P52" s="89">
        <f t="shared" si="9"/>
        <v>161995</v>
      </c>
      <c r="Q52" s="89">
        <f t="shared" si="10"/>
        <v>61947</v>
      </c>
      <c r="R52" s="89">
        <f t="shared" si="11"/>
        <v>38035.333333333336</v>
      </c>
      <c r="S52" s="89">
        <f t="shared" si="12"/>
        <v>417267.33333333331</v>
      </c>
      <c r="T52" s="89">
        <f t="shared" si="13"/>
        <v>-86079</v>
      </c>
      <c r="U52" s="89">
        <f t="shared" si="14"/>
        <v>331188.33333333331</v>
      </c>
      <c r="V52" s="89">
        <f t="shared" si="15"/>
        <v>-57340</v>
      </c>
      <c r="W52" s="89">
        <f t="shared" si="16"/>
        <v>273848.33333333331</v>
      </c>
      <c r="X52" s="1115"/>
      <c r="Y52" s="1115"/>
      <c r="Z52" s="1115"/>
    </row>
    <row r="53" spans="1:26">
      <c r="A53" s="609"/>
      <c r="B53" s="135" t="str">
        <f>'A-7 (Act. RTO Directed Proj)'!Q41</f>
        <v>South Waverly Capacitor Bank</v>
      </c>
      <c r="E53" s="89">
        <f>'A-7 (Act. RTO Directed Proj)'!P56</f>
        <v>641927</v>
      </c>
      <c r="F53" s="89">
        <f>'A-7 (Act. RTO Directed Proj)'!R57+'A-7 (Act. RTO Directed Proj)'!Q58</f>
        <v>81993.524733561368</v>
      </c>
      <c r="G53" s="89">
        <f t="shared" si="2"/>
        <v>559933.47526643868</v>
      </c>
      <c r="H53" s="358">
        <f t="shared" si="3"/>
        <v>1.7922999999999998E-2</v>
      </c>
      <c r="I53" s="89">
        <f t="shared" si="4"/>
        <v>17258</v>
      </c>
      <c r="J53" s="89">
        <f t="shared" si="5"/>
        <v>542675.47526643868</v>
      </c>
      <c r="K53" s="89">
        <f t="shared" si="6"/>
        <v>36485</v>
      </c>
      <c r="L53" s="89">
        <f t="shared" si="7"/>
        <v>10715</v>
      </c>
      <c r="M53" s="348">
        <f t="shared" si="8"/>
        <v>9.0731045752656447E-2</v>
      </c>
      <c r="N53" s="359">
        <v>0</v>
      </c>
      <c r="O53" s="89">
        <v>0</v>
      </c>
      <c r="P53" s="89">
        <f t="shared" si="9"/>
        <v>49238</v>
      </c>
      <c r="Q53" s="89">
        <f t="shared" si="10"/>
        <v>18829</v>
      </c>
      <c r="R53" s="89">
        <f t="shared" si="11"/>
        <v>11505.333333333334</v>
      </c>
      <c r="S53" s="89">
        <f t="shared" si="12"/>
        <v>126772.33333333333</v>
      </c>
      <c r="T53" s="89">
        <f t="shared" si="13"/>
        <v>-26152</v>
      </c>
      <c r="U53" s="89">
        <f t="shared" si="14"/>
        <v>100620.33333333333</v>
      </c>
      <c r="V53" s="89">
        <f t="shared" si="15"/>
        <v>-17421</v>
      </c>
      <c r="W53" s="89">
        <f t="shared" si="16"/>
        <v>83199.333333333328</v>
      </c>
      <c r="X53" s="1115"/>
      <c r="Y53" s="1115"/>
      <c r="Z53" s="1115"/>
    </row>
    <row r="54" spans="1:26">
      <c r="A54" s="609"/>
      <c r="B54" s="135" t="str">
        <f>'A-7 (Act. RTO Directed Proj)'!T41</f>
        <v>Antioch -Oxford Reconductor &amp; Switches</v>
      </c>
      <c r="E54" s="89">
        <f>'A-7 (Act. RTO Directed Proj)'!S56</f>
        <v>1370530</v>
      </c>
      <c r="F54" s="89">
        <f>'A-7 (Act. RTO Directed Proj)'!U57+'A-7 (Act. RTO Directed Proj)'!T58</f>
        <v>132005.57948191595</v>
      </c>
      <c r="G54" s="89">
        <f t="shared" si="2"/>
        <v>1238524.420518084</v>
      </c>
      <c r="H54" s="358">
        <f t="shared" si="3"/>
        <v>1.7922999999999998E-2</v>
      </c>
      <c r="I54" s="89">
        <f t="shared" si="4"/>
        <v>36846</v>
      </c>
      <c r="J54" s="89">
        <f t="shared" si="5"/>
        <v>1201678.420518084</v>
      </c>
      <c r="K54" s="89">
        <f t="shared" si="6"/>
        <v>80791</v>
      </c>
      <c r="L54" s="89">
        <f t="shared" si="7"/>
        <v>23726</v>
      </c>
      <c r="M54" s="348">
        <f t="shared" si="8"/>
        <v>9.0731045752656447E-2</v>
      </c>
      <c r="N54" s="359">
        <v>0</v>
      </c>
      <c r="O54" s="89">
        <v>0</v>
      </c>
      <c r="P54" s="89">
        <f t="shared" si="9"/>
        <v>109030</v>
      </c>
      <c r="Q54" s="89">
        <f t="shared" si="10"/>
        <v>41693</v>
      </c>
      <c r="R54" s="89">
        <f t="shared" si="11"/>
        <v>24564</v>
      </c>
      <c r="S54" s="89">
        <f t="shared" si="12"/>
        <v>279804</v>
      </c>
      <c r="T54" s="89">
        <f t="shared" si="13"/>
        <v>-57721</v>
      </c>
      <c r="U54" s="89">
        <f t="shared" si="14"/>
        <v>222083</v>
      </c>
      <c r="V54" s="89">
        <f t="shared" si="15"/>
        <v>-38450</v>
      </c>
      <c r="W54" s="89">
        <f t="shared" si="16"/>
        <v>183633</v>
      </c>
      <c r="X54" s="1115"/>
      <c r="Y54" s="1115"/>
      <c r="Z54" s="1115"/>
    </row>
    <row r="55" spans="1:26">
      <c r="A55" s="609"/>
      <c r="B55" s="135" t="str">
        <f>'A-7 (Act. RTO Directed Proj)'!W41</f>
        <v>Craig -College Base Plan Part of Accel Upgrade</v>
      </c>
      <c r="E55" s="89">
        <f>'A-7 (Act. RTO Directed Proj)'!V56</f>
        <v>416249</v>
      </c>
      <c r="F55" s="89">
        <f>'A-7 (Act. RTO Directed Proj)'!X57+'A-7 (Act. RTO Directed Proj)'!W58</f>
        <v>32883.604032577205</v>
      </c>
      <c r="G55" s="89">
        <f t="shared" si="2"/>
        <v>383365.39596742281</v>
      </c>
      <c r="H55" s="358">
        <f t="shared" si="3"/>
        <v>1.7922999999999998E-2</v>
      </c>
      <c r="I55" s="89">
        <f t="shared" si="4"/>
        <v>11191</v>
      </c>
      <c r="J55" s="89">
        <f t="shared" si="5"/>
        <v>372174.39596742281</v>
      </c>
      <c r="K55" s="89">
        <f t="shared" si="6"/>
        <v>25022</v>
      </c>
      <c r="L55" s="89">
        <f t="shared" si="7"/>
        <v>7348</v>
      </c>
      <c r="M55" s="348">
        <f t="shared" si="8"/>
        <v>9.0731045752656447E-2</v>
      </c>
      <c r="N55" s="359">
        <v>0</v>
      </c>
      <c r="O55" s="89">
        <v>0</v>
      </c>
      <c r="P55" s="89">
        <f t="shared" si="9"/>
        <v>33768</v>
      </c>
      <c r="Q55" s="89">
        <f t="shared" si="10"/>
        <v>12913</v>
      </c>
      <c r="R55" s="89">
        <f t="shared" si="11"/>
        <v>7460.666666666667</v>
      </c>
      <c r="S55" s="89">
        <f t="shared" si="12"/>
        <v>86511.666666666672</v>
      </c>
      <c r="T55" s="89">
        <f t="shared" si="13"/>
        <v>-17847</v>
      </c>
      <c r="U55" s="89">
        <f t="shared" si="14"/>
        <v>68664.666666666672</v>
      </c>
      <c r="V55" s="89">
        <f t="shared" si="15"/>
        <v>-11888</v>
      </c>
      <c r="W55" s="89">
        <f t="shared" si="16"/>
        <v>56776.666666666672</v>
      </c>
      <c r="X55" s="1115"/>
      <c r="Y55" s="1115"/>
      <c r="Z55" s="1115"/>
    </row>
    <row r="56" spans="1:26">
      <c r="A56" s="609"/>
      <c r="B56" s="135" t="str">
        <f>'A-7 (Act. RTO Directed Proj)'!Z41</f>
        <v>Mayview Line Terminal</v>
      </c>
      <c r="E56" s="89">
        <f>'A-7 (Act. RTO Directed Proj)'!Y56</f>
        <v>42111</v>
      </c>
      <c r="F56" s="89">
        <f>'A-7 (Act. RTO Directed Proj)'!Z58+'A-7 (Act. RTO Directed Proj)'!AA57</f>
        <v>1353.7729758290316</v>
      </c>
      <c r="G56" s="89">
        <f t="shared" ref="G56:G57" si="17">E56-F56</f>
        <v>40757.22702417097</v>
      </c>
      <c r="H56" s="358">
        <f t="shared" ref="H56:H57" si="18">IF(I$15=0,0,I$8/I$15)</f>
        <v>1.7922999999999998E-2</v>
      </c>
      <c r="I56" s="89">
        <f t="shared" si="4"/>
        <v>1132</v>
      </c>
      <c r="J56" s="89">
        <f t="shared" ref="J56:J57" si="19">MAX(E56-F56-I56,0)</f>
        <v>39625.22702417097</v>
      </c>
      <c r="K56" s="89">
        <f t="shared" ref="K56:K57" si="20">ROUND(J56*$I$27,0)</f>
        <v>2664</v>
      </c>
      <c r="L56" s="89">
        <f t="shared" ref="L56:L57" si="21">ROUND(J56*$I$29,0)</f>
        <v>782</v>
      </c>
      <c r="M56" s="348">
        <f t="shared" ref="M56:M57" si="22">+I$30</f>
        <v>9.0731045752656447E-2</v>
      </c>
      <c r="N56" s="359">
        <v>0</v>
      </c>
      <c r="O56" s="89">
        <v>0</v>
      </c>
      <c r="P56" s="89">
        <f t="shared" ref="P56:P57" si="23">ROUND((M56*J56)+(M56*O56)+(N56*J56),0)</f>
        <v>3595</v>
      </c>
      <c r="Q56" s="89">
        <f t="shared" ref="Q56:Q57" si="24">ROUND((P56-(N56*J56))*I$21+(N56*J56*I$23),0)</f>
        <v>1375</v>
      </c>
      <c r="R56" s="89">
        <f t="shared" ref="R56:R57" si="25">I56/1.5</f>
        <v>754.66666666666663</v>
      </c>
      <c r="S56" s="89">
        <f t="shared" ref="S56:S57" si="26">+K56+L56+P56+Q56+R56</f>
        <v>9170.6666666666661</v>
      </c>
      <c r="T56" s="89">
        <f t="shared" ref="T56:T57" si="27">ROUND(S56*I$33,0)</f>
        <v>-1892</v>
      </c>
      <c r="U56" s="89">
        <f t="shared" ref="U56:U57" si="28">S56+T56</f>
        <v>7278.6666666666661</v>
      </c>
      <c r="V56" s="89">
        <f t="shared" ref="V56:V57" si="29">ROUND(+S56*$I$28,0)</f>
        <v>-1260</v>
      </c>
      <c r="W56" s="89">
        <f t="shared" ref="W56:W57" si="30">U56+V56</f>
        <v>6018.6666666666661</v>
      </c>
      <c r="X56" s="1115"/>
      <c r="Y56" s="1115"/>
      <c r="Z56" s="1115"/>
    </row>
    <row r="57" spans="1:26">
      <c r="A57" s="609"/>
      <c r="B57" s="135" t="str">
        <f>'A-7 (Act. RTO Directed Proj)'!AC41</f>
        <v>Craig Sub 161kV Capacitor</v>
      </c>
      <c r="E57" s="89">
        <f>'A-7 (Act. RTO Directed Proj)'!AB56</f>
        <v>1469151</v>
      </c>
      <c r="F57" s="89">
        <f>'A-7 (Act. RTO Directed Proj)'!AC58+'A-7 (Act. RTO Directed Proj)'!AD57</f>
        <v>33300.204702149014</v>
      </c>
      <c r="G57" s="89">
        <f t="shared" si="17"/>
        <v>1435850.7952978511</v>
      </c>
      <c r="H57" s="358">
        <f t="shared" si="18"/>
        <v>1.7922999999999998E-2</v>
      </c>
      <c r="I57" s="89">
        <f t="shared" si="4"/>
        <v>39497</v>
      </c>
      <c r="J57" s="89">
        <f t="shared" si="19"/>
        <v>1396353.7952978511</v>
      </c>
      <c r="K57" s="89">
        <f t="shared" si="20"/>
        <v>93879</v>
      </c>
      <c r="L57" s="89">
        <f t="shared" si="21"/>
        <v>27570</v>
      </c>
      <c r="M57" s="348">
        <f t="shared" si="22"/>
        <v>9.0731045752656447E-2</v>
      </c>
      <c r="N57" s="359">
        <v>0</v>
      </c>
      <c r="O57" s="89">
        <v>0</v>
      </c>
      <c r="P57" s="89">
        <f t="shared" si="23"/>
        <v>126693</v>
      </c>
      <c r="Q57" s="89">
        <f t="shared" si="24"/>
        <v>48447</v>
      </c>
      <c r="R57" s="89">
        <f t="shared" si="25"/>
        <v>26331.333333333332</v>
      </c>
      <c r="S57" s="89">
        <f t="shared" si="26"/>
        <v>322920.33333333331</v>
      </c>
      <c r="T57" s="89">
        <f t="shared" si="27"/>
        <v>-66616</v>
      </c>
      <c r="U57" s="89">
        <f t="shared" si="28"/>
        <v>256304.33333333331</v>
      </c>
      <c r="V57" s="89">
        <f t="shared" si="29"/>
        <v>-44375</v>
      </c>
      <c r="W57" s="89">
        <f t="shared" si="30"/>
        <v>211929.33333333331</v>
      </c>
      <c r="X57" s="1115"/>
      <c r="Y57" s="1115"/>
      <c r="Z57" s="1115"/>
    </row>
    <row r="58" spans="1:26">
      <c r="A58" s="609"/>
      <c r="B58" s="135" t="str">
        <f>'A-7 (Act. RTO Directed Proj)'!AF41</f>
        <v xml:space="preserve"> Loma Vista E.-Winchester Jct -161kV</v>
      </c>
      <c r="E58" s="89">
        <f>'A-7 (Act. RTO Directed Proj)'!AE56</f>
        <v>176118</v>
      </c>
      <c r="F58" s="89">
        <f>'A-7 (Act. RTO Directed Proj)'!AG57+'A-7 (Act. RTO Directed Proj)'!AF58</f>
        <v>0</v>
      </c>
      <c r="G58" s="89">
        <f t="shared" ref="G58:G59" si="31">E58-F58</f>
        <v>176118</v>
      </c>
      <c r="H58" s="358">
        <f t="shared" ref="H58:H59" si="32">IF(I$15=0,0,I$8/I$15)</f>
        <v>1.7922999999999998E-2</v>
      </c>
      <c r="I58" s="89">
        <f t="shared" ref="I58:I59" si="33">ROUND(E58*H58*1.5,0)</f>
        <v>4735</v>
      </c>
      <c r="J58" s="89">
        <f t="shared" ref="J58:J59" si="34">MAX(E58-F58-I58,0)</f>
        <v>171383</v>
      </c>
      <c r="K58" s="89">
        <f t="shared" ref="K58:K59" si="35">ROUND(J58*$I$27,0)</f>
        <v>11522</v>
      </c>
      <c r="L58" s="89">
        <f t="shared" ref="L58:L59" si="36">ROUND(J58*$I$29,0)</f>
        <v>3384</v>
      </c>
      <c r="M58" s="348">
        <f t="shared" ref="M58:M59" si="37">+I$30</f>
        <v>9.0731045752656447E-2</v>
      </c>
      <c r="N58" s="359">
        <v>0</v>
      </c>
      <c r="O58" s="89">
        <v>0</v>
      </c>
      <c r="P58" s="89">
        <f t="shared" ref="P58:P59" si="38">ROUND((M58*J58)+(M58*O58)+(N58*J58),0)</f>
        <v>15550</v>
      </c>
      <c r="Q58" s="89">
        <f t="shared" ref="Q58:Q59" si="39">ROUND((P58-(N58*J58))*I$21+(N58*J58*I$23),0)</f>
        <v>5946</v>
      </c>
      <c r="R58" s="89">
        <f t="shared" ref="R58:R59" si="40">I58/1.5</f>
        <v>3156.6666666666665</v>
      </c>
      <c r="S58" s="89">
        <f t="shared" ref="S58:S59" si="41">+K58+L58+P58+Q58+R58</f>
        <v>39558.666666666664</v>
      </c>
      <c r="T58" s="89">
        <f t="shared" ref="T58:T59" si="42">ROUND(S58*I$33,0)</f>
        <v>-8161</v>
      </c>
      <c r="U58" s="89">
        <f t="shared" ref="U58:U59" si="43">S58+T58</f>
        <v>31397.666666666664</v>
      </c>
      <c r="V58" s="89">
        <f t="shared" ref="V58:V59" si="44">ROUND(+S58*$I$28,0)</f>
        <v>-5436</v>
      </c>
      <c r="W58" s="89">
        <f t="shared" ref="W58:W59" si="45">U58+V58</f>
        <v>25961.666666666664</v>
      </c>
      <c r="X58" s="1115"/>
      <c r="Y58" s="1115"/>
      <c r="Z58" s="1115"/>
    </row>
    <row r="59" spans="1:26">
      <c r="A59" s="609"/>
      <c r="B59" s="135" t="str">
        <f>'A-7 (Act. RTO Directed Proj)'!AI41</f>
        <v xml:space="preserve"> W. Gardner Line Terminals</v>
      </c>
      <c r="E59" s="89">
        <f>'A-7 (Act. RTO Directed Proj)'!AH56</f>
        <v>457827</v>
      </c>
      <c r="F59" s="89">
        <f>'A-7 (Act. RTO Directed Proj)'!AJ57+'A-7 (Act. RTO Directed Proj)'!AI58</f>
        <v>0</v>
      </c>
      <c r="G59" s="89">
        <f t="shared" si="31"/>
        <v>457827</v>
      </c>
      <c r="H59" s="358">
        <f t="shared" si="32"/>
        <v>1.7922999999999998E-2</v>
      </c>
      <c r="I59" s="89">
        <f t="shared" si="33"/>
        <v>12308</v>
      </c>
      <c r="J59" s="89">
        <f t="shared" si="34"/>
        <v>445519</v>
      </c>
      <c r="K59" s="89">
        <f t="shared" si="35"/>
        <v>29953</v>
      </c>
      <c r="L59" s="89">
        <f t="shared" si="36"/>
        <v>8796</v>
      </c>
      <c r="M59" s="348">
        <f t="shared" si="37"/>
        <v>9.0731045752656447E-2</v>
      </c>
      <c r="N59" s="359">
        <v>0</v>
      </c>
      <c r="O59" s="89">
        <v>0</v>
      </c>
      <c r="P59" s="89">
        <f t="shared" si="38"/>
        <v>40422</v>
      </c>
      <c r="Q59" s="89">
        <f t="shared" si="39"/>
        <v>15457</v>
      </c>
      <c r="R59" s="89">
        <f t="shared" si="40"/>
        <v>8205.3333333333339</v>
      </c>
      <c r="S59" s="89">
        <f t="shared" si="41"/>
        <v>102833.33333333333</v>
      </c>
      <c r="T59" s="89">
        <f t="shared" si="42"/>
        <v>-21214</v>
      </c>
      <c r="U59" s="89">
        <f t="shared" si="43"/>
        <v>81619.333333333328</v>
      </c>
      <c r="V59" s="89">
        <f t="shared" si="44"/>
        <v>-14131</v>
      </c>
      <c r="W59" s="89">
        <f t="shared" si="45"/>
        <v>67488.333333333328</v>
      </c>
      <c r="X59" s="1115"/>
      <c r="Y59" s="1115"/>
      <c r="Z59" s="1115"/>
    </row>
    <row r="60" spans="1:26">
      <c r="A60" s="1592" t="s">
        <v>1419</v>
      </c>
      <c r="B60" s="1094"/>
      <c r="C60" s="1094"/>
      <c r="D60" s="1094"/>
      <c r="E60" s="922"/>
      <c r="F60" s="922"/>
      <c r="G60" s="922"/>
      <c r="H60" s="1095"/>
      <c r="I60" s="922"/>
      <c r="J60" s="922"/>
      <c r="K60" s="922"/>
      <c r="L60" s="922"/>
      <c r="M60" s="1096"/>
      <c r="N60" s="1097"/>
      <c r="O60" s="922"/>
      <c r="P60" s="922"/>
      <c r="Q60" s="922"/>
      <c r="R60" s="922"/>
      <c r="S60" s="922"/>
      <c r="T60" s="922"/>
      <c r="U60" s="922"/>
      <c r="V60" s="922"/>
      <c r="W60" s="922"/>
    </row>
    <row r="61" spans="1:26">
      <c r="A61" s="360" t="s">
        <v>922</v>
      </c>
      <c r="B61" s="1240" t="s">
        <v>1134</v>
      </c>
      <c r="E61" s="89">
        <f>SUM(E50:E60)</f>
        <v>12525058</v>
      </c>
      <c r="F61" s="89">
        <f>SUM(F50:F60)</f>
        <v>1338750.3663159099</v>
      </c>
      <c r="G61" s="89">
        <f>SUM(G50:G60)</f>
        <v>11186307.633684091</v>
      </c>
      <c r="H61" s="347"/>
      <c r="I61" s="89">
        <f>SUM(I50:I60)</f>
        <v>336729</v>
      </c>
      <c r="J61" s="89">
        <f>SUM(J50:J60)</f>
        <v>10849578.633684091</v>
      </c>
      <c r="K61" s="89">
        <f>SUM(K50:K60)</f>
        <v>729435</v>
      </c>
      <c r="L61" s="89">
        <f>SUM(L50:L60)</f>
        <v>214214</v>
      </c>
      <c r="M61" s="348"/>
      <c r="N61" s="348"/>
      <c r="O61" s="89"/>
      <c r="P61" s="89">
        <f t="shared" ref="P61:W61" si="46">SUM(P50:P60)</f>
        <v>984394</v>
      </c>
      <c r="Q61" s="89">
        <f t="shared" si="46"/>
        <v>376432</v>
      </c>
      <c r="R61" s="89">
        <f t="shared" si="46"/>
        <v>224486</v>
      </c>
      <c r="S61" s="89">
        <f t="shared" si="46"/>
        <v>2528961</v>
      </c>
      <c r="T61" s="89">
        <f t="shared" si="46"/>
        <v>-521704</v>
      </c>
      <c r="U61" s="89">
        <f t="shared" si="46"/>
        <v>2007257</v>
      </c>
      <c r="V61" s="89">
        <f t="shared" si="46"/>
        <v>-347525</v>
      </c>
      <c r="W61" s="89">
        <f t="shared" si="46"/>
        <v>1659732</v>
      </c>
    </row>
    <row r="62" spans="1:26">
      <c r="A62" s="360"/>
      <c r="B62" s="135"/>
      <c r="E62" s="89"/>
      <c r="F62" s="89"/>
      <c r="G62" s="89"/>
      <c r="H62" s="347"/>
      <c r="I62" s="89"/>
      <c r="J62" s="89"/>
      <c r="K62" s="89"/>
      <c r="L62" s="89"/>
      <c r="M62" s="348"/>
      <c r="N62" s="348"/>
      <c r="O62" s="348"/>
      <c r="P62" s="89"/>
      <c r="Q62" s="89"/>
      <c r="R62" s="89"/>
      <c r="S62" s="89"/>
      <c r="T62" s="89"/>
      <c r="U62" s="89"/>
      <c r="V62" s="89"/>
      <c r="W62" s="89"/>
    </row>
    <row r="63" spans="1:26">
      <c r="A63" s="360"/>
      <c r="B63" s="135"/>
      <c r="E63" s="89"/>
      <c r="F63" s="89"/>
      <c r="G63" s="89"/>
      <c r="H63" s="347"/>
      <c r="I63" s="89"/>
      <c r="J63" s="89"/>
      <c r="K63" s="89"/>
      <c r="L63" s="89"/>
      <c r="M63" s="348"/>
      <c r="N63" s="348"/>
      <c r="O63" s="348"/>
      <c r="P63" s="89"/>
      <c r="Q63" s="89"/>
      <c r="R63" s="89"/>
      <c r="S63" s="89"/>
      <c r="T63" s="89"/>
      <c r="U63" s="89"/>
      <c r="V63" s="89"/>
      <c r="W63" s="89"/>
    </row>
    <row r="64" spans="1:26">
      <c r="A64" s="360"/>
      <c r="B64" s="351"/>
      <c r="C64" s="351"/>
      <c r="D64" s="351"/>
      <c r="E64" s="352" t="s">
        <v>267</v>
      </c>
      <c r="F64" s="352" t="s">
        <v>899</v>
      </c>
      <c r="G64" s="352" t="s">
        <v>1548</v>
      </c>
      <c r="H64" s="352" t="s">
        <v>1584</v>
      </c>
      <c r="I64" s="352" t="s">
        <v>148</v>
      </c>
      <c r="J64" s="352" t="s">
        <v>1549</v>
      </c>
      <c r="K64" s="352" t="s">
        <v>477</v>
      </c>
      <c r="L64" s="352" t="s">
        <v>1028</v>
      </c>
      <c r="M64" s="352" t="s">
        <v>1347</v>
      </c>
      <c r="N64" s="1244" t="s">
        <v>982</v>
      </c>
      <c r="O64" s="1244" t="s">
        <v>137</v>
      </c>
      <c r="P64" s="1244" t="s">
        <v>54</v>
      </c>
      <c r="Q64" s="1244" t="s">
        <v>1030</v>
      </c>
      <c r="R64" s="352" t="s">
        <v>465</v>
      </c>
      <c r="S64" s="352" t="s">
        <v>1201</v>
      </c>
      <c r="T64" s="352" t="s">
        <v>920</v>
      </c>
      <c r="U64" s="352" t="s">
        <v>513</v>
      </c>
      <c r="V64" s="352" t="s">
        <v>513</v>
      </c>
      <c r="W64" s="352" t="s">
        <v>430</v>
      </c>
    </row>
    <row r="65" spans="1:23" ht="13.5" thickBot="1">
      <c r="A65" s="360"/>
      <c r="B65" s="353" t="s">
        <v>1147</v>
      </c>
      <c r="C65" s="353" t="s">
        <v>266</v>
      </c>
      <c r="D65" s="343"/>
      <c r="E65" s="354" t="s">
        <v>268</v>
      </c>
      <c r="F65" s="354" t="s">
        <v>1584</v>
      </c>
      <c r="G65" s="354" t="s">
        <v>1583</v>
      </c>
      <c r="H65" s="354" t="s">
        <v>1181</v>
      </c>
      <c r="I65" s="354" t="s">
        <v>515</v>
      </c>
      <c r="J65" s="354" t="s">
        <v>1583</v>
      </c>
      <c r="K65" s="354" t="s">
        <v>1581</v>
      </c>
      <c r="L65" s="354" t="s">
        <v>1029</v>
      </c>
      <c r="M65" s="354" t="s">
        <v>1579</v>
      </c>
      <c r="N65" s="1245" t="s">
        <v>1166</v>
      </c>
      <c r="O65" s="1245" t="s">
        <v>1534</v>
      </c>
      <c r="P65" s="1245" t="s">
        <v>1579</v>
      </c>
      <c r="Q65" s="1245" t="s">
        <v>1029</v>
      </c>
      <c r="R65" s="354" t="s">
        <v>685</v>
      </c>
      <c r="S65" s="354" t="s">
        <v>827</v>
      </c>
      <c r="T65" s="354" t="s">
        <v>1624</v>
      </c>
      <c r="U65" s="354" t="s">
        <v>1739</v>
      </c>
      <c r="V65" s="354" t="s">
        <v>512</v>
      </c>
      <c r="W65" s="354" t="s">
        <v>1739</v>
      </c>
    </row>
    <row r="66" spans="1:23" ht="25.5">
      <c r="A66" s="360"/>
      <c r="B66" s="355"/>
      <c r="C66" s="351"/>
      <c r="D66" s="352"/>
      <c r="E66" s="352"/>
      <c r="F66" s="352"/>
      <c r="G66" s="352" t="s">
        <v>619</v>
      </c>
      <c r="H66" s="352"/>
      <c r="I66" s="352" t="s">
        <v>1138</v>
      </c>
      <c r="J66" s="352" t="s">
        <v>955</v>
      </c>
      <c r="K66" s="352" t="s">
        <v>1552</v>
      </c>
      <c r="L66" s="352" t="s">
        <v>956</v>
      </c>
      <c r="M66" s="352" t="s">
        <v>673</v>
      </c>
      <c r="N66" s="1836" t="s">
        <v>19</v>
      </c>
      <c r="O66" s="1836" t="s">
        <v>19</v>
      </c>
      <c r="P66" s="1837" t="s">
        <v>20</v>
      </c>
      <c r="Q66" s="1836" t="s">
        <v>1139</v>
      </c>
      <c r="R66" s="352" t="s">
        <v>1511</v>
      </c>
      <c r="S66" s="352" t="s">
        <v>463</v>
      </c>
      <c r="T66" s="352" t="s">
        <v>1761</v>
      </c>
      <c r="U66" s="352" t="s">
        <v>829</v>
      </c>
      <c r="V66" s="352" t="s">
        <v>1761</v>
      </c>
      <c r="W66" s="352" t="s">
        <v>464</v>
      </c>
    </row>
    <row r="67" spans="1:23">
      <c r="B67" s="1933" t="s">
        <v>1372</v>
      </c>
      <c r="C67" s="1934"/>
      <c r="D67" s="1249"/>
      <c r="E67" s="89"/>
      <c r="F67" s="89"/>
      <c r="G67" s="89"/>
      <c r="H67" s="347"/>
      <c r="I67" s="89"/>
      <c r="J67" s="89"/>
      <c r="K67" s="89"/>
      <c r="L67" s="89"/>
      <c r="M67" s="89"/>
      <c r="N67" s="89"/>
      <c r="O67" s="89"/>
      <c r="P67" s="89"/>
      <c r="Q67" s="1247"/>
      <c r="R67" s="89"/>
      <c r="S67" s="89"/>
      <c r="T67" s="89"/>
      <c r="U67" s="89"/>
      <c r="V67" s="89"/>
      <c r="W67" s="89"/>
    </row>
    <row r="68" spans="1:23">
      <c r="A68" s="1593"/>
      <c r="B68" s="135"/>
      <c r="C68" s="135" t="str">
        <f>'P-4 (Proj. RTO Directed)'!H7</f>
        <v>1.</v>
      </c>
      <c r="E68" s="89">
        <f>'P-4 (Proj. RTO Directed)'!G42</f>
        <v>0</v>
      </c>
      <c r="F68" s="472">
        <v>0</v>
      </c>
      <c r="G68" s="89">
        <f>E68</f>
        <v>0</v>
      </c>
      <c r="H68" s="359">
        <v>0</v>
      </c>
      <c r="I68" s="89">
        <f>'P-4 (Proj. RTO Directed)'!H42</f>
        <v>0</v>
      </c>
      <c r="J68" s="89">
        <f>MAX(E68-F68-I68,0)</f>
        <v>0</v>
      </c>
      <c r="K68" s="89">
        <f>ROUND(J68*$I$27,0)</f>
        <v>0</v>
      </c>
      <c r="L68" s="89">
        <f>ROUND(J68*$I$29,0)</f>
        <v>0</v>
      </c>
      <c r="M68" s="348">
        <f>+I$30</f>
        <v>9.0731045752656447E-2</v>
      </c>
      <c r="N68" s="359">
        <v>0</v>
      </c>
      <c r="O68" s="89">
        <v>0</v>
      </c>
      <c r="P68" s="89">
        <f>ROUND((M68*J68)+(M68*O68)+(N68*J68),0)</f>
        <v>0</v>
      </c>
      <c r="Q68" s="89">
        <f>ROUND((P68-(N68*J68))*I$21+(N68*J68*I$23),0)</f>
        <v>0</v>
      </c>
      <c r="R68" s="89">
        <f>'P-4 (Proj. RTO Directed)'!H43</f>
        <v>0</v>
      </c>
      <c r="S68" s="89">
        <f>K68+L68+P68+Q68+R68</f>
        <v>0</v>
      </c>
      <c r="T68" s="89">
        <v>0</v>
      </c>
      <c r="U68" s="89">
        <f>S68+T68</f>
        <v>0</v>
      </c>
      <c r="V68" s="89">
        <v>0</v>
      </c>
      <c r="W68" s="89">
        <f>U68+V68</f>
        <v>0</v>
      </c>
    </row>
    <row r="69" spans="1:23">
      <c r="A69" s="1593"/>
      <c r="B69" s="135"/>
      <c r="C69" s="135" t="str">
        <f>'P-4 (Proj. RTO Directed)'!K7</f>
        <v>2.</v>
      </c>
      <c r="E69" s="89">
        <f>'P-4 (Proj. RTO Directed)'!J42</f>
        <v>0</v>
      </c>
      <c r="F69" s="472">
        <v>0</v>
      </c>
      <c r="G69" s="89">
        <f>E69</f>
        <v>0</v>
      </c>
      <c r="H69" s="359">
        <v>0</v>
      </c>
      <c r="I69" s="89">
        <f>'P-4 (Proj. RTO Directed)'!K42</f>
        <v>0</v>
      </c>
      <c r="J69" s="89">
        <f>MAX(E69-F69-I69,0)</f>
        <v>0</v>
      </c>
      <c r="K69" s="89">
        <f>ROUND(J69*$I$27,0)</f>
        <v>0</v>
      </c>
      <c r="L69" s="89">
        <f>ROUND(J69*$I$29,0)</f>
        <v>0</v>
      </c>
      <c r="M69" s="348">
        <f>+I$30</f>
        <v>9.0731045752656447E-2</v>
      </c>
      <c r="N69" s="359">
        <v>0</v>
      </c>
      <c r="O69" s="89">
        <v>0</v>
      </c>
      <c r="P69" s="89">
        <f>ROUND((M69*J69)+(M69*O69)+(N69*J69),0)</f>
        <v>0</v>
      </c>
      <c r="Q69" s="89">
        <f>ROUND((P69-(N69*J69))*I$21+(N69*J69*I$23),0)</f>
        <v>0</v>
      </c>
      <c r="R69" s="89">
        <f>'P-4 (Proj. RTO Directed)'!K43</f>
        <v>0</v>
      </c>
      <c r="S69" s="89">
        <f>K69+L69+P69+Q69+R69</f>
        <v>0</v>
      </c>
      <c r="T69" s="89">
        <v>0</v>
      </c>
      <c r="U69" s="89">
        <f>S69+T69</f>
        <v>0</v>
      </c>
      <c r="V69" s="89">
        <v>0</v>
      </c>
      <c r="W69" s="89">
        <f>U69+V69</f>
        <v>0</v>
      </c>
    </row>
    <row r="70" spans="1:23">
      <c r="A70" s="1594" t="s">
        <v>1419</v>
      </c>
      <c r="B70" s="165" t="s">
        <v>692</v>
      </c>
      <c r="C70" s="165" t="str">
        <f>'P-4 (Proj. RTO Directed)'!N7</f>
        <v xml:space="preserve">3. </v>
      </c>
      <c r="D70" s="357"/>
      <c r="E70" s="210">
        <f>'P-4 (Proj. RTO Directed)'!M42</f>
        <v>0</v>
      </c>
      <c r="F70" s="793">
        <v>0</v>
      </c>
      <c r="G70" s="210">
        <f>E70</f>
        <v>0</v>
      </c>
      <c r="H70" s="792">
        <v>0</v>
      </c>
      <c r="I70" s="210">
        <f>'P-4 (Proj. RTO Directed)'!N42</f>
        <v>0</v>
      </c>
      <c r="J70" s="210">
        <f>MAX(E70-F70-I70,0)</f>
        <v>0</v>
      </c>
      <c r="K70" s="210">
        <f>ROUND(J70*$I$27,0)</f>
        <v>0</v>
      </c>
      <c r="L70" s="210">
        <f>ROUND(J70*$I$29,0)</f>
        <v>0</v>
      </c>
      <c r="M70" s="365">
        <f>+I$30</f>
        <v>9.0731045752656447E-2</v>
      </c>
      <c r="N70" s="792">
        <v>0</v>
      </c>
      <c r="O70" s="210">
        <v>0</v>
      </c>
      <c r="P70" s="210">
        <f>ROUND((M70*J70)+(M70*O70)+(N70*J70),0)</f>
        <v>0</v>
      </c>
      <c r="Q70" s="210">
        <f>ROUND((P70-(N70*J70))*I$21+(N70*J70*I$23),0)</f>
        <v>0</v>
      </c>
      <c r="R70" s="210">
        <f>'P-4 (Proj. RTO Directed)'!N43</f>
        <v>0</v>
      </c>
      <c r="S70" s="210">
        <f>K70+L70+P70+Q70+R70</f>
        <v>0</v>
      </c>
      <c r="T70" s="210">
        <v>0</v>
      </c>
      <c r="U70" s="210">
        <f>S70+T70</f>
        <v>0</v>
      </c>
      <c r="V70" s="210">
        <v>0</v>
      </c>
      <c r="W70" s="210">
        <f>U70+V70</f>
        <v>0</v>
      </c>
    </row>
    <row r="71" spans="1:23">
      <c r="A71" s="610"/>
      <c r="B71" s="433"/>
      <c r="C71" s="433"/>
      <c r="D71" s="433"/>
      <c r="E71" s="363"/>
      <c r="F71" s="473"/>
      <c r="G71" s="363"/>
      <c r="H71" s="432"/>
      <c r="I71" s="363"/>
      <c r="J71" s="363"/>
      <c r="K71" s="363"/>
      <c r="L71" s="363"/>
      <c r="M71" s="431"/>
      <c r="N71" s="432"/>
      <c r="O71" s="363"/>
      <c r="P71" s="363"/>
      <c r="Q71" s="363"/>
      <c r="R71" s="363"/>
      <c r="S71" s="363"/>
      <c r="T71" s="363"/>
      <c r="U71" s="363"/>
      <c r="V71" s="363"/>
      <c r="W71" s="363"/>
    </row>
    <row r="72" spans="1:23">
      <c r="A72" s="360" t="s">
        <v>923</v>
      </c>
      <c r="B72" s="1240" t="s">
        <v>1135</v>
      </c>
      <c r="E72" s="89">
        <f>SUM(E68:E71)</f>
        <v>0</v>
      </c>
      <c r="F72" s="89">
        <f t="shared" ref="F72:W72" si="47">SUM(F68:F71)</f>
        <v>0</v>
      </c>
      <c r="G72" s="89">
        <f t="shared" si="47"/>
        <v>0</v>
      </c>
      <c r="H72" s="89"/>
      <c r="I72" s="89">
        <f t="shared" si="47"/>
        <v>0</v>
      </c>
      <c r="J72" s="89">
        <f t="shared" si="47"/>
        <v>0</v>
      </c>
      <c r="K72" s="89">
        <f t="shared" si="47"/>
        <v>0</v>
      </c>
      <c r="L72" s="89">
        <f t="shared" si="47"/>
        <v>0</v>
      </c>
      <c r="M72" s="89"/>
      <c r="N72" s="89"/>
      <c r="O72" s="89">
        <f t="shared" si="47"/>
        <v>0</v>
      </c>
      <c r="P72" s="89">
        <f t="shared" si="47"/>
        <v>0</v>
      </c>
      <c r="Q72" s="89">
        <f t="shared" si="47"/>
        <v>0</v>
      </c>
      <c r="R72" s="89">
        <f t="shared" si="47"/>
        <v>0</v>
      </c>
      <c r="S72" s="89">
        <f t="shared" si="47"/>
        <v>0</v>
      </c>
      <c r="T72" s="89">
        <f t="shared" si="47"/>
        <v>0</v>
      </c>
      <c r="U72" s="89">
        <f t="shared" si="47"/>
        <v>0</v>
      </c>
      <c r="V72" s="89">
        <f t="shared" si="47"/>
        <v>0</v>
      </c>
      <c r="W72" s="89">
        <f t="shared" si="47"/>
        <v>0</v>
      </c>
    </row>
    <row r="73" spans="1:23">
      <c r="D73" s="89"/>
      <c r="E73" s="89"/>
      <c r="F73" s="89"/>
      <c r="G73" s="89"/>
      <c r="H73" s="89"/>
      <c r="I73" s="89"/>
      <c r="J73" s="89"/>
      <c r="K73" s="89"/>
      <c r="L73" s="89"/>
      <c r="M73" s="89"/>
      <c r="N73" s="89"/>
      <c r="O73" s="89"/>
      <c r="P73" s="89"/>
      <c r="Q73" s="89"/>
      <c r="R73" s="89"/>
      <c r="S73" s="89"/>
      <c r="T73" s="89"/>
      <c r="U73" s="89"/>
      <c r="V73" s="89"/>
      <c r="W73" s="89"/>
    </row>
    <row r="74" spans="1:23" ht="13.5" thickBot="1">
      <c r="A74" s="1243" t="s">
        <v>969</v>
      </c>
      <c r="B74" s="1242" t="s">
        <v>1136</v>
      </c>
      <c r="C74" s="1241"/>
      <c r="D74" s="476"/>
      <c r="E74" s="476">
        <f>E61+E72</f>
        <v>12525058</v>
      </c>
      <c r="F74" s="476">
        <f>F61+F72</f>
        <v>1338750.3663159099</v>
      </c>
      <c r="G74" s="476">
        <f t="shared" ref="G74:W74" si="48">G61+G72</f>
        <v>11186307.633684091</v>
      </c>
      <c r="H74" s="476"/>
      <c r="I74" s="476">
        <f t="shared" si="48"/>
        <v>336729</v>
      </c>
      <c r="J74" s="476">
        <f t="shared" si="48"/>
        <v>10849578.633684091</v>
      </c>
      <c r="K74" s="476">
        <f t="shared" si="48"/>
        <v>729435</v>
      </c>
      <c r="L74" s="476">
        <f t="shared" si="48"/>
        <v>214214</v>
      </c>
      <c r="M74" s="476"/>
      <c r="N74" s="476"/>
      <c r="O74" s="476">
        <f t="shared" si="48"/>
        <v>0</v>
      </c>
      <c r="P74" s="476">
        <f t="shared" si="48"/>
        <v>984394</v>
      </c>
      <c r="Q74" s="476">
        <f t="shared" si="48"/>
        <v>376432</v>
      </c>
      <c r="R74" s="476">
        <f t="shared" si="48"/>
        <v>224486</v>
      </c>
      <c r="S74" s="476">
        <f t="shared" si="48"/>
        <v>2528961</v>
      </c>
      <c r="T74" s="476">
        <f t="shared" si="48"/>
        <v>-521704</v>
      </c>
      <c r="U74" s="476">
        <f t="shared" si="48"/>
        <v>2007257</v>
      </c>
      <c r="V74" s="476">
        <f t="shared" si="48"/>
        <v>-347525</v>
      </c>
      <c r="W74" s="476">
        <f t="shared" si="48"/>
        <v>1659732</v>
      </c>
    </row>
    <row r="75" spans="1:23" ht="13.5" thickTop="1">
      <c r="D75" s="89"/>
      <c r="E75" s="89"/>
      <c r="F75" s="89"/>
      <c r="G75" s="89"/>
      <c r="H75" s="89"/>
      <c r="I75" s="89"/>
      <c r="J75" s="89"/>
      <c r="K75" s="89"/>
      <c r="L75" s="89"/>
      <c r="M75" s="89"/>
      <c r="N75" s="89"/>
      <c r="O75" s="89"/>
      <c r="P75" s="89"/>
      <c r="Q75" s="89"/>
      <c r="R75" s="89"/>
      <c r="S75" s="89"/>
      <c r="T75" s="89"/>
      <c r="U75" s="347"/>
      <c r="V75" s="89"/>
      <c r="W75" s="2129" t="str">
        <f>IF(AND('Projected Net Rev Req'!E52-W74&lt;2,'Projected Net Rev Req'!E52-W74&gt;-2),"","Total not equal to Projected Net Rev Req:  Check True-up and Credits for Projected Projects")</f>
        <v/>
      </c>
    </row>
    <row r="76" spans="1:23" ht="18">
      <c r="B76" s="342" t="s">
        <v>911</v>
      </c>
      <c r="Q76" s="341"/>
      <c r="R76" s="341"/>
      <c r="V76" s="1098"/>
    </row>
    <row r="77" spans="1:23" ht="15.75">
      <c r="B77" s="143"/>
      <c r="K77" s="2193" t="s">
        <v>190</v>
      </c>
      <c r="L77" s="2193"/>
      <c r="M77" s="1098"/>
      <c r="U77" s="2193" t="s">
        <v>191</v>
      </c>
      <c r="V77" s="2193"/>
    </row>
    <row r="78" spans="1:23" ht="15.75">
      <c r="B78" s="143" t="str">
        <f>B37</f>
        <v>For the 12 months ended - December 31, 2014</v>
      </c>
      <c r="M78" s="1099"/>
      <c r="V78" s="89"/>
    </row>
    <row r="79" spans="1:23" ht="15">
      <c r="V79" s="341" t="s">
        <v>1249</v>
      </c>
    </row>
    <row r="80" spans="1:23" ht="15">
      <c r="B80" s="1249" t="s">
        <v>1364</v>
      </c>
      <c r="C80" s="1249"/>
      <c r="M80" s="341" t="s">
        <v>1248</v>
      </c>
    </row>
    <row r="81" spans="1:23">
      <c r="B81" s="1249" t="s">
        <v>1365</v>
      </c>
      <c r="C81" s="1249"/>
    </row>
    <row r="82" spans="1:23">
      <c r="B82" s="88" t="s">
        <v>934</v>
      </c>
    </row>
    <row r="83" spans="1:23">
      <c r="B83" s="88" t="s">
        <v>853</v>
      </c>
    </row>
    <row r="85" spans="1:23">
      <c r="B85" s="350"/>
      <c r="C85" s="350"/>
      <c r="D85" s="350"/>
      <c r="E85" s="607" t="s">
        <v>1529</v>
      </c>
      <c r="F85" s="607" t="s">
        <v>1527</v>
      </c>
      <c r="G85" s="607" t="s">
        <v>1528</v>
      </c>
      <c r="H85" s="608" t="s">
        <v>1167</v>
      </c>
      <c r="I85" s="608" t="s">
        <v>1168</v>
      </c>
      <c r="J85" s="607" t="s">
        <v>1169</v>
      </c>
      <c r="K85" s="608" t="s">
        <v>1170</v>
      </c>
      <c r="L85" s="607" t="s">
        <v>1171</v>
      </c>
      <c r="M85" s="607" t="s">
        <v>1172</v>
      </c>
      <c r="N85" s="607" t="s">
        <v>1173</v>
      </c>
      <c r="O85" s="607" t="s">
        <v>1174</v>
      </c>
      <c r="P85" s="607" t="s">
        <v>1175</v>
      </c>
      <c r="Q85" s="607" t="s">
        <v>1176</v>
      </c>
      <c r="R85" s="607" t="s">
        <v>1177</v>
      </c>
      <c r="S85" s="607" t="s">
        <v>1551</v>
      </c>
      <c r="T85" s="607" t="s">
        <v>921</v>
      </c>
      <c r="U85" s="607" t="s">
        <v>828</v>
      </c>
      <c r="V85" s="607" t="s">
        <v>429</v>
      </c>
      <c r="W85" s="607" t="s">
        <v>516</v>
      </c>
    </row>
    <row r="86" spans="1:23">
      <c r="B86" s="351"/>
      <c r="C86" s="351"/>
      <c r="D86" s="351"/>
      <c r="E86" s="352" t="s">
        <v>267</v>
      </c>
      <c r="F86" s="352" t="s">
        <v>269</v>
      </c>
      <c r="G86" s="352" t="s">
        <v>1548</v>
      </c>
      <c r="H86" s="352" t="s">
        <v>1584</v>
      </c>
      <c r="I86" s="352" t="s">
        <v>148</v>
      </c>
      <c r="J86" s="352" t="s">
        <v>1549</v>
      </c>
      <c r="K86" s="352" t="s">
        <v>477</v>
      </c>
      <c r="L86" s="352" t="s">
        <v>1028</v>
      </c>
      <c r="M86" s="352" t="s">
        <v>1347</v>
      </c>
      <c r="N86" s="352" t="s">
        <v>982</v>
      </c>
      <c r="O86" s="352" t="s">
        <v>137</v>
      </c>
      <c r="P86" s="352" t="s">
        <v>54</v>
      </c>
      <c r="Q86" s="352" t="s">
        <v>1030</v>
      </c>
      <c r="R86" s="352" t="s">
        <v>465</v>
      </c>
      <c r="S86" s="352" t="s">
        <v>1201</v>
      </c>
      <c r="T86" s="352" t="s">
        <v>920</v>
      </c>
      <c r="U86" s="352" t="s">
        <v>728</v>
      </c>
      <c r="V86" s="352" t="s">
        <v>513</v>
      </c>
      <c r="W86" s="352" t="s">
        <v>430</v>
      </c>
    </row>
    <row r="87" spans="1:23" ht="13.5" thickBot="1">
      <c r="B87" s="353" t="s">
        <v>1147</v>
      </c>
      <c r="C87" s="353" t="s">
        <v>266</v>
      </c>
      <c r="D87" s="343"/>
      <c r="E87" s="354" t="s">
        <v>268</v>
      </c>
      <c r="F87" s="354" t="s">
        <v>1584</v>
      </c>
      <c r="G87" s="354" t="s">
        <v>1583</v>
      </c>
      <c r="H87" s="354" t="s">
        <v>1181</v>
      </c>
      <c r="I87" s="354" t="s">
        <v>515</v>
      </c>
      <c r="J87" s="354" t="s">
        <v>1583</v>
      </c>
      <c r="K87" s="354" t="s">
        <v>1581</v>
      </c>
      <c r="L87" s="354" t="s">
        <v>1029</v>
      </c>
      <c r="M87" s="354" t="s">
        <v>1579</v>
      </c>
      <c r="N87" s="354" t="s">
        <v>1166</v>
      </c>
      <c r="O87" s="354" t="s">
        <v>1534</v>
      </c>
      <c r="P87" s="354" t="s">
        <v>1579</v>
      </c>
      <c r="Q87" s="354" t="s">
        <v>1029</v>
      </c>
      <c r="R87" s="354" t="s">
        <v>685</v>
      </c>
      <c r="S87" s="354" t="s">
        <v>827</v>
      </c>
      <c r="T87" s="354" t="s">
        <v>1624</v>
      </c>
      <c r="U87" s="354" t="s">
        <v>1739</v>
      </c>
      <c r="V87" s="354" t="s">
        <v>512</v>
      </c>
      <c r="W87" s="354" t="s">
        <v>1739</v>
      </c>
    </row>
    <row r="88" spans="1:23" ht="25.5">
      <c r="B88" s="355"/>
      <c r="C88" s="351"/>
      <c r="D88" s="352"/>
      <c r="E88" s="352"/>
      <c r="F88" s="352"/>
      <c r="G88" s="352" t="s">
        <v>619</v>
      </c>
      <c r="H88" s="352" t="s">
        <v>952</v>
      </c>
      <c r="I88" s="1835" t="s">
        <v>5</v>
      </c>
      <c r="J88" s="352" t="s">
        <v>1550</v>
      </c>
      <c r="K88" s="352" t="s">
        <v>1552</v>
      </c>
      <c r="L88" s="352" t="s">
        <v>956</v>
      </c>
      <c r="M88" s="352" t="s">
        <v>673</v>
      </c>
      <c r="N88" s="1836" t="s">
        <v>19</v>
      </c>
      <c r="O88" s="1836" t="s">
        <v>19</v>
      </c>
      <c r="P88" s="1837" t="s">
        <v>20</v>
      </c>
      <c r="Q88" s="1836" t="s">
        <v>1139</v>
      </c>
      <c r="R88" s="352" t="s">
        <v>6</v>
      </c>
      <c r="S88" s="352" t="s">
        <v>463</v>
      </c>
      <c r="T88" s="352" t="s">
        <v>1762</v>
      </c>
      <c r="U88" s="352" t="s">
        <v>829</v>
      </c>
      <c r="V88" s="352" t="s">
        <v>1763</v>
      </c>
      <c r="W88" s="352" t="s">
        <v>464</v>
      </c>
    </row>
    <row r="89" spans="1:23">
      <c r="B89" s="356" t="s">
        <v>1371</v>
      </c>
      <c r="N89" s="359"/>
      <c r="O89" s="89"/>
      <c r="P89" s="89"/>
      <c r="Q89" s="1247"/>
      <c r="R89" s="89"/>
    </row>
    <row r="90" spans="1:23">
      <c r="A90" s="1595" t="s">
        <v>106</v>
      </c>
      <c r="B90" s="165" t="s">
        <v>692</v>
      </c>
      <c r="C90" s="165" t="s">
        <v>840</v>
      </c>
      <c r="D90" s="357"/>
      <c r="E90" s="210">
        <f>'A-7 (Act. RTO Directed Proj)'!G109</f>
        <v>0</v>
      </c>
      <c r="F90" s="210">
        <f>'A-7 (Act. RTO Directed Proj)'!H111+'A-7 (Act. RTO Directed Proj)'!I110</f>
        <v>0</v>
      </c>
      <c r="G90" s="210">
        <f>E90-F90</f>
        <v>0</v>
      </c>
      <c r="H90" s="791">
        <f>IF(J$15=0,0,J$8/J$15)</f>
        <v>1.7922999999999998E-2</v>
      </c>
      <c r="I90" s="210">
        <f>ROUND(E90*H90*1.5,0)</f>
        <v>0</v>
      </c>
      <c r="J90" s="210">
        <f>MAX(E90-F90-I90,0)</f>
        <v>0</v>
      </c>
      <c r="K90" s="210">
        <f>ROUND(J90*$J$27,0)</f>
        <v>0</v>
      </c>
      <c r="L90" s="210">
        <f>ROUND(J90*$J$29,0)</f>
        <v>0</v>
      </c>
      <c r="M90" s="365">
        <f>+J$30</f>
        <v>9.0731045752656447E-2</v>
      </c>
      <c r="N90" s="792">
        <v>0</v>
      </c>
      <c r="O90" s="210">
        <v>0</v>
      </c>
      <c r="P90" s="210">
        <f>ROUND((M90*J90)+(M90*O90)+(N90*J90),0)</f>
        <v>0</v>
      </c>
      <c r="Q90" s="210">
        <f>ROUND((P90-(N90*J90))*I$21+(N90*J90*I$23),0)</f>
        <v>0</v>
      </c>
      <c r="R90" s="210">
        <f>I90/1.5</f>
        <v>0</v>
      </c>
      <c r="S90" s="210">
        <f>+K90+L90+P90+Q90+R90</f>
        <v>0</v>
      </c>
      <c r="T90" s="210">
        <f>ROUND(S90*J$33,0)</f>
        <v>0</v>
      </c>
      <c r="U90" s="210">
        <f>S90+T90</f>
        <v>0</v>
      </c>
      <c r="V90" s="210">
        <f>ROUND(+S90*$J$28,0)</f>
        <v>0</v>
      </c>
      <c r="W90" s="210">
        <f>U90+V90</f>
        <v>0</v>
      </c>
    </row>
    <row r="91" spans="1:23">
      <c r="A91" s="1595" t="s">
        <v>106</v>
      </c>
      <c r="B91" s="165" t="s">
        <v>692</v>
      </c>
      <c r="C91" s="165" t="s">
        <v>841</v>
      </c>
      <c r="D91" s="165"/>
      <c r="E91" s="210">
        <f>'A-7 (Act. RTO Directed Proj)'!J109</f>
        <v>0</v>
      </c>
      <c r="F91" s="210">
        <f>'A-7 (Act. RTO Directed Proj)'!K111+'A-7 (Act. RTO Directed Proj)'!L110</f>
        <v>0</v>
      </c>
      <c r="G91" s="210">
        <f>E91-F91</f>
        <v>0</v>
      </c>
      <c r="H91" s="791">
        <f>IF(J$15=0,0,J$8/J$15)</f>
        <v>1.7922999999999998E-2</v>
      </c>
      <c r="I91" s="210">
        <f>ROUND(E91*H91*1.5,0)</f>
        <v>0</v>
      </c>
      <c r="J91" s="210">
        <f>MAX(E91-F91-I91,0)</f>
        <v>0</v>
      </c>
      <c r="K91" s="210">
        <f>ROUND(J91*$J$27,0)</f>
        <v>0</v>
      </c>
      <c r="L91" s="210">
        <f>ROUND(J91*$J$29,0)</f>
        <v>0</v>
      </c>
      <c r="M91" s="365">
        <f>+J$30</f>
        <v>9.0731045752656447E-2</v>
      </c>
      <c r="N91" s="792">
        <v>0</v>
      </c>
      <c r="O91" s="210">
        <v>0</v>
      </c>
      <c r="P91" s="210">
        <f>ROUND((M91*J91)+(M91*O91)+(N91*J91),0)</f>
        <v>0</v>
      </c>
      <c r="Q91" s="210">
        <f>ROUND((P91-(N91*J91))*I$21+(N91*J91*I$23),0)</f>
        <v>0</v>
      </c>
      <c r="R91" s="210">
        <f>I91/1.5</f>
        <v>0</v>
      </c>
      <c r="S91" s="210">
        <f>+K91+L91+P91+Q91+R91</f>
        <v>0</v>
      </c>
      <c r="T91" s="210">
        <f>ROUND(S91*J$33,0)</f>
        <v>0</v>
      </c>
      <c r="U91" s="210">
        <f>S91+T91</f>
        <v>0</v>
      </c>
      <c r="V91" s="210">
        <f>ROUND(+S91*$J$28,0)</f>
        <v>0</v>
      </c>
      <c r="W91" s="210">
        <f>U91+V91</f>
        <v>0</v>
      </c>
    </row>
    <row r="92" spans="1:23">
      <c r="A92" s="1595" t="s">
        <v>106</v>
      </c>
      <c r="B92" s="165" t="s">
        <v>692</v>
      </c>
      <c r="C92" s="357"/>
      <c r="D92" s="357"/>
      <c r="E92" s="210">
        <f>'A-7 (Act. RTO Directed Proj)'!M109</f>
        <v>0</v>
      </c>
      <c r="F92" s="210">
        <f>'A-7 (Act. RTO Directed Proj)'!N111+'A-7 (Act. RTO Directed Proj)'!O110</f>
        <v>0</v>
      </c>
      <c r="G92" s="210">
        <f>E92-F92</f>
        <v>0</v>
      </c>
      <c r="H92" s="791">
        <f>IF(J$15=0,0,J$8/J$15)</f>
        <v>1.7922999999999998E-2</v>
      </c>
      <c r="I92" s="210">
        <f>ROUND(E92*H92*1.5,0)</f>
        <v>0</v>
      </c>
      <c r="J92" s="210">
        <f>MAX(E92-F92-I92,0)</f>
        <v>0</v>
      </c>
      <c r="K92" s="210">
        <f>ROUND(J92*$J$27,0)</f>
        <v>0</v>
      </c>
      <c r="L92" s="210">
        <f>ROUND(J92*$J$29,0)</f>
        <v>0</v>
      </c>
      <c r="M92" s="365">
        <f>+J$30</f>
        <v>9.0731045752656447E-2</v>
      </c>
      <c r="N92" s="792">
        <v>0</v>
      </c>
      <c r="O92" s="210">
        <v>0</v>
      </c>
      <c r="P92" s="210">
        <f>ROUND((M92*J92)+(M92*O92)+(N92*J92),0)</f>
        <v>0</v>
      </c>
      <c r="Q92" s="210">
        <f>ROUND((P92-(N92*J92))*I$21+(N92*J92*I$23),0)</f>
        <v>0</v>
      </c>
      <c r="R92" s="210">
        <f>I92/1.5</f>
        <v>0</v>
      </c>
      <c r="S92" s="210">
        <f>+K92+L92+P92+Q92+R92</f>
        <v>0</v>
      </c>
      <c r="T92" s="210">
        <f>ROUND(S92*J$33,0)</f>
        <v>0</v>
      </c>
      <c r="U92" s="210">
        <f>S92+T92</f>
        <v>0</v>
      </c>
      <c r="V92" s="210">
        <f>ROUND(+S92*$J$28,0)</f>
        <v>0</v>
      </c>
      <c r="W92" s="210">
        <f>U92+V92</f>
        <v>0</v>
      </c>
    </row>
    <row r="93" spans="1:23">
      <c r="A93" s="1596"/>
      <c r="B93" s="433"/>
      <c r="C93" s="433"/>
      <c r="D93" s="433"/>
      <c r="E93" s="363"/>
      <c r="F93" s="363"/>
      <c r="G93" s="363"/>
      <c r="H93" s="430"/>
      <c r="I93" s="363"/>
      <c r="J93" s="363"/>
      <c r="K93" s="363"/>
      <c r="L93" s="363"/>
      <c r="M93" s="431"/>
      <c r="N93" s="432"/>
      <c r="O93" s="431"/>
      <c r="P93" s="363"/>
      <c r="Q93" s="363"/>
      <c r="R93" s="363"/>
      <c r="S93" s="363"/>
      <c r="T93" s="363"/>
      <c r="U93" s="363"/>
      <c r="V93" s="363"/>
      <c r="W93" s="363"/>
    </row>
    <row r="94" spans="1:23">
      <c r="A94" s="360" t="s">
        <v>922</v>
      </c>
      <c r="B94" s="471" t="s">
        <v>1131</v>
      </c>
      <c r="E94" s="89">
        <f>SUM(E90:E93)</f>
        <v>0</v>
      </c>
      <c r="F94" s="89">
        <f t="shared" ref="F94:W94" si="49">SUM(F90:F93)</f>
        <v>0</v>
      </c>
      <c r="G94" s="89">
        <f t="shared" si="49"/>
        <v>0</v>
      </c>
      <c r="H94" s="89"/>
      <c r="I94" s="89">
        <f t="shared" si="49"/>
        <v>0</v>
      </c>
      <c r="J94" s="89">
        <f t="shared" si="49"/>
        <v>0</v>
      </c>
      <c r="K94" s="89">
        <f t="shared" si="49"/>
        <v>0</v>
      </c>
      <c r="L94" s="89">
        <f t="shared" si="49"/>
        <v>0</v>
      </c>
      <c r="M94" s="89"/>
      <c r="N94" s="89"/>
      <c r="O94" s="89">
        <f t="shared" si="49"/>
        <v>0</v>
      </c>
      <c r="P94" s="89">
        <f t="shared" si="49"/>
        <v>0</v>
      </c>
      <c r="Q94" s="89">
        <f t="shared" si="49"/>
        <v>0</v>
      </c>
      <c r="R94" s="89">
        <f t="shared" si="49"/>
        <v>0</v>
      </c>
      <c r="S94" s="89">
        <f t="shared" si="49"/>
        <v>0</v>
      </c>
      <c r="T94" s="89">
        <f t="shared" si="49"/>
        <v>0</v>
      </c>
      <c r="U94" s="89">
        <f t="shared" si="49"/>
        <v>0</v>
      </c>
      <c r="V94" s="89">
        <f t="shared" si="49"/>
        <v>0</v>
      </c>
      <c r="W94" s="89">
        <f t="shared" si="49"/>
        <v>0</v>
      </c>
    </row>
    <row r="95" spans="1:23">
      <c r="A95" s="360"/>
      <c r="B95" s="135"/>
      <c r="E95" s="89"/>
      <c r="F95" s="89"/>
      <c r="G95" s="89"/>
      <c r="H95" s="358"/>
      <c r="I95" s="89"/>
      <c r="J95" s="89"/>
      <c r="K95" s="89"/>
      <c r="L95" s="89"/>
      <c r="M95" s="348"/>
      <c r="N95" s="359"/>
      <c r="O95" s="348"/>
      <c r="P95" s="89"/>
      <c r="Q95" s="89"/>
      <c r="R95" s="89"/>
      <c r="S95" s="89"/>
      <c r="T95" s="89"/>
      <c r="U95" s="89"/>
      <c r="V95" s="89"/>
      <c r="W95" s="89"/>
    </row>
    <row r="96" spans="1:23">
      <c r="A96" s="360"/>
      <c r="B96" s="135"/>
      <c r="E96" s="89"/>
      <c r="F96" s="89"/>
      <c r="G96" s="89"/>
      <c r="H96" s="358"/>
      <c r="I96" s="89"/>
      <c r="J96" s="89"/>
      <c r="K96" s="89"/>
      <c r="L96" s="89"/>
      <c r="M96" s="348"/>
      <c r="N96" s="359"/>
      <c r="O96" s="348"/>
      <c r="P96" s="89"/>
      <c r="Q96" s="89"/>
      <c r="R96" s="89"/>
      <c r="S96" s="89"/>
      <c r="T96" s="89"/>
      <c r="U96" s="89"/>
      <c r="V96" s="89"/>
      <c r="W96" s="89"/>
    </row>
    <row r="97" spans="1:23">
      <c r="A97" s="360"/>
      <c r="B97" s="351"/>
      <c r="C97" s="351"/>
      <c r="D97" s="351"/>
      <c r="E97" s="352" t="s">
        <v>267</v>
      </c>
      <c r="F97" s="352" t="s">
        <v>899</v>
      </c>
      <c r="G97" s="352" t="s">
        <v>1548</v>
      </c>
      <c r="H97" s="352" t="s">
        <v>1584</v>
      </c>
      <c r="I97" s="352" t="s">
        <v>148</v>
      </c>
      <c r="J97" s="352" t="s">
        <v>1549</v>
      </c>
      <c r="K97" s="352" t="s">
        <v>477</v>
      </c>
      <c r="L97" s="352" t="s">
        <v>1028</v>
      </c>
      <c r="M97" s="352" t="s">
        <v>1347</v>
      </c>
      <c r="N97" s="352" t="s">
        <v>982</v>
      </c>
      <c r="O97" s="352" t="s">
        <v>137</v>
      </c>
      <c r="P97" s="352" t="s">
        <v>54</v>
      </c>
      <c r="Q97" s="352" t="s">
        <v>1030</v>
      </c>
      <c r="R97" s="352" t="s">
        <v>465</v>
      </c>
      <c r="S97" s="352" t="s">
        <v>1201</v>
      </c>
      <c r="T97" s="352" t="s">
        <v>920</v>
      </c>
      <c r="U97" s="352" t="s">
        <v>513</v>
      </c>
      <c r="V97" s="352" t="s">
        <v>513</v>
      </c>
      <c r="W97" s="352" t="s">
        <v>430</v>
      </c>
    </row>
    <row r="98" spans="1:23" ht="13.5" thickBot="1">
      <c r="A98" s="360"/>
      <c r="B98" s="353" t="s">
        <v>1147</v>
      </c>
      <c r="C98" s="353" t="s">
        <v>266</v>
      </c>
      <c r="D98" s="343"/>
      <c r="E98" s="354" t="s">
        <v>268</v>
      </c>
      <c r="F98" s="354" t="s">
        <v>1584</v>
      </c>
      <c r="G98" s="354" t="s">
        <v>1583</v>
      </c>
      <c r="H98" s="354" t="s">
        <v>1181</v>
      </c>
      <c r="I98" s="354" t="s">
        <v>515</v>
      </c>
      <c r="J98" s="354" t="s">
        <v>1583</v>
      </c>
      <c r="K98" s="354" t="s">
        <v>1581</v>
      </c>
      <c r="L98" s="354" t="s">
        <v>1029</v>
      </c>
      <c r="M98" s="354" t="s">
        <v>1579</v>
      </c>
      <c r="N98" s="354" t="s">
        <v>1166</v>
      </c>
      <c r="O98" s="354" t="s">
        <v>1534</v>
      </c>
      <c r="P98" s="354" t="s">
        <v>1579</v>
      </c>
      <c r="Q98" s="354" t="s">
        <v>1029</v>
      </c>
      <c r="R98" s="354" t="s">
        <v>685</v>
      </c>
      <c r="S98" s="354" t="s">
        <v>827</v>
      </c>
      <c r="T98" s="354" t="s">
        <v>1624</v>
      </c>
      <c r="U98" s="354" t="s">
        <v>1739</v>
      </c>
      <c r="V98" s="354" t="s">
        <v>512</v>
      </c>
      <c r="W98" s="354" t="s">
        <v>1739</v>
      </c>
    </row>
    <row r="99" spans="1:23" ht="25.5">
      <c r="A99" s="360"/>
      <c r="B99" s="355"/>
      <c r="C99" s="351"/>
      <c r="D99" s="352"/>
      <c r="E99" s="352"/>
      <c r="F99" s="352"/>
      <c r="G99" s="352" t="s">
        <v>619</v>
      </c>
      <c r="H99" s="352"/>
      <c r="I99" s="352" t="s">
        <v>1138</v>
      </c>
      <c r="J99" s="352" t="s">
        <v>955</v>
      </c>
      <c r="K99" s="352" t="s">
        <v>1552</v>
      </c>
      <c r="L99" s="352" t="s">
        <v>956</v>
      </c>
      <c r="M99" s="352" t="s">
        <v>673</v>
      </c>
      <c r="N99" s="1836" t="s">
        <v>19</v>
      </c>
      <c r="O99" s="1836" t="s">
        <v>19</v>
      </c>
      <c r="P99" s="1837" t="s">
        <v>20</v>
      </c>
      <c r="Q99" s="1836" t="s">
        <v>1139</v>
      </c>
      <c r="R99" s="352" t="s">
        <v>1511</v>
      </c>
      <c r="S99" s="352" t="s">
        <v>463</v>
      </c>
      <c r="T99" s="352" t="s">
        <v>1761</v>
      </c>
      <c r="U99" s="352" t="s">
        <v>829</v>
      </c>
      <c r="V99" s="352" t="s">
        <v>1761</v>
      </c>
      <c r="W99" s="352" t="s">
        <v>464</v>
      </c>
    </row>
    <row r="100" spans="1:23">
      <c r="A100" s="350"/>
      <c r="B100" s="1933" t="s">
        <v>1372</v>
      </c>
      <c r="C100" s="1934"/>
      <c r="D100" s="1249"/>
      <c r="E100" s="89"/>
      <c r="F100" s="89"/>
      <c r="G100" s="89"/>
      <c r="H100" s="89"/>
      <c r="I100" s="347"/>
      <c r="J100" s="89"/>
      <c r="K100" s="89"/>
      <c r="L100" s="366"/>
      <c r="M100" s="89"/>
      <c r="N100" s="89"/>
      <c r="O100" s="89"/>
      <c r="P100" s="89"/>
      <c r="Q100" s="1247"/>
      <c r="R100" s="89"/>
      <c r="S100" s="89"/>
      <c r="T100" s="89"/>
      <c r="U100" s="347"/>
      <c r="V100" s="89"/>
      <c r="W100" s="347"/>
    </row>
    <row r="101" spans="1:23">
      <c r="A101" s="1598"/>
      <c r="B101" s="135"/>
      <c r="C101" s="135" t="str">
        <f>'P-4 (Proj. RTO Directed)'!H49</f>
        <v>1. Swissvale-Stillwell Tap at W. Gardner</v>
      </c>
      <c r="E101" s="89">
        <f>'P-4 (Proj. RTO Directed)'!G83</f>
        <v>2866604</v>
      </c>
      <c r="F101" s="1999"/>
      <c r="G101" s="89">
        <f>E101-F101</f>
        <v>2866604</v>
      </c>
      <c r="H101" s="359">
        <v>0</v>
      </c>
      <c r="I101" s="89">
        <f>'P-4 (Proj. RTO Directed)'!H83</f>
        <v>62143</v>
      </c>
      <c r="J101" s="89">
        <f>MAX(E101-F101-I101,0)</f>
        <v>2804461</v>
      </c>
      <c r="K101" s="89">
        <f>ROUND(J101*$J$27,0)</f>
        <v>188549</v>
      </c>
      <c r="L101" s="89">
        <f>ROUND(J101*$J$29,0)</f>
        <v>55371</v>
      </c>
      <c r="M101" s="348">
        <f>+J$30</f>
        <v>9.0731045752656447E-2</v>
      </c>
      <c r="N101" s="359">
        <v>0</v>
      </c>
      <c r="O101" s="89">
        <v>0</v>
      </c>
      <c r="P101" s="89">
        <f>ROUND((M101*J101)+(M101*O101)+(N101*J101),0)</f>
        <v>254452</v>
      </c>
      <c r="Q101" s="89">
        <f>ROUND((P101-(N101*J101))*I$21+(N101*J101*I$23),0)</f>
        <v>97302</v>
      </c>
      <c r="R101" s="89">
        <f>'P-4 (Proj. RTO Directed)'!H84</f>
        <v>51396</v>
      </c>
      <c r="S101" s="89">
        <f>K101+L101+P101+Q101+R101</f>
        <v>647070</v>
      </c>
      <c r="T101" s="2130">
        <v>-215497</v>
      </c>
      <c r="U101" s="89">
        <f>S101+T101</f>
        <v>431573</v>
      </c>
      <c r="V101" s="2130">
        <v>-28598</v>
      </c>
      <c r="W101" s="89">
        <f>U101+V101</f>
        <v>402975</v>
      </c>
    </row>
    <row r="102" spans="1:23">
      <c r="A102" s="1595" t="s">
        <v>106</v>
      </c>
      <c r="B102" s="165" t="s">
        <v>692</v>
      </c>
      <c r="C102" s="165" t="s">
        <v>841</v>
      </c>
      <c r="D102" s="357"/>
      <c r="E102" s="210">
        <f>'P-4 (Proj. RTO Directed)'!J83</f>
        <v>0</v>
      </c>
      <c r="F102" s="798"/>
      <c r="G102" s="210">
        <f>E102-F102</f>
        <v>0</v>
      </c>
      <c r="H102" s="792">
        <v>0</v>
      </c>
      <c r="I102" s="210">
        <f>'P-4 (Proj. RTO Directed)'!K83</f>
        <v>0</v>
      </c>
      <c r="J102" s="210">
        <f>MAX(E102-F102-I102,0)</f>
        <v>0</v>
      </c>
      <c r="K102" s="210">
        <f>ROUND(J102*$J$27,0)</f>
        <v>0</v>
      </c>
      <c r="L102" s="210">
        <f>ROUND(J102*$J$29,0)</f>
        <v>0</v>
      </c>
      <c r="M102" s="365">
        <f>+J$30</f>
        <v>9.0731045752656447E-2</v>
      </c>
      <c r="N102" s="792">
        <v>0</v>
      </c>
      <c r="O102" s="210">
        <v>0</v>
      </c>
      <c r="P102" s="210">
        <f>ROUND((M102*J102)+(M102*O102)+(N102*J102),0)</f>
        <v>0</v>
      </c>
      <c r="Q102" s="210">
        <f>ROUND((P102-(N102*J102))*I$21+(N102*J102*I$23),0)</f>
        <v>0</v>
      </c>
      <c r="R102" s="210">
        <f>'P-4 (Proj. RTO Directed)'!K84</f>
        <v>0</v>
      </c>
      <c r="S102" s="210">
        <f>K102+L102+P102+Q102+R102</f>
        <v>0</v>
      </c>
      <c r="T102" s="210">
        <v>0</v>
      </c>
      <c r="U102" s="210">
        <f>S102+T102</f>
        <v>0</v>
      </c>
      <c r="V102" s="210">
        <v>0</v>
      </c>
      <c r="W102" s="210">
        <f>U102+V102</f>
        <v>0</v>
      </c>
    </row>
    <row r="103" spans="1:23">
      <c r="A103" s="1595" t="s">
        <v>106</v>
      </c>
      <c r="B103" s="165"/>
      <c r="C103" s="357"/>
      <c r="D103" s="357"/>
      <c r="E103" s="210">
        <f>'P-4 (Proj. RTO Directed)'!M83</f>
        <v>0</v>
      </c>
      <c r="F103" s="798">
        <v>0</v>
      </c>
      <c r="G103" s="210">
        <f>E103-F103</f>
        <v>0</v>
      </c>
      <c r="H103" s="792">
        <v>0</v>
      </c>
      <c r="I103" s="210">
        <f>'P-4 (Proj. RTO Directed)'!N83</f>
        <v>0</v>
      </c>
      <c r="J103" s="210">
        <f>MAX(E103-F103-I103,0)</f>
        <v>0</v>
      </c>
      <c r="K103" s="210">
        <f>ROUND(J103*$J$27,0)</f>
        <v>0</v>
      </c>
      <c r="L103" s="210">
        <f>ROUND(J103*$J$29,0)</f>
        <v>0</v>
      </c>
      <c r="M103" s="365">
        <f>+J$30</f>
        <v>9.0731045752656447E-2</v>
      </c>
      <c r="N103" s="792">
        <v>0</v>
      </c>
      <c r="O103" s="210">
        <v>0</v>
      </c>
      <c r="P103" s="210">
        <f>ROUND((M103*J103)+(M103*O103)+(N103*J103),0)</f>
        <v>0</v>
      </c>
      <c r="Q103" s="210">
        <f>ROUND((P103-(N103*J103))*I$21+(N103*J103*I$23),0)</f>
        <v>0</v>
      </c>
      <c r="R103" s="210">
        <f>'P-4 (Proj. RTO Directed)'!N84</f>
        <v>0</v>
      </c>
      <c r="S103" s="210">
        <f>K103+L103+P103+Q103+R103</f>
        <v>0</v>
      </c>
      <c r="T103" s="210">
        <v>0</v>
      </c>
      <c r="U103" s="210">
        <f>S103+T103</f>
        <v>0</v>
      </c>
      <c r="V103" s="210">
        <v>0</v>
      </c>
      <c r="W103" s="210">
        <f>U103+V103</f>
        <v>0</v>
      </c>
    </row>
    <row r="104" spans="1:23">
      <c r="A104" s="1597"/>
      <c r="B104" s="433"/>
      <c r="C104" s="433"/>
      <c r="D104" s="363"/>
      <c r="E104" s="363"/>
      <c r="F104" s="363"/>
      <c r="G104" s="363"/>
      <c r="H104" s="363"/>
      <c r="I104" s="363"/>
      <c r="J104" s="363"/>
      <c r="K104" s="363"/>
      <c r="L104" s="434"/>
      <c r="M104" s="363"/>
      <c r="N104" s="363"/>
      <c r="O104" s="363"/>
      <c r="P104" s="363"/>
      <c r="Q104" s="363"/>
      <c r="R104" s="363"/>
      <c r="S104" s="367"/>
      <c r="T104" s="367"/>
      <c r="U104" s="367"/>
      <c r="V104" s="367"/>
      <c r="W104" s="367"/>
    </row>
    <row r="105" spans="1:23">
      <c r="A105" s="350" t="s">
        <v>923</v>
      </c>
      <c r="B105" s="471" t="s">
        <v>1141</v>
      </c>
      <c r="D105" s="89"/>
      <c r="E105" s="89">
        <f>SUM(E101:E104)</f>
        <v>2866604</v>
      </c>
      <c r="F105" s="89">
        <f t="shared" ref="F105:W105" si="50">SUM(F101:F104)</f>
        <v>0</v>
      </c>
      <c r="G105" s="89">
        <f t="shared" si="50"/>
        <v>2866604</v>
      </c>
      <c r="H105" s="89"/>
      <c r="I105" s="89">
        <f t="shared" si="50"/>
        <v>62143</v>
      </c>
      <c r="J105" s="89">
        <f t="shared" si="50"/>
        <v>2804461</v>
      </c>
      <c r="K105" s="89">
        <f t="shared" si="50"/>
        <v>188549</v>
      </c>
      <c r="L105" s="89">
        <f t="shared" si="50"/>
        <v>55371</v>
      </c>
      <c r="M105" s="89"/>
      <c r="N105" s="89"/>
      <c r="O105" s="89">
        <f t="shared" si="50"/>
        <v>0</v>
      </c>
      <c r="P105" s="89">
        <f t="shared" si="50"/>
        <v>254452</v>
      </c>
      <c r="Q105" s="89">
        <f t="shared" si="50"/>
        <v>97302</v>
      </c>
      <c r="R105" s="89">
        <f t="shared" si="50"/>
        <v>51396</v>
      </c>
      <c r="S105" s="89">
        <f t="shared" si="50"/>
        <v>647070</v>
      </c>
      <c r="T105" s="89">
        <f t="shared" si="50"/>
        <v>-215497</v>
      </c>
      <c r="U105" s="89">
        <f t="shared" si="50"/>
        <v>431573</v>
      </c>
      <c r="V105" s="89">
        <f t="shared" si="50"/>
        <v>-28598</v>
      </c>
      <c r="W105" s="89">
        <f t="shared" si="50"/>
        <v>402975</v>
      </c>
    </row>
    <row r="106" spans="1:23">
      <c r="A106" s="350"/>
      <c r="D106" s="89"/>
      <c r="E106" s="89"/>
      <c r="F106" s="89"/>
      <c r="G106" s="89"/>
      <c r="H106" s="89"/>
      <c r="I106" s="89"/>
      <c r="J106" s="89"/>
      <c r="K106" s="89"/>
      <c r="L106" s="89"/>
      <c r="M106" s="89"/>
      <c r="N106" s="89"/>
      <c r="O106" s="89"/>
      <c r="P106" s="89"/>
      <c r="Q106" s="89"/>
      <c r="R106" s="89"/>
      <c r="S106" s="89"/>
      <c r="T106" s="89"/>
      <c r="U106" s="89"/>
      <c r="V106" s="89"/>
      <c r="W106" s="89"/>
    </row>
    <row r="107" spans="1:23" ht="13.5" thickBot="1">
      <c r="A107" s="1243" t="s">
        <v>969</v>
      </c>
      <c r="B107" s="474" t="s">
        <v>1140</v>
      </c>
      <c r="C107" s="475"/>
      <c r="D107" s="476"/>
      <c r="E107" s="476">
        <f>E94+E105</f>
        <v>2866604</v>
      </c>
      <c r="F107" s="476">
        <f t="shared" ref="F107:W107" si="51">F94+F105</f>
        <v>0</v>
      </c>
      <c r="G107" s="476">
        <f t="shared" si="51"/>
        <v>2866604</v>
      </c>
      <c r="H107" s="476"/>
      <c r="I107" s="476">
        <f t="shared" si="51"/>
        <v>62143</v>
      </c>
      <c r="J107" s="476">
        <f t="shared" si="51"/>
        <v>2804461</v>
      </c>
      <c r="K107" s="476">
        <f t="shared" si="51"/>
        <v>188549</v>
      </c>
      <c r="L107" s="476">
        <f t="shared" si="51"/>
        <v>55371</v>
      </c>
      <c r="M107" s="476"/>
      <c r="N107" s="476"/>
      <c r="O107" s="476">
        <f t="shared" si="51"/>
        <v>0</v>
      </c>
      <c r="P107" s="476">
        <f t="shared" si="51"/>
        <v>254452</v>
      </c>
      <c r="Q107" s="476">
        <f t="shared" si="51"/>
        <v>97302</v>
      </c>
      <c r="R107" s="476">
        <f t="shared" si="51"/>
        <v>51396</v>
      </c>
      <c r="S107" s="476">
        <f t="shared" si="51"/>
        <v>647070</v>
      </c>
      <c r="T107" s="476">
        <f t="shared" si="51"/>
        <v>-215497</v>
      </c>
      <c r="U107" s="476">
        <f t="shared" si="51"/>
        <v>431573</v>
      </c>
      <c r="V107" s="476">
        <f t="shared" si="51"/>
        <v>-28598</v>
      </c>
      <c r="W107" s="476">
        <f t="shared" si="51"/>
        <v>402975</v>
      </c>
    </row>
    <row r="108" spans="1:23" ht="13.5" thickTop="1">
      <c r="A108" s="350"/>
      <c r="B108" s="361"/>
      <c r="W108" s="2129" t="str">
        <f>IF(AND('Projected Net Rev Req'!E53-W107&lt;2,'Projected Net Rev Req'!E53-W107&gt;-2),"","Total not equal to Projected Net Rev Req:  Check True-up and Credits for Projected Projects")</f>
        <v/>
      </c>
    </row>
    <row r="109" spans="1:23" ht="18">
      <c r="B109" s="741" t="s">
        <v>1515</v>
      </c>
      <c r="Q109" s="341"/>
      <c r="R109" s="341"/>
    </row>
    <row r="110" spans="1:23" ht="15.75">
      <c r="B110" s="546"/>
      <c r="K110" s="2193" t="s">
        <v>192</v>
      </c>
      <c r="L110" s="2193"/>
      <c r="M110" s="1098"/>
      <c r="U110" s="2193" t="s">
        <v>193</v>
      </c>
      <c r="V110" s="2193"/>
    </row>
    <row r="111" spans="1:23" ht="15.75">
      <c r="B111" s="143" t="str">
        <f>B78</f>
        <v>For the 12 months ended - December 31, 2014</v>
      </c>
      <c r="M111" s="1099"/>
      <c r="V111" s="1099"/>
    </row>
    <row r="113" spans="1:23" ht="15">
      <c r="B113" s="1249" t="s">
        <v>1364</v>
      </c>
      <c r="C113" s="1249"/>
      <c r="M113" s="341" t="s">
        <v>1246</v>
      </c>
      <c r="V113" s="341" t="s">
        <v>1247</v>
      </c>
    </row>
    <row r="114" spans="1:23">
      <c r="B114" s="1249" t="s">
        <v>1365</v>
      </c>
      <c r="C114" s="1249"/>
    </row>
    <row r="115" spans="1:23">
      <c r="B115" s="88" t="s">
        <v>935</v>
      </c>
    </row>
    <row r="116" spans="1:23">
      <c r="B116" s="88" t="s">
        <v>854</v>
      </c>
    </row>
    <row r="118" spans="1:23">
      <c r="B118" s="350"/>
      <c r="C118" s="350"/>
      <c r="D118" s="350"/>
      <c r="E118" s="607" t="s">
        <v>1529</v>
      </c>
      <c r="F118" s="607" t="s">
        <v>1527</v>
      </c>
      <c r="G118" s="607" t="s">
        <v>1528</v>
      </c>
      <c r="H118" s="608" t="s">
        <v>1167</v>
      </c>
      <c r="I118" s="608" t="s">
        <v>1168</v>
      </c>
      <c r="J118" s="607" t="s">
        <v>1169</v>
      </c>
      <c r="K118" s="608" t="s">
        <v>1170</v>
      </c>
      <c r="L118" s="607" t="s">
        <v>1171</v>
      </c>
      <c r="M118" s="607" t="s">
        <v>1172</v>
      </c>
      <c r="N118" s="607" t="s">
        <v>1173</v>
      </c>
      <c r="O118" s="607" t="s">
        <v>1174</v>
      </c>
      <c r="P118" s="607" t="s">
        <v>1175</v>
      </c>
      <c r="Q118" s="607" t="s">
        <v>1176</v>
      </c>
      <c r="R118" s="607" t="s">
        <v>1177</v>
      </c>
      <c r="S118" s="607" t="s">
        <v>1551</v>
      </c>
      <c r="T118" s="607" t="s">
        <v>921</v>
      </c>
      <c r="U118" s="607" t="s">
        <v>828</v>
      </c>
      <c r="V118" s="607" t="s">
        <v>429</v>
      </c>
      <c r="W118" s="607" t="s">
        <v>516</v>
      </c>
    </row>
    <row r="119" spans="1:23">
      <c r="B119" s="351"/>
      <c r="C119" s="351"/>
      <c r="D119" s="351"/>
      <c r="E119" s="352" t="s">
        <v>267</v>
      </c>
      <c r="F119" s="352" t="s">
        <v>269</v>
      </c>
      <c r="G119" s="352" t="s">
        <v>1548</v>
      </c>
      <c r="H119" s="352" t="s">
        <v>1584</v>
      </c>
      <c r="I119" s="352" t="s">
        <v>148</v>
      </c>
      <c r="J119" s="352" t="s">
        <v>1549</v>
      </c>
      <c r="K119" s="352" t="s">
        <v>477</v>
      </c>
      <c r="L119" s="352" t="s">
        <v>1028</v>
      </c>
      <c r="M119" s="352" t="s">
        <v>1347</v>
      </c>
      <c r="N119" s="352" t="s">
        <v>982</v>
      </c>
      <c r="O119" s="352" t="s">
        <v>137</v>
      </c>
      <c r="P119" s="352" t="s">
        <v>54</v>
      </c>
      <c r="Q119" s="352" t="s">
        <v>1030</v>
      </c>
      <c r="R119" s="352" t="s">
        <v>465</v>
      </c>
      <c r="S119" s="352" t="s">
        <v>1201</v>
      </c>
      <c r="T119" s="352" t="s">
        <v>920</v>
      </c>
      <c r="U119" s="352" t="s">
        <v>728</v>
      </c>
      <c r="V119" s="352" t="s">
        <v>513</v>
      </c>
      <c r="W119" s="352" t="s">
        <v>430</v>
      </c>
    </row>
    <row r="120" spans="1:23" ht="13.5" thickBot="1">
      <c r="B120" s="353" t="s">
        <v>1147</v>
      </c>
      <c r="C120" s="353" t="s">
        <v>266</v>
      </c>
      <c r="D120" s="343"/>
      <c r="E120" s="354" t="s">
        <v>268</v>
      </c>
      <c r="F120" s="354" t="s">
        <v>1584</v>
      </c>
      <c r="G120" s="354" t="s">
        <v>1583</v>
      </c>
      <c r="H120" s="354" t="s">
        <v>1181</v>
      </c>
      <c r="I120" s="354" t="s">
        <v>515</v>
      </c>
      <c r="J120" s="354" t="s">
        <v>1583</v>
      </c>
      <c r="K120" s="354" t="s">
        <v>1581</v>
      </c>
      <c r="L120" s="354" t="s">
        <v>1029</v>
      </c>
      <c r="M120" s="354" t="s">
        <v>1579</v>
      </c>
      <c r="N120" s="354" t="s">
        <v>1166</v>
      </c>
      <c r="O120" s="354" t="s">
        <v>1534</v>
      </c>
      <c r="P120" s="354" t="s">
        <v>1579</v>
      </c>
      <c r="Q120" s="354" t="s">
        <v>1029</v>
      </c>
      <c r="R120" s="354" t="s">
        <v>685</v>
      </c>
      <c r="S120" s="354" t="s">
        <v>827</v>
      </c>
      <c r="T120" s="354" t="s">
        <v>1624</v>
      </c>
      <c r="U120" s="354" t="s">
        <v>1739</v>
      </c>
      <c r="V120" s="354" t="s">
        <v>512</v>
      </c>
      <c r="W120" s="354" t="s">
        <v>1739</v>
      </c>
    </row>
    <row r="121" spans="1:23" ht="25.5">
      <c r="B121" s="355"/>
      <c r="C121" s="351"/>
      <c r="D121" s="352"/>
      <c r="E121" s="352"/>
      <c r="F121" s="352"/>
      <c r="G121" s="352" t="s">
        <v>619</v>
      </c>
      <c r="H121" s="352" t="s">
        <v>952</v>
      </c>
      <c r="I121" s="1835" t="s">
        <v>5</v>
      </c>
      <c r="J121" s="352" t="s">
        <v>1550</v>
      </c>
      <c r="K121" s="352" t="s">
        <v>1552</v>
      </c>
      <c r="L121" s="352" t="s">
        <v>956</v>
      </c>
      <c r="M121" s="352" t="s">
        <v>673</v>
      </c>
      <c r="N121" s="1836" t="s">
        <v>19</v>
      </c>
      <c r="O121" s="1836" t="s">
        <v>19</v>
      </c>
      <c r="P121" s="1837" t="s">
        <v>20</v>
      </c>
      <c r="Q121" s="1836" t="s">
        <v>1139</v>
      </c>
      <c r="R121" s="352" t="s">
        <v>6</v>
      </c>
      <c r="S121" s="352" t="s">
        <v>463</v>
      </c>
      <c r="T121" s="352" t="s">
        <v>1762</v>
      </c>
      <c r="U121" s="352" t="s">
        <v>829</v>
      </c>
      <c r="V121" s="352" t="s">
        <v>1763</v>
      </c>
      <c r="W121" s="352" t="s">
        <v>464</v>
      </c>
    </row>
    <row r="122" spans="1:23">
      <c r="B122" s="356" t="s">
        <v>1371</v>
      </c>
      <c r="N122" s="359"/>
      <c r="O122" s="89"/>
      <c r="Q122" s="1247"/>
    </row>
    <row r="123" spans="1:23">
      <c r="A123" s="1595" t="s">
        <v>106</v>
      </c>
      <c r="B123" s="165" t="s">
        <v>692</v>
      </c>
      <c r="C123" s="165" t="s">
        <v>840</v>
      </c>
      <c r="D123" s="357"/>
      <c r="E123" s="210">
        <f>'A-7 (Act. RTO Directed Proj)'!G161</f>
        <v>0</v>
      </c>
      <c r="F123" s="210">
        <f>'A-7 (Act. RTO Directed Proj)'!H163+'A-7 (Act. RTO Directed Proj)'!I162</f>
        <v>0</v>
      </c>
      <c r="G123" s="210">
        <f>E123-F123</f>
        <v>0</v>
      </c>
      <c r="H123" s="791">
        <f>IF(K$15=0,0,K$8/K$15)</f>
        <v>1.7922999999999998E-2</v>
      </c>
      <c r="I123" s="210">
        <f>ROUND(E123*H123*1.5,0)</f>
        <v>0</v>
      </c>
      <c r="J123" s="210">
        <f>MAX(E123-F123-I123,0)</f>
        <v>0</v>
      </c>
      <c r="K123" s="210">
        <f>ROUND(J123*$K$27,0)</f>
        <v>0</v>
      </c>
      <c r="L123" s="210">
        <f>ROUND(J123*$K$29,0)</f>
        <v>0</v>
      </c>
      <c r="M123" s="365">
        <f>+K$30</f>
        <v>9.0731045752656447E-2</v>
      </c>
      <c r="N123" s="792">
        <v>0</v>
      </c>
      <c r="O123" s="210">
        <v>0</v>
      </c>
      <c r="P123" s="210">
        <f>ROUND((M123*J123)+(M123*O123)+(N123*J123),0)</f>
        <v>0</v>
      </c>
      <c r="Q123" s="210">
        <f>ROUND((P123-(N123*J123))*I$21+(N123*J123*I$23),0)</f>
        <v>0</v>
      </c>
      <c r="R123" s="210">
        <f>I123/1.5</f>
        <v>0</v>
      </c>
      <c r="S123" s="210">
        <f>+K123+L123+P123+Q123+R123</f>
        <v>0</v>
      </c>
      <c r="T123" s="210">
        <f>ROUND(S123*K$33,0)</f>
        <v>0</v>
      </c>
      <c r="U123" s="210">
        <f>S123+T123</f>
        <v>0</v>
      </c>
      <c r="V123" s="210">
        <f>ROUND(+S123*$K$28,0)</f>
        <v>0</v>
      </c>
      <c r="W123" s="210">
        <f>U123+V123</f>
        <v>0</v>
      </c>
    </row>
    <row r="124" spans="1:23">
      <c r="A124" s="1595" t="s">
        <v>106</v>
      </c>
      <c r="B124" s="165" t="s">
        <v>692</v>
      </c>
      <c r="C124" s="165" t="s">
        <v>841</v>
      </c>
      <c r="D124" s="165"/>
      <c r="E124" s="210">
        <f>'A-7 (Act. RTO Directed Proj)'!J161</f>
        <v>0</v>
      </c>
      <c r="F124" s="210">
        <f>'A-7 (Act. RTO Directed Proj)'!K163+'A-7 (Act. RTO Directed Proj)'!L162</f>
        <v>0</v>
      </c>
      <c r="G124" s="210">
        <f>E124-F124</f>
        <v>0</v>
      </c>
      <c r="H124" s="791">
        <f>IF(K$15=0,0,K$8/K$15)</f>
        <v>1.7922999999999998E-2</v>
      </c>
      <c r="I124" s="210">
        <f>ROUND(E124*H124*1.5,0)</f>
        <v>0</v>
      </c>
      <c r="J124" s="210">
        <f>MAX(E124-F124-I124,0)</f>
        <v>0</v>
      </c>
      <c r="K124" s="210">
        <f>ROUND(J124*$K$27,0)</f>
        <v>0</v>
      </c>
      <c r="L124" s="210">
        <f>ROUND(J124*$K$29,0)</f>
        <v>0</v>
      </c>
      <c r="M124" s="365">
        <f>+K$30</f>
        <v>9.0731045752656447E-2</v>
      </c>
      <c r="N124" s="792">
        <v>0</v>
      </c>
      <c r="O124" s="210">
        <v>0</v>
      </c>
      <c r="P124" s="210">
        <f>ROUND((M124*J124)+(M124*O124)+(N124*J124),0)</f>
        <v>0</v>
      </c>
      <c r="Q124" s="210">
        <f>ROUND((P124-(N124*J124))*I$21+(N124*J124*I$23),0)</f>
        <v>0</v>
      </c>
      <c r="R124" s="210">
        <f>I124/1.5</f>
        <v>0</v>
      </c>
      <c r="S124" s="210">
        <f>+K124+L124+P124+Q124+R124</f>
        <v>0</v>
      </c>
      <c r="T124" s="210">
        <f>ROUND(S124*K$33,0)</f>
        <v>0</v>
      </c>
      <c r="U124" s="210">
        <f>S124+T124</f>
        <v>0</v>
      </c>
      <c r="V124" s="210">
        <f>ROUND(+S124*$K$28,0)</f>
        <v>0</v>
      </c>
      <c r="W124" s="210">
        <f>U124+V124</f>
        <v>0</v>
      </c>
    </row>
    <row r="125" spans="1:23">
      <c r="A125" s="1595" t="s">
        <v>106</v>
      </c>
      <c r="B125" s="165" t="s">
        <v>692</v>
      </c>
      <c r="C125" s="165"/>
      <c r="D125" s="165"/>
      <c r="E125" s="210">
        <f>'A-7 (Act. RTO Directed Proj)'!M161</f>
        <v>0</v>
      </c>
      <c r="F125" s="210">
        <f>'A-7 (Act. RTO Directed Proj)'!N163+'A-7 (Act. RTO Directed Proj)'!O162</f>
        <v>0</v>
      </c>
      <c r="G125" s="210">
        <f>E125-F125</f>
        <v>0</v>
      </c>
      <c r="H125" s="791">
        <f>IF(K$15=0,0,K$8/K$15)</f>
        <v>1.7922999999999998E-2</v>
      </c>
      <c r="I125" s="210">
        <f>ROUND(E125*H125*1.5,0)</f>
        <v>0</v>
      </c>
      <c r="J125" s="210">
        <f>MAX(E125-F125-I125,0)</f>
        <v>0</v>
      </c>
      <c r="K125" s="210">
        <f>ROUND(J125*$K$27,0)</f>
        <v>0</v>
      </c>
      <c r="L125" s="210">
        <f>ROUND(J125*$K$29,0)</f>
        <v>0</v>
      </c>
      <c r="M125" s="365">
        <f>+K$30</f>
        <v>9.0731045752656447E-2</v>
      </c>
      <c r="N125" s="792">
        <v>0</v>
      </c>
      <c r="O125" s="210">
        <v>0</v>
      </c>
      <c r="P125" s="210">
        <f>ROUND((M125*J125)+(M125*O125)+(N125*J125),0)</f>
        <v>0</v>
      </c>
      <c r="Q125" s="210">
        <f>ROUND((P125-(N125*J125))*I$21+(N125*J125*I$23),0)</f>
        <v>0</v>
      </c>
      <c r="R125" s="210">
        <f>I125/1.5</f>
        <v>0</v>
      </c>
      <c r="S125" s="210">
        <f>+K125+L125+P125+Q125+R125</f>
        <v>0</v>
      </c>
      <c r="T125" s="210">
        <f>ROUND(S125*K$33,0)</f>
        <v>0</v>
      </c>
      <c r="U125" s="210">
        <f>S125+T125</f>
        <v>0</v>
      </c>
      <c r="V125" s="210">
        <f>ROUND(+S125*$K$28,0)</f>
        <v>0</v>
      </c>
      <c r="W125" s="210">
        <f>U125+V125</f>
        <v>0</v>
      </c>
    </row>
    <row r="126" spans="1:23">
      <c r="A126" s="610"/>
      <c r="B126" s="433"/>
      <c r="C126" s="433"/>
      <c r="D126" s="433"/>
      <c r="E126" s="363"/>
      <c r="F126" s="363"/>
      <c r="G126" s="363"/>
      <c r="H126" s="430"/>
      <c r="I126" s="363"/>
      <c r="J126" s="363"/>
      <c r="K126" s="363"/>
      <c r="L126" s="363"/>
      <c r="M126" s="431"/>
      <c r="N126" s="432"/>
      <c r="O126" s="431"/>
      <c r="P126" s="363"/>
      <c r="Q126" s="363"/>
      <c r="R126" s="363"/>
      <c r="S126" s="363"/>
      <c r="T126" s="363"/>
      <c r="U126" s="363"/>
      <c r="V126" s="363"/>
      <c r="W126" s="363"/>
    </row>
    <row r="127" spans="1:23">
      <c r="A127" s="360" t="s">
        <v>922</v>
      </c>
      <c r="B127" s="1240" t="s">
        <v>1134</v>
      </c>
      <c r="E127" s="89">
        <f>SUM(E123:E126)</f>
        <v>0</v>
      </c>
      <c r="F127" s="89">
        <f t="shared" ref="F127:W127" si="52">SUM(F123:F126)</f>
        <v>0</v>
      </c>
      <c r="G127" s="89">
        <f t="shared" si="52"/>
        <v>0</v>
      </c>
      <c r="H127" s="89"/>
      <c r="I127" s="89">
        <f t="shared" si="52"/>
        <v>0</v>
      </c>
      <c r="J127" s="89">
        <f t="shared" si="52"/>
        <v>0</v>
      </c>
      <c r="K127" s="89">
        <f t="shared" si="52"/>
        <v>0</v>
      </c>
      <c r="L127" s="89">
        <f t="shared" si="52"/>
        <v>0</v>
      </c>
      <c r="M127" s="89"/>
      <c r="N127" s="89"/>
      <c r="O127" s="89">
        <f t="shared" si="52"/>
        <v>0</v>
      </c>
      <c r="P127" s="89">
        <f t="shared" si="52"/>
        <v>0</v>
      </c>
      <c r="Q127" s="89">
        <f t="shared" si="52"/>
        <v>0</v>
      </c>
      <c r="R127" s="89">
        <f t="shared" si="52"/>
        <v>0</v>
      </c>
      <c r="S127" s="89">
        <f t="shared" si="52"/>
        <v>0</v>
      </c>
      <c r="T127" s="89">
        <f t="shared" si="52"/>
        <v>0</v>
      </c>
      <c r="U127" s="89">
        <f t="shared" si="52"/>
        <v>0</v>
      </c>
      <c r="V127" s="89">
        <f t="shared" si="52"/>
        <v>0</v>
      </c>
      <c r="W127" s="89">
        <f t="shared" si="52"/>
        <v>0</v>
      </c>
    </row>
    <row r="128" spans="1:23">
      <c r="A128" s="360"/>
      <c r="B128" s="135"/>
      <c r="E128" s="89"/>
      <c r="F128" s="89"/>
      <c r="G128" s="89"/>
      <c r="H128" s="358"/>
      <c r="I128" s="89"/>
      <c r="J128" s="89"/>
      <c r="K128" s="89"/>
      <c r="L128" s="89"/>
      <c r="M128" s="348"/>
      <c r="N128" s="359"/>
      <c r="O128" s="348"/>
      <c r="P128" s="89"/>
      <c r="Q128" s="89"/>
      <c r="R128" s="89"/>
      <c r="S128" s="89"/>
      <c r="T128" s="89"/>
      <c r="U128" s="89"/>
      <c r="V128" s="89"/>
      <c r="W128" s="89"/>
    </row>
    <row r="129" spans="1:23">
      <c r="A129" s="360"/>
      <c r="B129" s="135"/>
      <c r="E129" s="89"/>
      <c r="F129" s="89"/>
      <c r="G129" s="89"/>
      <c r="H129" s="358"/>
      <c r="I129" s="89"/>
      <c r="J129" s="89"/>
      <c r="K129" s="89"/>
      <c r="L129" s="89"/>
      <c r="M129" s="348"/>
      <c r="N129" s="359"/>
      <c r="O129" s="348"/>
      <c r="P129" s="89"/>
      <c r="Q129" s="89"/>
      <c r="R129" s="89"/>
      <c r="S129" s="89"/>
      <c r="T129" s="89"/>
      <c r="U129" s="89"/>
      <c r="V129" s="89"/>
      <c r="W129" s="89"/>
    </row>
    <row r="130" spans="1:23">
      <c r="A130" s="360"/>
      <c r="B130" s="351"/>
      <c r="C130" s="351"/>
      <c r="D130" s="351"/>
      <c r="E130" s="352" t="s">
        <v>267</v>
      </c>
      <c r="F130" s="352" t="s">
        <v>899</v>
      </c>
      <c r="G130" s="352" t="s">
        <v>1548</v>
      </c>
      <c r="H130" s="352" t="s">
        <v>1584</v>
      </c>
      <c r="I130" s="352" t="s">
        <v>148</v>
      </c>
      <c r="J130" s="352" t="s">
        <v>1549</v>
      </c>
      <c r="K130" s="352" t="s">
        <v>477</v>
      </c>
      <c r="L130" s="352" t="s">
        <v>1028</v>
      </c>
      <c r="M130" s="352" t="s">
        <v>1347</v>
      </c>
      <c r="N130" s="352" t="s">
        <v>982</v>
      </c>
      <c r="O130" s="352" t="s">
        <v>137</v>
      </c>
      <c r="P130" s="352" t="s">
        <v>54</v>
      </c>
      <c r="Q130" s="352" t="s">
        <v>1030</v>
      </c>
      <c r="R130" s="352" t="s">
        <v>465</v>
      </c>
      <c r="S130" s="352" t="s">
        <v>1201</v>
      </c>
      <c r="T130" s="352" t="s">
        <v>920</v>
      </c>
      <c r="U130" s="352" t="s">
        <v>513</v>
      </c>
      <c r="V130" s="352" t="s">
        <v>513</v>
      </c>
      <c r="W130" s="352" t="s">
        <v>430</v>
      </c>
    </row>
    <row r="131" spans="1:23" ht="13.5" thickBot="1">
      <c r="A131" s="360"/>
      <c r="B131" s="353" t="s">
        <v>1147</v>
      </c>
      <c r="C131" s="353" t="s">
        <v>266</v>
      </c>
      <c r="D131" s="343"/>
      <c r="E131" s="354" t="s">
        <v>268</v>
      </c>
      <c r="F131" s="354" t="s">
        <v>1584</v>
      </c>
      <c r="G131" s="354" t="s">
        <v>1583</v>
      </c>
      <c r="H131" s="354" t="s">
        <v>1181</v>
      </c>
      <c r="I131" s="354" t="s">
        <v>515</v>
      </c>
      <c r="J131" s="354" t="s">
        <v>1583</v>
      </c>
      <c r="K131" s="354" t="s">
        <v>1581</v>
      </c>
      <c r="L131" s="354" t="s">
        <v>1029</v>
      </c>
      <c r="M131" s="354" t="s">
        <v>1579</v>
      </c>
      <c r="N131" s="354" t="s">
        <v>1166</v>
      </c>
      <c r="O131" s="354" t="s">
        <v>1534</v>
      </c>
      <c r="P131" s="354" t="s">
        <v>1579</v>
      </c>
      <c r="Q131" s="354" t="s">
        <v>1029</v>
      </c>
      <c r="R131" s="354" t="s">
        <v>685</v>
      </c>
      <c r="S131" s="354" t="s">
        <v>827</v>
      </c>
      <c r="T131" s="354" t="s">
        <v>1624</v>
      </c>
      <c r="U131" s="354" t="s">
        <v>1739</v>
      </c>
      <c r="V131" s="354" t="s">
        <v>512</v>
      </c>
      <c r="W131" s="354" t="s">
        <v>1739</v>
      </c>
    </row>
    <row r="132" spans="1:23" ht="25.5">
      <c r="A132" s="360"/>
      <c r="B132" s="355"/>
      <c r="C132" s="351"/>
      <c r="D132" s="352"/>
      <c r="E132" s="352"/>
      <c r="F132" s="352"/>
      <c r="G132" s="352" t="s">
        <v>619</v>
      </c>
      <c r="H132" s="352"/>
      <c r="I132" s="352" t="s">
        <v>1138</v>
      </c>
      <c r="J132" s="352" t="s">
        <v>955</v>
      </c>
      <c r="K132" s="352" t="s">
        <v>1552</v>
      </c>
      <c r="L132" s="352" t="s">
        <v>956</v>
      </c>
      <c r="M132" s="352" t="s">
        <v>673</v>
      </c>
      <c r="N132" s="1836" t="s">
        <v>19</v>
      </c>
      <c r="O132" s="1836" t="s">
        <v>19</v>
      </c>
      <c r="P132" s="1837" t="s">
        <v>20</v>
      </c>
      <c r="Q132" s="1836" t="s">
        <v>1139</v>
      </c>
      <c r="R132" s="352" t="s">
        <v>1511</v>
      </c>
      <c r="S132" s="352" t="s">
        <v>463</v>
      </c>
      <c r="T132" s="352" t="s">
        <v>1761</v>
      </c>
      <c r="U132" s="352" t="s">
        <v>829</v>
      </c>
      <c r="V132" s="352" t="s">
        <v>1761</v>
      </c>
      <c r="W132" s="352" t="s">
        <v>464</v>
      </c>
    </row>
    <row r="133" spans="1:23">
      <c r="A133" s="350"/>
      <c r="B133" s="1933" t="s">
        <v>1372</v>
      </c>
      <c r="C133" s="1934"/>
      <c r="D133" s="1249"/>
      <c r="E133" s="89"/>
      <c r="F133" s="89"/>
      <c r="G133" s="89"/>
      <c r="H133" s="89"/>
      <c r="I133" s="347"/>
      <c r="J133" s="89"/>
      <c r="K133" s="89"/>
      <c r="L133" s="366"/>
      <c r="M133" s="89"/>
      <c r="N133" s="359"/>
      <c r="O133" s="89"/>
      <c r="Q133" s="1247"/>
      <c r="R133" s="89"/>
      <c r="S133" s="89"/>
      <c r="T133" s="89"/>
      <c r="U133" s="347"/>
      <c r="V133" s="89"/>
      <c r="W133" s="347"/>
    </row>
    <row r="134" spans="1:23">
      <c r="A134" s="1595" t="s">
        <v>106</v>
      </c>
      <c r="B134" s="165" t="s">
        <v>692</v>
      </c>
      <c r="C134" s="165" t="s">
        <v>840</v>
      </c>
      <c r="D134" s="357"/>
      <c r="E134" s="210">
        <f>'P-4 (Proj. RTO Directed)'!G126</f>
        <v>0</v>
      </c>
      <c r="F134" s="798">
        <v>0</v>
      </c>
      <c r="G134" s="210">
        <f>E134-F134</f>
        <v>0</v>
      </c>
      <c r="H134" s="792">
        <v>0</v>
      </c>
      <c r="I134" s="210">
        <f>'P-4 (Proj. RTO Directed)'!H127</f>
        <v>0</v>
      </c>
      <c r="J134" s="210">
        <f>MAX(E134-F134-I134,0)</f>
        <v>0</v>
      </c>
      <c r="K134" s="210">
        <f>ROUND(J134*$K$27,0)</f>
        <v>0</v>
      </c>
      <c r="L134" s="210">
        <f>ROUND(J134*$K$29,0)</f>
        <v>0</v>
      </c>
      <c r="M134" s="365">
        <f>+K$30</f>
        <v>9.0731045752656447E-2</v>
      </c>
      <c r="N134" s="792">
        <v>0</v>
      </c>
      <c r="O134" s="210">
        <v>0</v>
      </c>
      <c r="P134" s="210">
        <f>ROUND((M134*J134)+(M134*O134)+(N134*J134),0)</f>
        <v>0</v>
      </c>
      <c r="Q134" s="210">
        <f>ROUND((P134-(N134*J134))*I$21+(N134*J134*I$23),0)</f>
        <v>0</v>
      </c>
      <c r="R134" s="210">
        <f>'P-4 (Proj. RTO Directed)'!H127</f>
        <v>0</v>
      </c>
      <c r="S134" s="210">
        <f>K134+L134+P134+Q134+R134</f>
        <v>0</v>
      </c>
      <c r="T134" s="210">
        <v>0</v>
      </c>
      <c r="U134" s="210">
        <f>S134+T134</f>
        <v>0</v>
      </c>
      <c r="V134" s="210">
        <v>0</v>
      </c>
      <c r="W134" s="210">
        <f>U134+V134</f>
        <v>0</v>
      </c>
    </row>
    <row r="135" spans="1:23">
      <c r="A135" s="1595" t="s">
        <v>106</v>
      </c>
      <c r="B135" s="165" t="s">
        <v>692</v>
      </c>
      <c r="C135" s="165" t="s">
        <v>841</v>
      </c>
      <c r="D135" s="357"/>
      <c r="E135" s="210">
        <f>'P-4 (Proj. RTO Directed)'!J126</f>
        <v>0</v>
      </c>
      <c r="F135" s="798">
        <v>0</v>
      </c>
      <c r="G135" s="210">
        <f>E135-F135</f>
        <v>0</v>
      </c>
      <c r="H135" s="792">
        <v>0</v>
      </c>
      <c r="I135" s="210">
        <f>'P-4 (Proj. RTO Directed)'!K127</f>
        <v>0</v>
      </c>
      <c r="J135" s="210">
        <f>MAX(E135-F135-I135,0)</f>
        <v>0</v>
      </c>
      <c r="K135" s="210">
        <f>ROUND(J135*$K$27,0)</f>
        <v>0</v>
      </c>
      <c r="L135" s="210">
        <f>ROUND(J135*$K$29,0)</f>
        <v>0</v>
      </c>
      <c r="M135" s="365">
        <f>+K$30</f>
        <v>9.0731045752656447E-2</v>
      </c>
      <c r="N135" s="792">
        <v>0</v>
      </c>
      <c r="O135" s="210">
        <v>0</v>
      </c>
      <c r="P135" s="210">
        <f>ROUND((M135*J135)+(M135*O135)+(N135*J135),0)</f>
        <v>0</v>
      </c>
      <c r="Q135" s="210">
        <f>ROUND((P135-(N135*J135))*I$21+(N135*J135*I$23),0)</f>
        <v>0</v>
      </c>
      <c r="R135" s="210">
        <f>'P-4 (Proj. RTO Directed)'!K127</f>
        <v>0</v>
      </c>
      <c r="S135" s="210">
        <f>K135+L135+P135+Q135+R135</f>
        <v>0</v>
      </c>
      <c r="T135" s="210">
        <v>0</v>
      </c>
      <c r="U135" s="210">
        <f>S135+T135</f>
        <v>0</v>
      </c>
      <c r="V135" s="210">
        <v>0</v>
      </c>
      <c r="W135" s="210">
        <f>U135+V135</f>
        <v>0</v>
      </c>
    </row>
    <row r="136" spans="1:23">
      <c r="A136" s="1595" t="s">
        <v>106</v>
      </c>
      <c r="B136" s="165"/>
      <c r="C136" s="357"/>
      <c r="D136" s="357"/>
      <c r="E136" s="210">
        <f>'P-4 (Proj. RTO Directed)'!M126</f>
        <v>0</v>
      </c>
      <c r="F136" s="798">
        <v>0</v>
      </c>
      <c r="G136" s="210">
        <f>E136-F136</f>
        <v>0</v>
      </c>
      <c r="H136" s="792">
        <v>0</v>
      </c>
      <c r="I136" s="210">
        <f>'P-4 (Proj. RTO Directed)'!N127</f>
        <v>0</v>
      </c>
      <c r="J136" s="210">
        <f>MAX(E136-F136-I136,0)</f>
        <v>0</v>
      </c>
      <c r="K136" s="210">
        <f>ROUND(J136*$K$27,0)</f>
        <v>0</v>
      </c>
      <c r="L136" s="210">
        <f>ROUND(J136*$K$29,0)</f>
        <v>0</v>
      </c>
      <c r="M136" s="365">
        <f>+K$30</f>
        <v>9.0731045752656447E-2</v>
      </c>
      <c r="N136" s="792">
        <v>0</v>
      </c>
      <c r="O136" s="210">
        <v>0</v>
      </c>
      <c r="P136" s="210">
        <f>ROUND((M136*J136)+(M136*O136)+(N136*J136),0)</f>
        <v>0</v>
      </c>
      <c r="Q136" s="210">
        <f>ROUND((P136-(N136*J136))*I$21+(N136*J136*I$23),0)</f>
        <v>0</v>
      </c>
      <c r="R136" s="210">
        <f>'P-4 (Proj. RTO Directed)'!N127</f>
        <v>0</v>
      </c>
      <c r="S136" s="210">
        <f>K136+L136+P136+Q136+R136</f>
        <v>0</v>
      </c>
      <c r="T136" s="210">
        <v>0</v>
      </c>
      <c r="U136" s="210">
        <f>S136+T136</f>
        <v>0</v>
      </c>
      <c r="V136" s="210">
        <v>0</v>
      </c>
      <c r="W136" s="210">
        <f>U136+V136</f>
        <v>0</v>
      </c>
    </row>
    <row r="137" spans="1:23">
      <c r="A137" s="1248"/>
      <c r="B137" s="433"/>
      <c r="C137" s="433"/>
      <c r="D137" s="363"/>
      <c r="E137" s="363"/>
      <c r="F137" s="363"/>
      <c r="G137" s="363"/>
      <c r="H137" s="363"/>
      <c r="I137" s="363"/>
      <c r="J137" s="363"/>
      <c r="K137" s="363"/>
      <c r="L137" s="434"/>
      <c r="M137" s="363"/>
      <c r="N137" s="363"/>
      <c r="O137" s="363"/>
      <c r="P137" s="363"/>
      <c r="Q137" s="363"/>
      <c r="R137" s="363"/>
      <c r="S137" s="367"/>
      <c r="T137" s="367"/>
      <c r="U137" s="367"/>
      <c r="V137" s="367"/>
      <c r="W137" s="367"/>
    </row>
    <row r="138" spans="1:23">
      <c r="A138" s="350" t="s">
        <v>923</v>
      </c>
      <c r="B138" s="1240" t="s">
        <v>1135</v>
      </c>
      <c r="D138" s="89"/>
      <c r="E138" s="89">
        <f>SUM(E134:E137)</f>
        <v>0</v>
      </c>
      <c r="F138" s="89">
        <f t="shared" ref="F138:W138" si="53">SUM(F134:F137)</f>
        <v>0</v>
      </c>
      <c r="G138" s="89">
        <f t="shared" si="53"/>
        <v>0</v>
      </c>
      <c r="H138" s="89"/>
      <c r="I138" s="89">
        <f t="shared" si="53"/>
        <v>0</v>
      </c>
      <c r="J138" s="89">
        <f t="shared" si="53"/>
        <v>0</v>
      </c>
      <c r="K138" s="89">
        <f t="shared" si="53"/>
        <v>0</v>
      </c>
      <c r="L138" s="89">
        <f t="shared" si="53"/>
        <v>0</v>
      </c>
      <c r="M138" s="89"/>
      <c r="N138" s="89"/>
      <c r="O138" s="89">
        <f t="shared" si="53"/>
        <v>0</v>
      </c>
      <c r="P138" s="89">
        <f t="shared" si="53"/>
        <v>0</v>
      </c>
      <c r="Q138" s="89">
        <f t="shared" si="53"/>
        <v>0</v>
      </c>
      <c r="R138" s="89">
        <f t="shared" si="53"/>
        <v>0</v>
      </c>
      <c r="S138" s="89">
        <f t="shared" si="53"/>
        <v>0</v>
      </c>
      <c r="T138" s="89">
        <f t="shared" si="53"/>
        <v>0</v>
      </c>
      <c r="U138" s="89">
        <f t="shared" si="53"/>
        <v>0</v>
      </c>
      <c r="V138" s="89">
        <f t="shared" si="53"/>
        <v>0</v>
      </c>
      <c r="W138" s="89">
        <f t="shared" si="53"/>
        <v>0</v>
      </c>
    </row>
    <row r="139" spans="1:23">
      <c r="A139" s="350"/>
      <c r="D139" s="89"/>
      <c r="E139" s="89"/>
      <c r="F139" s="89"/>
      <c r="G139" s="89"/>
      <c r="H139" s="89"/>
      <c r="I139" s="89"/>
      <c r="J139" s="89"/>
      <c r="K139" s="89"/>
      <c r="L139" s="89"/>
      <c r="M139" s="89"/>
      <c r="N139" s="89"/>
      <c r="O139" s="89"/>
      <c r="P139" s="89"/>
      <c r="Q139" s="89"/>
      <c r="R139" s="89"/>
      <c r="S139" s="89"/>
      <c r="T139" s="89"/>
      <c r="U139" s="89"/>
      <c r="V139" s="89"/>
      <c r="W139" s="89"/>
    </row>
    <row r="140" spans="1:23" ht="13.5" thickBot="1">
      <c r="A140" s="1243" t="s">
        <v>969</v>
      </c>
      <c r="B140" s="1242" t="s">
        <v>1136</v>
      </c>
      <c r="C140" s="475"/>
      <c r="D140" s="476"/>
      <c r="E140" s="476">
        <f>E127+E138</f>
        <v>0</v>
      </c>
      <c r="F140" s="476">
        <f t="shared" ref="F140:W140" si="54">F127+F138</f>
        <v>0</v>
      </c>
      <c r="G140" s="476">
        <f t="shared" si="54"/>
        <v>0</v>
      </c>
      <c r="H140" s="476"/>
      <c r="I140" s="476">
        <f t="shared" si="54"/>
        <v>0</v>
      </c>
      <c r="J140" s="476">
        <f t="shared" si="54"/>
        <v>0</v>
      </c>
      <c r="K140" s="476">
        <f t="shared" si="54"/>
        <v>0</v>
      </c>
      <c r="L140" s="476">
        <f t="shared" si="54"/>
        <v>0</v>
      </c>
      <c r="M140" s="476"/>
      <c r="N140" s="476"/>
      <c r="O140" s="476">
        <f t="shared" si="54"/>
        <v>0</v>
      </c>
      <c r="P140" s="476">
        <f t="shared" si="54"/>
        <v>0</v>
      </c>
      <c r="Q140" s="476">
        <f t="shared" si="54"/>
        <v>0</v>
      </c>
      <c r="R140" s="476">
        <f t="shared" si="54"/>
        <v>0</v>
      </c>
      <c r="S140" s="476">
        <f t="shared" si="54"/>
        <v>0</v>
      </c>
      <c r="T140" s="476">
        <f t="shared" si="54"/>
        <v>0</v>
      </c>
      <c r="U140" s="476">
        <f t="shared" si="54"/>
        <v>0</v>
      </c>
      <c r="V140" s="476">
        <f t="shared" si="54"/>
        <v>0</v>
      </c>
      <c r="W140" s="476">
        <f t="shared" si="54"/>
        <v>0</v>
      </c>
    </row>
    <row r="141" spans="1:23" ht="15.75" thickTop="1">
      <c r="B141" s="485"/>
      <c r="W141" s="2129" t="str">
        <f>IF(AND('Projected Net Rev Req'!E54-W140&lt;2,'Projected Net Rev Req'!E54-W140&gt;-2),"","Total not equal to Projected Net Rev Req:  Check True-up and Credits for Projected Projects")</f>
        <v/>
      </c>
    </row>
    <row r="142" spans="1:23" ht="18">
      <c r="B142" s="741" t="s">
        <v>727</v>
      </c>
      <c r="Q142" s="341"/>
      <c r="R142" s="341"/>
    </row>
    <row r="143" spans="1:23" ht="15.75">
      <c r="B143" s="742"/>
    </row>
    <row r="144" spans="1:23" ht="15.75">
      <c r="B144" s="143" t="str">
        <f>B111</f>
        <v>For the 12 months ended - December 31, 2014</v>
      </c>
      <c r="K144" s="2193" t="s">
        <v>194</v>
      </c>
      <c r="L144" s="2193"/>
      <c r="M144" s="1098"/>
      <c r="U144" s="2193" t="s">
        <v>195</v>
      </c>
      <c r="V144" s="2193"/>
    </row>
    <row r="145" spans="1:23" ht="15.75">
      <c r="M145" s="1099"/>
      <c r="V145" s="1099"/>
    </row>
    <row r="146" spans="1:23">
      <c r="B146" s="1249" t="s">
        <v>1364</v>
      </c>
      <c r="C146" s="1249"/>
    </row>
    <row r="147" spans="1:23" ht="15">
      <c r="B147" s="1249" t="s">
        <v>1365</v>
      </c>
      <c r="C147" s="1249"/>
      <c r="M147" s="341" t="s">
        <v>1245</v>
      </c>
      <c r="V147" s="341" t="s">
        <v>1244</v>
      </c>
    </row>
    <row r="148" spans="1:23">
      <c r="B148" s="88" t="s">
        <v>935</v>
      </c>
    </row>
    <row r="149" spans="1:23">
      <c r="B149" s="88" t="s">
        <v>854</v>
      </c>
    </row>
    <row r="151" spans="1:23">
      <c r="B151" s="350"/>
      <c r="C151" s="350"/>
      <c r="D151" s="350"/>
      <c r="E151" s="607" t="s">
        <v>1529</v>
      </c>
      <c r="F151" s="607" t="s">
        <v>1527</v>
      </c>
      <c r="G151" s="607" t="s">
        <v>1528</v>
      </c>
      <c r="H151" s="608" t="s">
        <v>1167</v>
      </c>
      <c r="I151" s="608" t="s">
        <v>1168</v>
      </c>
      <c r="J151" s="607" t="s">
        <v>1169</v>
      </c>
      <c r="K151" s="608" t="s">
        <v>1170</v>
      </c>
      <c r="L151" s="607" t="s">
        <v>1171</v>
      </c>
      <c r="M151" s="607" t="s">
        <v>1172</v>
      </c>
      <c r="N151" s="607" t="s">
        <v>1173</v>
      </c>
      <c r="O151" s="607" t="s">
        <v>1174</v>
      </c>
      <c r="P151" s="607" t="s">
        <v>1175</v>
      </c>
      <c r="Q151" s="607" t="s">
        <v>1176</v>
      </c>
      <c r="R151" s="607" t="s">
        <v>1177</v>
      </c>
      <c r="S151" s="607" t="s">
        <v>1551</v>
      </c>
      <c r="T151" s="607" t="s">
        <v>921</v>
      </c>
      <c r="U151" s="607" t="s">
        <v>828</v>
      </c>
      <c r="V151" s="607" t="s">
        <v>429</v>
      </c>
      <c r="W151" s="607" t="s">
        <v>516</v>
      </c>
    </row>
    <row r="152" spans="1:23">
      <c r="B152" s="351"/>
      <c r="C152" s="351"/>
      <c r="D152" s="351"/>
      <c r="E152" s="352" t="s">
        <v>267</v>
      </c>
      <c r="F152" s="352" t="s">
        <v>269</v>
      </c>
      <c r="G152" s="352" t="s">
        <v>1548</v>
      </c>
      <c r="H152" s="352" t="s">
        <v>1584</v>
      </c>
      <c r="I152" s="352" t="s">
        <v>148</v>
      </c>
      <c r="J152" s="352" t="s">
        <v>1549</v>
      </c>
      <c r="K152" s="352" t="s">
        <v>477</v>
      </c>
      <c r="L152" s="352" t="s">
        <v>1028</v>
      </c>
      <c r="M152" s="352" t="s">
        <v>1347</v>
      </c>
      <c r="N152" s="352" t="s">
        <v>982</v>
      </c>
      <c r="O152" s="352" t="s">
        <v>137</v>
      </c>
      <c r="P152" s="352" t="s">
        <v>54</v>
      </c>
      <c r="Q152" s="352" t="s">
        <v>1030</v>
      </c>
      <c r="R152" s="352" t="s">
        <v>465</v>
      </c>
      <c r="S152" s="352" t="s">
        <v>1201</v>
      </c>
      <c r="T152" s="352" t="s">
        <v>920</v>
      </c>
      <c r="U152" s="352" t="s">
        <v>728</v>
      </c>
      <c r="V152" s="352" t="s">
        <v>513</v>
      </c>
      <c r="W152" s="352" t="s">
        <v>430</v>
      </c>
    </row>
    <row r="153" spans="1:23" ht="13.5" thickBot="1">
      <c r="B153" s="353" t="s">
        <v>1147</v>
      </c>
      <c r="C153" s="353" t="s">
        <v>266</v>
      </c>
      <c r="D153" s="343"/>
      <c r="E153" s="354" t="s">
        <v>268</v>
      </c>
      <c r="F153" s="354" t="s">
        <v>1584</v>
      </c>
      <c r="G153" s="354" t="s">
        <v>1583</v>
      </c>
      <c r="H153" s="354" t="s">
        <v>1181</v>
      </c>
      <c r="I153" s="354" t="s">
        <v>515</v>
      </c>
      <c r="J153" s="354" t="s">
        <v>1583</v>
      </c>
      <c r="K153" s="354" t="s">
        <v>1581</v>
      </c>
      <c r="L153" s="354" t="s">
        <v>1029</v>
      </c>
      <c r="M153" s="354" t="s">
        <v>1579</v>
      </c>
      <c r="N153" s="354" t="s">
        <v>1166</v>
      </c>
      <c r="O153" s="354" t="s">
        <v>1534</v>
      </c>
      <c r="P153" s="354" t="s">
        <v>1579</v>
      </c>
      <c r="Q153" s="354" t="s">
        <v>1029</v>
      </c>
      <c r="R153" s="354" t="s">
        <v>685</v>
      </c>
      <c r="S153" s="354" t="s">
        <v>827</v>
      </c>
      <c r="T153" s="354" t="s">
        <v>1624</v>
      </c>
      <c r="U153" s="354" t="s">
        <v>1739</v>
      </c>
      <c r="V153" s="354" t="s">
        <v>512</v>
      </c>
      <c r="W153" s="354" t="s">
        <v>1739</v>
      </c>
    </row>
    <row r="154" spans="1:23" ht="25.5">
      <c r="B154" s="355"/>
      <c r="C154" s="351"/>
      <c r="D154" s="352"/>
      <c r="E154" s="352"/>
      <c r="F154" s="352"/>
      <c r="G154" s="352" t="s">
        <v>619</v>
      </c>
      <c r="H154" s="352" t="s">
        <v>952</v>
      </c>
      <c r="I154" s="1835" t="s">
        <v>7</v>
      </c>
      <c r="J154" s="352" t="s">
        <v>1550</v>
      </c>
      <c r="K154" s="352" t="s">
        <v>1552</v>
      </c>
      <c r="L154" s="352" t="s">
        <v>956</v>
      </c>
      <c r="M154" s="352" t="s">
        <v>673</v>
      </c>
      <c r="N154" s="1836" t="s">
        <v>19</v>
      </c>
      <c r="O154" s="1836" t="s">
        <v>19</v>
      </c>
      <c r="P154" s="1837" t="s">
        <v>20</v>
      </c>
      <c r="Q154" s="1836" t="s">
        <v>1139</v>
      </c>
      <c r="R154" s="352" t="s">
        <v>6</v>
      </c>
      <c r="S154" s="352" t="s">
        <v>463</v>
      </c>
      <c r="T154" s="352" t="s">
        <v>1762</v>
      </c>
      <c r="U154" s="352" t="s">
        <v>829</v>
      </c>
      <c r="V154" s="352" t="s">
        <v>1763</v>
      </c>
      <c r="W154" s="352" t="s">
        <v>464</v>
      </c>
    </row>
    <row r="155" spans="1:23">
      <c r="B155" s="356" t="s">
        <v>1371</v>
      </c>
      <c r="N155" s="1246"/>
      <c r="O155" s="1246"/>
      <c r="P155" s="1246"/>
      <c r="Q155" s="1247"/>
    </row>
    <row r="156" spans="1:23">
      <c r="A156" s="1595" t="s">
        <v>106</v>
      </c>
      <c r="B156" s="165" t="s">
        <v>692</v>
      </c>
      <c r="C156" s="165" t="s">
        <v>840</v>
      </c>
      <c r="D156" s="357"/>
      <c r="E156" s="210">
        <f>'A-7 (Act. RTO Directed Proj)'!G212</f>
        <v>0</v>
      </c>
      <c r="F156" s="210">
        <f>'A-7 (Act. RTO Directed Proj)'!H214+'A-7 (Act. RTO Directed Proj)'!I213</f>
        <v>0</v>
      </c>
      <c r="G156" s="210">
        <f>E156-F156</f>
        <v>0</v>
      </c>
      <c r="H156" s="791">
        <f>IF(L$15=0,0,L$8/L$15)</f>
        <v>1.7922999999999998E-2</v>
      </c>
      <c r="I156" s="210">
        <f>ROUND(E156*H156*1.5,0)</f>
        <v>0</v>
      </c>
      <c r="J156" s="210">
        <f>MAX(E156-F156-I156,0)</f>
        <v>0</v>
      </c>
      <c r="K156" s="210">
        <f>ROUND(J156*$L$27,0)</f>
        <v>0</v>
      </c>
      <c r="L156" s="210">
        <f>ROUND(J156*$L$29,0)</f>
        <v>0</v>
      </c>
      <c r="M156" s="365">
        <f>+L$30</f>
        <v>9.0731045752656447E-2</v>
      </c>
      <c r="N156" s="792">
        <v>0</v>
      </c>
      <c r="O156" s="210">
        <v>0</v>
      </c>
      <c r="P156" s="210">
        <f>ROUND((M156*J156)+(M156*O156)+(N156*J156),0)</f>
        <v>0</v>
      </c>
      <c r="Q156" s="210">
        <f>ROUND((P156-(N156*J156))*I$21+(N156*J156*I$23),0)</f>
        <v>0</v>
      </c>
      <c r="R156" s="210">
        <f>I156/1.5</f>
        <v>0</v>
      </c>
      <c r="S156" s="210">
        <f>+K156+L156+P156+Q156+R156</f>
        <v>0</v>
      </c>
      <c r="T156" s="210">
        <f>ROUND(S156*L$33,0)</f>
        <v>0</v>
      </c>
      <c r="U156" s="210">
        <f>S156+T156</f>
        <v>0</v>
      </c>
      <c r="V156" s="210">
        <f>ROUND(+S156*$L$28,0)</f>
        <v>0</v>
      </c>
      <c r="W156" s="210">
        <f>U156+V156</f>
        <v>0</v>
      </c>
    </row>
    <row r="157" spans="1:23">
      <c r="A157" s="1595" t="s">
        <v>106</v>
      </c>
      <c r="B157" s="165" t="s">
        <v>692</v>
      </c>
      <c r="C157" s="165" t="s">
        <v>841</v>
      </c>
      <c r="D157" s="165"/>
      <c r="E157" s="210">
        <f>'A-7 (Act. RTO Directed Proj)'!J212</f>
        <v>0</v>
      </c>
      <c r="F157" s="210">
        <f>'A-7 (Act. RTO Directed Proj)'!K214+'A-7 (Act. RTO Directed Proj)'!L213</f>
        <v>0</v>
      </c>
      <c r="G157" s="210">
        <f>E157-F157</f>
        <v>0</v>
      </c>
      <c r="H157" s="791">
        <f>IF(L$15=0,0,L$8/L$15)</f>
        <v>1.7922999999999998E-2</v>
      </c>
      <c r="I157" s="210">
        <f>ROUND(E157*H157*1.5,0)</f>
        <v>0</v>
      </c>
      <c r="J157" s="210">
        <f>MAX(E157-F157-I157,0)</f>
        <v>0</v>
      </c>
      <c r="K157" s="210">
        <f>ROUND(J157*$L$27,0)</f>
        <v>0</v>
      </c>
      <c r="L157" s="210">
        <f>ROUND(J157*$L$29,0)</f>
        <v>0</v>
      </c>
      <c r="M157" s="365">
        <f>+L$30</f>
        <v>9.0731045752656447E-2</v>
      </c>
      <c r="N157" s="792">
        <v>0</v>
      </c>
      <c r="O157" s="210">
        <v>0</v>
      </c>
      <c r="P157" s="210">
        <f>ROUND((M157*J157)+(M157*O157)+(N157*J157),0)</f>
        <v>0</v>
      </c>
      <c r="Q157" s="210">
        <f>ROUND((P157-(N157*J157))*I$21+(N157*J157*I$23),0)</f>
        <v>0</v>
      </c>
      <c r="R157" s="210">
        <f>I157/1.5</f>
        <v>0</v>
      </c>
      <c r="S157" s="210">
        <f>+K157+L157+P157+Q157+R157</f>
        <v>0</v>
      </c>
      <c r="T157" s="210">
        <f>ROUND(S157*L$33,0)</f>
        <v>0</v>
      </c>
      <c r="U157" s="210">
        <f>S157+T157</f>
        <v>0</v>
      </c>
      <c r="V157" s="210">
        <f>ROUND(+S157*$L$28,0)</f>
        <v>0</v>
      </c>
      <c r="W157" s="210">
        <f>U157+V157</f>
        <v>0</v>
      </c>
    </row>
    <row r="158" spans="1:23">
      <c r="A158" s="1595" t="s">
        <v>106</v>
      </c>
      <c r="B158" s="165" t="s">
        <v>692</v>
      </c>
      <c r="C158" s="165"/>
      <c r="D158" s="165"/>
      <c r="E158" s="210">
        <f>'A-7 (Act. RTO Directed Proj)'!M212</f>
        <v>0</v>
      </c>
      <c r="F158" s="210">
        <f>'A-7 (Act. RTO Directed Proj)'!N214+'A-7 (Act. RTO Directed Proj)'!O213</f>
        <v>0</v>
      </c>
      <c r="G158" s="210">
        <f>E158-F158</f>
        <v>0</v>
      </c>
      <c r="H158" s="791">
        <f>IF(L$15=0,0,L$8/L$15)</f>
        <v>1.7922999999999998E-2</v>
      </c>
      <c r="I158" s="210">
        <f>ROUND(E158*H158*1.5,0)</f>
        <v>0</v>
      </c>
      <c r="J158" s="210">
        <f>MAX(E158-F158-I158,0)</f>
        <v>0</v>
      </c>
      <c r="K158" s="210">
        <f>ROUND(J158*$L$27,0)</f>
        <v>0</v>
      </c>
      <c r="L158" s="210">
        <f>ROUND(J158*$L$29,0)</f>
        <v>0</v>
      </c>
      <c r="M158" s="365">
        <f>+L$30</f>
        <v>9.0731045752656447E-2</v>
      </c>
      <c r="N158" s="792">
        <v>0</v>
      </c>
      <c r="O158" s="210">
        <v>0</v>
      </c>
      <c r="P158" s="210">
        <f>ROUND((M158*J158)+(M158*O158)+(N158*J158),0)</f>
        <v>0</v>
      </c>
      <c r="Q158" s="210">
        <f>ROUND((P158-(N158*J158))*I$21+(N158*J158*I$23),0)</f>
        <v>0</v>
      </c>
      <c r="R158" s="210">
        <f>I158/1.5</f>
        <v>0</v>
      </c>
      <c r="S158" s="210">
        <f>+K158+L158+P158+Q158+R158</f>
        <v>0</v>
      </c>
      <c r="T158" s="210">
        <f>ROUND(S158*L$33,0)</f>
        <v>0</v>
      </c>
      <c r="U158" s="210">
        <f>S158+T158</f>
        <v>0</v>
      </c>
      <c r="V158" s="210">
        <f>ROUND(+S158*$L$28,0)</f>
        <v>0</v>
      </c>
      <c r="W158" s="210">
        <f>U158+V158</f>
        <v>0</v>
      </c>
    </row>
    <row r="159" spans="1:23">
      <c r="A159" s="610"/>
      <c r="B159" s="433"/>
      <c r="C159" s="433"/>
      <c r="D159" s="433"/>
      <c r="E159" s="363"/>
      <c r="F159" s="363"/>
      <c r="G159" s="363"/>
      <c r="H159" s="430"/>
      <c r="I159" s="363"/>
      <c r="J159" s="363"/>
      <c r="K159" s="363"/>
      <c r="L159" s="363"/>
      <c r="M159" s="431"/>
      <c r="N159" s="432"/>
      <c r="O159" s="431"/>
      <c r="P159" s="363"/>
      <c r="Q159" s="363"/>
      <c r="R159" s="363"/>
      <c r="S159" s="363"/>
      <c r="T159" s="363"/>
      <c r="U159" s="363"/>
      <c r="V159" s="363"/>
      <c r="W159" s="363"/>
    </row>
    <row r="160" spans="1:23">
      <c r="A160" s="360" t="s">
        <v>922</v>
      </c>
      <c r="B160" s="1240" t="s">
        <v>1134</v>
      </c>
      <c r="E160" s="89">
        <f>SUM(E156:E159)</f>
        <v>0</v>
      </c>
      <c r="F160" s="89">
        <f>SUM(F156:F159)</f>
        <v>0</v>
      </c>
      <c r="G160" s="89">
        <f>SUM(G156:G159)</f>
        <v>0</v>
      </c>
      <c r="H160" s="358"/>
      <c r="I160" s="89">
        <f>SUM(I156:I159)</f>
        <v>0</v>
      </c>
      <c r="J160" s="89">
        <f>SUM(J156:J159)</f>
        <v>0</v>
      </c>
      <c r="K160" s="89">
        <f>SUM(K156:K159)</f>
        <v>0</v>
      </c>
      <c r="L160" s="89">
        <f>SUM(L156:L159)</f>
        <v>0</v>
      </c>
      <c r="M160" s="348"/>
      <c r="N160" s="89"/>
      <c r="O160" s="89"/>
      <c r="P160" s="89">
        <f t="shared" ref="P160:W160" si="55">SUM(P156:P159)</f>
        <v>0</v>
      </c>
      <c r="Q160" s="89">
        <f t="shared" si="55"/>
        <v>0</v>
      </c>
      <c r="R160" s="89">
        <f t="shared" si="55"/>
        <v>0</v>
      </c>
      <c r="S160" s="89">
        <f t="shared" si="55"/>
        <v>0</v>
      </c>
      <c r="T160" s="89">
        <f t="shared" si="55"/>
        <v>0</v>
      </c>
      <c r="U160" s="89">
        <f t="shared" si="55"/>
        <v>0</v>
      </c>
      <c r="V160" s="89">
        <f t="shared" si="55"/>
        <v>0</v>
      </c>
      <c r="W160" s="89">
        <f t="shared" si="55"/>
        <v>0</v>
      </c>
    </row>
    <row r="161" spans="1:23">
      <c r="A161" s="360"/>
      <c r="B161" s="135"/>
      <c r="E161" s="89"/>
      <c r="F161" s="89"/>
      <c r="G161" s="89"/>
      <c r="H161" s="358"/>
      <c r="I161" s="89"/>
      <c r="J161" s="89"/>
      <c r="K161" s="89"/>
      <c r="L161" s="89"/>
      <c r="M161" s="348"/>
      <c r="N161" s="359"/>
      <c r="O161" s="348"/>
      <c r="P161" s="89"/>
      <c r="Q161" s="89"/>
      <c r="R161" s="89"/>
      <c r="S161" s="89"/>
      <c r="T161" s="89"/>
      <c r="U161" s="89"/>
      <c r="V161" s="89"/>
      <c r="W161" s="89"/>
    </row>
    <row r="162" spans="1:23">
      <c r="A162" s="360"/>
      <c r="B162" s="135"/>
      <c r="E162" s="89"/>
      <c r="F162" s="89"/>
      <c r="G162" s="89"/>
      <c r="H162" s="358"/>
      <c r="I162" s="89"/>
      <c r="J162" s="89"/>
      <c r="K162" s="89"/>
      <c r="L162" s="89"/>
      <c r="M162" s="348"/>
      <c r="N162" s="359"/>
      <c r="O162" s="348"/>
      <c r="P162" s="89"/>
      <c r="Q162" s="89"/>
      <c r="R162" s="89"/>
      <c r="S162" s="89"/>
      <c r="T162" s="89"/>
      <c r="U162" s="89"/>
      <c r="V162" s="89"/>
      <c r="W162" s="89"/>
    </row>
    <row r="163" spans="1:23">
      <c r="A163" s="360"/>
      <c r="B163" s="351"/>
      <c r="C163" s="351"/>
      <c r="D163" s="351"/>
      <c r="E163" s="352" t="s">
        <v>267</v>
      </c>
      <c r="F163" s="352" t="s">
        <v>899</v>
      </c>
      <c r="G163" s="352" t="s">
        <v>1548</v>
      </c>
      <c r="H163" s="352" t="s">
        <v>1584</v>
      </c>
      <c r="I163" s="352" t="s">
        <v>148</v>
      </c>
      <c r="J163" s="352" t="s">
        <v>1549</v>
      </c>
      <c r="K163" s="352" t="s">
        <v>477</v>
      </c>
      <c r="L163" s="352" t="s">
        <v>1028</v>
      </c>
      <c r="M163" s="352" t="s">
        <v>1347</v>
      </c>
      <c r="N163" s="352" t="s">
        <v>982</v>
      </c>
      <c r="O163" s="352" t="s">
        <v>137</v>
      </c>
      <c r="P163" s="352" t="s">
        <v>54</v>
      </c>
      <c r="Q163" s="352" t="s">
        <v>1030</v>
      </c>
      <c r="R163" s="352" t="s">
        <v>465</v>
      </c>
      <c r="S163" s="352" t="s">
        <v>1201</v>
      </c>
      <c r="T163" s="352" t="s">
        <v>920</v>
      </c>
      <c r="U163" s="352" t="s">
        <v>513</v>
      </c>
      <c r="V163" s="352" t="s">
        <v>513</v>
      </c>
      <c r="W163" s="352" t="s">
        <v>430</v>
      </c>
    </row>
    <row r="164" spans="1:23" ht="13.5" thickBot="1">
      <c r="A164" s="360"/>
      <c r="B164" s="353" t="s">
        <v>1147</v>
      </c>
      <c r="C164" s="353" t="s">
        <v>266</v>
      </c>
      <c r="D164" s="343"/>
      <c r="E164" s="354" t="s">
        <v>268</v>
      </c>
      <c r="F164" s="354" t="s">
        <v>1584</v>
      </c>
      <c r="G164" s="354" t="s">
        <v>1583</v>
      </c>
      <c r="H164" s="354" t="s">
        <v>1181</v>
      </c>
      <c r="I164" s="354" t="s">
        <v>515</v>
      </c>
      <c r="J164" s="354" t="s">
        <v>1583</v>
      </c>
      <c r="K164" s="354" t="s">
        <v>1581</v>
      </c>
      <c r="L164" s="354" t="s">
        <v>1029</v>
      </c>
      <c r="M164" s="354" t="s">
        <v>1579</v>
      </c>
      <c r="N164" s="354" t="s">
        <v>1166</v>
      </c>
      <c r="O164" s="354" t="s">
        <v>1534</v>
      </c>
      <c r="P164" s="354" t="s">
        <v>1579</v>
      </c>
      <c r="Q164" s="354" t="s">
        <v>1029</v>
      </c>
      <c r="R164" s="354" t="s">
        <v>685</v>
      </c>
      <c r="S164" s="354" t="s">
        <v>827</v>
      </c>
      <c r="T164" s="354" t="s">
        <v>1624</v>
      </c>
      <c r="U164" s="354" t="s">
        <v>1739</v>
      </c>
      <c r="V164" s="354" t="s">
        <v>512</v>
      </c>
      <c r="W164" s="354" t="s">
        <v>1739</v>
      </c>
    </row>
    <row r="165" spans="1:23" ht="25.5">
      <c r="A165" s="360"/>
      <c r="B165" s="355"/>
      <c r="C165" s="351"/>
      <c r="D165" s="352"/>
      <c r="E165" s="352"/>
      <c r="F165" s="352"/>
      <c r="G165" s="352" t="s">
        <v>619</v>
      </c>
      <c r="H165" s="352"/>
      <c r="I165" s="352" t="s">
        <v>1138</v>
      </c>
      <c r="J165" s="352" t="s">
        <v>1550</v>
      </c>
      <c r="K165" s="352" t="s">
        <v>1552</v>
      </c>
      <c r="L165" s="352" t="s">
        <v>956</v>
      </c>
      <c r="M165" s="352" t="s">
        <v>673</v>
      </c>
      <c r="N165" s="1836" t="s">
        <v>19</v>
      </c>
      <c r="O165" s="1836" t="s">
        <v>19</v>
      </c>
      <c r="P165" s="1837" t="s">
        <v>20</v>
      </c>
      <c r="Q165" s="1836" t="s">
        <v>1139</v>
      </c>
      <c r="R165" s="352" t="s">
        <v>1511</v>
      </c>
      <c r="S165" s="352" t="s">
        <v>463</v>
      </c>
      <c r="T165" s="352" t="s">
        <v>1761</v>
      </c>
      <c r="U165" s="352" t="s">
        <v>829</v>
      </c>
      <c r="V165" s="352" t="s">
        <v>1761</v>
      </c>
      <c r="W165" s="352" t="s">
        <v>464</v>
      </c>
    </row>
    <row r="166" spans="1:23">
      <c r="A166" s="350"/>
      <c r="B166" s="1933" t="s">
        <v>1372</v>
      </c>
      <c r="C166" s="1934"/>
      <c r="D166" s="1249"/>
      <c r="E166" s="89"/>
      <c r="F166" s="89"/>
      <c r="G166" s="89"/>
      <c r="H166" s="89"/>
      <c r="I166" s="347"/>
      <c r="J166" s="89"/>
      <c r="K166" s="89"/>
      <c r="L166" s="366"/>
      <c r="M166" s="89"/>
      <c r="N166" s="89"/>
      <c r="O166" s="89"/>
      <c r="P166" s="89"/>
      <c r="Q166" s="1247"/>
      <c r="R166" s="89"/>
      <c r="S166" s="89"/>
      <c r="T166" s="89"/>
      <c r="U166" s="347"/>
      <c r="V166" s="89"/>
      <c r="W166" s="347"/>
    </row>
    <row r="167" spans="1:23">
      <c r="A167" s="1595" t="s">
        <v>106</v>
      </c>
      <c r="B167" s="165" t="s">
        <v>692</v>
      </c>
      <c r="C167" s="165" t="s">
        <v>840</v>
      </c>
      <c r="D167" s="357"/>
      <c r="E167" s="210">
        <f>'P-4 (Proj. RTO Directed)'!G169</f>
        <v>0</v>
      </c>
      <c r="F167" s="798">
        <v>0</v>
      </c>
      <c r="G167" s="210">
        <f>E167-F167</f>
        <v>0</v>
      </c>
      <c r="H167" s="792">
        <v>0</v>
      </c>
      <c r="I167" s="210">
        <f>'P-4 (Proj. RTO Directed)'!H169</f>
        <v>0</v>
      </c>
      <c r="J167" s="210">
        <f>MAX(E167-F167-I167,0)</f>
        <v>0</v>
      </c>
      <c r="K167" s="210">
        <f>ROUND(J167*$L$27,0)</f>
        <v>0</v>
      </c>
      <c r="L167" s="210">
        <f>ROUND(J167*$L$29,0)</f>
        <v>0</v>
      </c>
      <c r="M167" s="365">
        <f>+L$30</f>
        <v>9.0731045752656447E-2</v>
      </c>
      <c r="N167" s="792">
        <v>0</v>
      </c>
      <c r="O167" s="210">
        <v>0</v>
      </c>
      <c r="P167" s="210">
        <f>ROUND((M167*J167)+(M167*O167)+(N167*J167),0)</f>
        <v>0</v>
      </c>
      <c r="Q167" s="210">
        <f>ROUND((P167-(N167*J167))*I$21+(N167*J167*I$23),0)</f>
        <v>0</v>
      </c>
      <c r="R167" s="210">
        <f>'P-4 (Proj. RTO Directed)'!H170</f>
        <v>0</v>
      </c>
      <c r="S167" s="210">
        <f>K167+L167+P167+Q167+R167</f>
        <v>0</v>
      </c>
      <c r="T167" s="210">
        <v>0</v>
      </c>
      <c r="U167" s="210">
        <f>S167+T167</f>
        <v>0</v>
      </c>
      <c r="V167" s="210">
        <v>0</v>
      </c>
      <c r="W167" s="210">
        <f>U167+V167</f>
        <v>0</v>
      </c>
    </row>
    <row r="168" spans="1:23">
      <c r="A168" s="1595" t="s">
        <v>106</v>
      </c>
      <c r="B168" s="165" t="s">
        <v>692</v>
      </c>
      <c r="C168" s="165" t="s">
        <v>841</v>
      </c>
      <c r="D168" s="357"/>
      <c r="E168" s="210">
        <f>'P-4 (Proj. RTO Directed)'!J169</f>
        <v>0</v>
      </c>
      <c r="F168" s="798">
        <v>0</v>
      </c>
      <c r="G168" s="210">
        <f>E168-F168</f>
        <v>0</v>
      </c>
      <c r="H168" s="792">
        <v>0</v>
      </c>
      <c r="I168" s="210">
        <f>'P-4 (Proj. RTO Directed)'!K169</f>
        <v>0</v>
      </c>
      <c r="J168" s="210">
        <f>MAX(E168-F168-I168,0)</f>
        <v>0</v>
      </c>
      <c r="K168" s="210">
        <f>ROUND(J168*$L$27,0)</f>
        <v>0</v>
      </c>
      <c r="L168" s="210">
        <f>ROUND(J168*$L$29,0)</f>
        <v>0</v>
      </c>
      <c r="M168" s="365">
        <f>+L$30</f>
        <v>9.0731045752656447E-2</v>
      </c>
      <c r="N168" s="792">
        <v>0</v>
      </c>
      <c r="O168" s="210">
        <v>0</v>
      </c>
      <c r="P168" s="210">
        <f>ROUND((M168*J168)+(M168*O168)+(N168*J168),0)</f>
        <v>0</v>
      </c>
      <c r="Q168" s="210">
        <f>ROUND((P168-(N168*J168))*I$21+(N168*J168*I$23),0)</f>
        <v>0</v>
      </c>
      <c r="R168" s="210">
        <f>'P-4 (Proj. RTO Directed)'!K170</f>
        <v>0</v>
      </c>
      <c r="S168" s="210">
        <f>K168+L168+P168+Q168+R168</f>
        <v>0</v>
      </c>
      <c r="T168" s="210">
        <v>0</v>
      </c>
      <c r="U168" s="210">
        <f>S168+T168</f>
        <v>0</v>
      </c>
      <c r="V168" s="210">
        <v>0</v>
      </c>
      <c r="W168" s="210">
        <f>U168+V168</f>
        <v>0</v>
      </c>
    </row>
    <row r="169" spans="1:23">
      <c r="A169" s="1595" t="s">
        <v>106</v>
      </c>
      <c r="B169" s="165" t="s">
        <v>692</v>
      </c>
      <c r="C169" s="165"/>
      <c r="D169" s="357"/>
      <c r="E169" s="210">
        <f>'P-4 (Proj. RTO Directed)'!M169</f>
        <v>0</v>
      </c>
      <c r="F169" s="798">
        <v>0</v>
      </c>
      <c r="G169" s="210">
        <f>E169-F169</f>
        <v>0</v>
      </c>
      <c r="H169" s="792">
        <v>0</v>
      </c>
      <c r="I169" s="210">
        <f>'P-4 (Proj. RTO Directed)'!N169</f>
        <v>0</v>
      </c>
      <c r="J169" s="210">
        <f>MAX(E169-F169-I169,0)</f>
        <v>0</v>
      </c>
      <c r="K169" s="210">
        <f>ROUND(J169*$L$27,0)</f>
        <v>0</v>
      </c>
      <c r="L169" s="210">
        <f>ROUND(J169*$L$29,0)</f>
        <v>0</v>
      </c>
      <c r="M169" s="365">
        <f>+L$30</f>
        <v>9.0731045752656447E-2</v>
      </c>
      <c r="N169" s="792">
        <v>0</v>
      </c>
      <c r="O169" s="210">
        <v>0</v>
      </c>
      <c r="P169" s="210">
        <f>ROUND((M169*J169)+(M169*O169)+(N169*J169),0)</f>
        <v>0</v>
      </c>
      <c r="Q169" s="210">
        <f>ROUND((P169-(N169*J169))*I$21+(N169*J169*I$23),0)</f>
        <v>0</v>
      </c>
      <c r="R169" s="210">
        <f>'P-4 (Proj. RTO Directed)'!N170</f>
        <v>0</v>
      </c>
      <c r="S169" s="210">
        <f>K169+L169+P169+Q169+R169</f>
        <v>0</v>
      </c>
      <c r="T169" s="210">
        <v>0</v>
      </c>
      <c r="U169" s="210">
        <f>S169+T169</f>
        <v>0</v>
      </c>
      <c r="V169" s="210">
        <v>0</v>
      </c>
      <c r="W169" s="210">
        <f>U169+V169</f>
        <v>0</v>
      </c>
    </row>
    <row r="170" spans="1:23">
      <c r="A170" s="1248"/>
      <c r="B170" s="433"/>
      <c r="C170" s="433"/>
      <c r="D170" s="363"/>
      <c r="E170" s="363"/>
      <c r="F170" s="363"/>
      <c r="G170" s="363"/>
      <c r="H170" s="363"/>
      <c r="I170" s="363"/>
      <c r="J170" s="363"/>
      <c r="K170" s="363"/>
      <c r="L170" s="434"/>
      <c r="M170" s="363"/>
      <c r="N170" s="432"/>
      <c r="O170" s="363"/>
      <c r="P170" s="363">
        <f>ROUND((M170*J170)+(M170*O170)+(N170*J170),0)</f>
        <v>0</v>
      </c>
      <c r="Q170" s="363"/>
      <c r="R170" s="363"/>
      <c r="S170" s="367"/>
      <c r="T170" s="367"/>
      <c r="U170" s="367"/>
      <c r="V170" s="367"/>
      <c r="W170" s="367"/>
    </row>
    <row r="171" spans="1:23">
      <c r="A171" s="350" t="s">
        <v>923</v>
      </c>
      <c r="B171" s="1240" t="s">
        <v>1135</v>
      </c>
      <c r="D171" s="89"/>
      <c r="E171" s="89">
        <f>SUM(E167:E170)</f>
        <v>0</v>
      </c>
      <c r="F171" s="89">
        <f t="shared" ref="F171:W171" si="56">SUM(F167:F170)</f>
        <v>0</v>
      </c>
      <c r="G171" s="89">
        <f t="shared" si="56"/>
        <v>0</v>
      </c>
      <c r="H171" s="89"/>
      <c r="I171" s="89">
        <f t="shared" si="56"/>
        <v>0</v>
      </c>
      <c r="J171" s="89">
        <f t="shared" si="56"/>
        <v>0</v>
      </c>
      <c r="K171" s="89">
        <f t="shared" si="56"/>
        <v>0</v>
      </c>
      <c r="L171" s="89">
        <f t="shared" si="56"/>
        <v>0</v>
      </c>
      <c r="M171" s="89"/>
      <c r="N171" s="89"/>
      <c r="O171" s="89">
        <f t="shared" si="56"/>
        <v>0</v>
      </c>
      <c r="P171" s="89">
        <f t="shared" si="56"/>
        <v>0</v>
      </c>
      <c r="Q171" s="89">
        <f t="shared" si="56"/>
        <v>0</v>
      </c>
      <c r="R171" s="89">
        <f t="shared" si="56"/>
        <v>0</v>
      </c>
      <c r="S171" s="89">
        <f t="shared" si="56"/>
        <v>0</v>
      </c>
      <c r="T171" s="89">
        <f t="shared" si="56"/>
        <v>0</v>
      </c>
      <c r="U171" s="89">
        <f t="shared" si="56"/>
        <v>0</v>
      </c>
      <c r="V171" s="89">
        <f t="shared" si="56"/>
        <v>0</v>
      </c>
      <c r="W171" s="89">
        <f t="shared" si="56"/>
        <v>0</v>
      </c>
    </row>
    <row r="172" spans="1:23">
      <c r="A172" s="350"/>
      <c r="D172" s="89"/>
      <c r="E172" s="89"/>
      <c r="F172" s="89"/>
      <c r="G172" s="89"/>
      <c r="H172" s="89"/>
      <c r="I172" s="89"/>
      <c r="J172" s="89"/>
      <c r="K172" s="89"/>
      <c r="L172" s="89"/>
      <c r="M172" s="89"/>
      <c r="N172" s="89"/>
      <c r="O172" s="89"/>
      <c r="P172" s="89"/>
      <c r="Q172" s="89"/>
      <c r="R172" s="89"/>
      <c r="S172" s="89"/>
      <c r="T172" s="89"/>
      <c r="U172" s="89"/>
      <c r="V172" s="89"/>
      <c r="W172" s="89"/>
    </row>
    <row r="173" spans="1:23" ht="13.5" thickBot="1">
      <c r="A173" s="1243" t="s">
        <v>969</v>
      </c>
      <c r="B173" s="1242" t="s">
        <v>1136</v>
      </c>
      <c r="C173" s="475"/>
      <c r="D173" s="476"/>
      <c r="E173" s="476">
        <f>E160+E171</f>
        <v>0</v>
      </c>
      <c r="F173" s="476">
        <f t="shared" ref="F173:W173" si="57">F160+F171</f>
        <v>0</v>
      </c>
      <c r="G173" s="476">
        <f t="shared" si="57"/>
        <v>0</v>
      </c>
      <c r="H173" s="476"/>
      <c r="I173" s="476">
        <f t="shared" si="57"/>
        <v>0</v>
      </c>
      <c r="J173" s="476">
        <f t="shared" si="57"/>
        <v>0</v>
      </c>
      <c r="K173" s="476">
        <f t="shared" si="57"/>
        <v>0</v>
      </c>
      <c r="L173" s="476">
        <f t="shared" si="57"/>
        <v>0</v>
      </c>
      <c r="M173" s="476"/>
      <c r="N173" s="476"/>
      <c r="O173" s="476">
        <f t="shared" si="57"/>
        <v>0</v>
      </c>
      <c r="P173" s="476">
        <f t="shared" si="57"/>
        <v>0</v>
      </c>
      <c r="Q173" s="476">
        <f t="shared" si="57"/>
        <v>0</v>
      </c>
      <c r="R173" s="476">
        <f t="shared" si="57"/>
        <v>0</v>
      </c>
      <c r="S173" s="476">
        <f t="shared" si="57"/>
        <v>0</v>
      </c>
      <c r="T173" s="476">
        <f t="shared" si="57"/>
        <v>0</v>
      </c>
      <c r="U173" s="476">
        <f t="shared" si="57"/>
        <v>0</v>
      </c>
      <c r="V173" s="476">
        <f t="shared" si="57"/>
        <v>0</v>
      </c>
      <c r="W173" s="476">
        <f t="shared" si="57"/>
        <v>0</v>
      </c>
    </row>
    <row r="174" spans="1:23" ht="13.5" thickTop="1">
      <c r="A174" s="350"/>
      <c r="D174" s="89"/>
      <c r="E174" s="89"/>
      <c r="F174" s="89"/>
      <c r="G174" s="89"/>
      <c r="H174" s="89"/>
      <c r="I174" s="89"/>
      <c r="J174" s="89"/>
      <c r="K174" s="89"/>
      <c r="L174" s="366"/>
      <c r="M174" s="89"/>
      <c r="N174" s="89"/>
      <c r="O174" s="89"/>
      <c r="P174" s="89"/>
      <c r="Q174" s="89"/>
      <c r="R174" s="89"/>
      <c r="S174" s="347"/>
      <c r="T174" s="347"/>
      <c r="V174" s="347"/>
      <c r="W174" s="2129" t="str">
        <f>IF(AND('Projected Net Rev Req'!E55-W173&lt;2,'Projected Net Rev Req'!E55-W173&gt;-2),"","Total not equal to Projected Net Rev Req:  Check True-up and Credits for Projected Projects")</f>
        <v/>
      </c>
    </row>
  </sheetData>
  <customSheetViews>
    <customSheetView guid="{FAA8FFD9-C96B-4A1B-8B9E-B863FD90DDBA}" scale="75" showRuler="0" topLeftCell="G1">
      <selection activeCell="V234" sqref="V234:V235"/>
      <rowBreaks count="4" manualBreakCount="4">
        <brk id="36" max="16383" man="1"/>
        <brk id="100" max="16383" man="1"/>
        <brk id="166" max="16383" man="1"/>
        <brk id="233" max="16383" man="1"/>
      </rowBreaks>
      <pageMargins left="0.35" right="0.1" top="0.37" bottom="0.25" header="0" footer="0"/>
      <printOptions gridLines="1"/>
      <pageSetup paperSize="5" scale="45" fitToHeight="3" orientation="landscape" r:id="rId1"/>
      <headerFooter alignWithMargins="0">
        <oddFooter xml:space="preserve">&amp;R&amp;"Arial MT,Bold"&amp;16
 RTO Summary&amp;"Arial MT,Regular"&amp;12
</oddFooter>
      </headerFooter>
    </customSheetView>
  </customSheetViews>
  <mergeCells count="12">
    <mergeCell ref="B2:H2"/>
    <mergeCell ref="I6:L6"/>
    <mergeCell ref="K2:L2"/>
    <mergeCell ref="K36:L36"/>
    <mergeCell ref="K144:L144"/>
    <mergeCell ref="B45:C45"/>
    <mergeCell ref="U144:V144"/>
    <mergeCell ref="U36:V36"/>
    <mergeCell ref="K77:L77"/>
    <mergeCell ref="U77:V77"/>
    <mergeCell ref="K110:L110"/>
    <mergeCell ref="U110:V110"/>
  </mergeCells>
  <phoneticPr fontId="0" type="noConversion"/>
  <printOptions horizontalCentered="1" gridLines="1"/>
  <pageMargins left="0.5" right="0.35" top="0.5" bottom="0.5" header="0" footer="0"/>
  <pageSetup scale="70" fitToWidth="3" fitToHeight="3" pageOrder="overThenDown" orientation="landscape" r:id="rId2"/>
  <headerFooter alignWithMargins="0">
    <oddFooter xml:space="preserve">&amp;R&amp;"Arial MT,Bold"&amp;16
 RTO Summary&amp;"Arial MT,Regular"&amp;12
</oddFooter>
  </headerFooter>
  <rowBreaks count="3" manualBreakCount="3">
    <brk id="75" max="22" man="1"/>
    <brk id="108" max="16383" man="1"/>
    <brk id="141" max="22" man="1"/>
  </rowBreaks>
  <colBreaks count="1" manualBreakCount="1">
    <brk id="14" min="34" max="16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2"/>
  </sheetPr>
  <dimension ref="A5:I123"/>
  <sheetViews>
    <sheetView workbookViewId="0">
      <selection activeCell="D15" sqref="D15:I15"/>
    </sheetView>
  </sheetViews>
  <sheetFormatPr defaultRowHeight="15"/>
  <cols>
    <col min="1" max="1" width="5.44140625" customWidth="1"/>
    <col min="2" max="2" width="19" customWidth="1"/>
    <col min="3" max="3" width="9.5546875" customWidth="1"/>
    <col min="4" max="4" width="13.5546875" customWidth="1"/>
    <col min="9" max="9" width="20.33203125" customWidth="1"/>
  </cols>
  <sheetData>
    <row r="5" spans="1:9">
      <c r="A5" s="594" t="s">
        <v>1230</v>
      </c>
      <c r="B5" s="594" t="s">
        <v>775</v>
      </c>
      <c r="C5" s="2137" t="s">
        <v>776</v>
      </c>
      <c r="D5" s="2138"/>
      <c r="E5" s="2138"/>
      <c r="F5" s="2138"/>
      <c r="G5" s="2138"/>
      <c r="H5" s="2138"/>
      <c r="I5" s="2139"/>
    </row>
    <row r="6" spans="1:9">
      <c r="A6" s="597"/>
      <c r="B6" s="597"/>
      <c r="C6" s="597"/>
      <c r="D6" s="597"/>
      <c r="E6" s="597"/>
      <c r="F6" s="597"/>
      <c r="G6" s="597"/>
      <c r="H6" s="597"/>
      <c r="I6" s="597"/>
    </row>
    <row r="7" spans="1:9">
      <c r="A7" s="598"/>
      <c r="B7" s="598" t="s">
        <v>329</v>
      </c>
      <c r="C7" s="598"/>
      <c r="D7" s="598"/>
      <c r="E7" s="598"/>
      <c r="F7" s="598"/>
      <c r="G7" s="598"/>
      <c r="H7" s="598"/>
      <c r="I7" s="598"/>
    </row>
    <row r="8" spans="1:9">
      <c r="A8" s="598"/>
      <c r="B8" s="598"/>
      <c r="C8" s="600" t="s">
        <v>1324</v>
      </c>
      <c r="D8" s="599"/>
      <c r="E8" s="599"/>
      <c r="F8" s="599"/>
      <c r="G8" s="599"/>
      <c r="H8" s="599"/>
      <c r="I8" s="599"/>
    </row>
    <row r="9" spans="1:9">
      <c r="A9" s="598"/>
      <c r="B9" s="598"/>
      <c r="C9" s="600"/>
      <c r="D9" s="601" t="s">
        <v>1055</v>
      </c>
      <c r="E9" s="599"/>
      <c r="F9" s="599"/>
      <c r="G9" s="599"/>
      <c r="H9" s="599"/>
      <c r="I9" s="599"/>
    </row>
    <row r="10" spans="1:9">
      <c r="A10" s="598"/>
      <c r="B10" s="598"/>
      <c r="C10" s="600"/>
      <c r="D10" s="601"/>
      <c r="E10" s="599"/>
      <c r="F10" s="599"/>
      <c r="G10" s="599"/>
      <c r="H10" s="599"/>
      <c r="I10" s="599"/>
    </row>
    <row r="11" spans="1:9">
      <c r="A11" s="599"/>
      <c r="B11" s="599"/>
      <c r="C11" s="600" t="s">
        <v>331</v>
      </c>
      <c r="D11" s="600"/>
      <c r="E11" s="600"/>
      <c r="F11" s="600"/>
      <c r="G11" s="600"/>
      <c r="H11" s="600"/>
      <c r="I11" s="600"/>
    </row>
    <row r="12" spans="1:9" ht="30.75" customHeight="1">
      <c r="A12" s="599"/>
      <c r="B12" s="599"/>
      <c r="C12" s="600"/>
      <c r="D12" s="2136" t="s">
        <v>647</v>
      </c>
      <c r="E12" s="2136"/>
      <c r="F12" s="2136"/>
      <c r="G12" s="2136"/>
      <c r="H12" s="2136"/>
      <c r="I12" s="2136"/>
    </row>
    <row r="13" spans="1:9" ht="27.75" customHeight="1">
      <c r="A13" s="599"/>
      <c r="B13" s="599"/>
      <c r="C13" s="600"/>
      <c r="D13" s="2136" t="s">
        <v>1645</v>
      </c>
      <c r="E13" s="2136"/>
      <c r="F13" s="2136"/>
      <c r="G13" s="2136"/>
      <c r="H13" s="2136"/>
      <c r="I13" s="2136"/>
    </row>
    <row r="14" spans="1:9" ht="28.5" customHeight="1">
      <c r="A14" s="599"/>
      <c r="B14" s="599"/>
      <c r="C14" s="600"/>
      <c r="D14" s="2136" t="s">
        <v>1646</v>
      </c>
      <c r="E14" s="2136"/>
      <c r="F14" s="2136"/>
      <c r="G14" s="2136"/>
      <c r="H14" s="2136"/>
      <c r="I14" s="2136"/>
    </row>
    <row r="15" spans="1:9" ht="27.75" customHeight="1">
      <c r="A15" s="599"/>
      <c r="B15" s="599"/>
      <c r="C15" s="600"/>
      <c r="D15" s="2136" t="s">
        <v>843</v>
      </c>
      <c r="E15" s="2136"/>
      <c r="F15" s="2136"/>
      <c r="G15" s="2136"/>
      <c r="H15" s="2136"/>
      <c r="I15" s="2136"/>
    </row>
    <row r="16" spans="1:9">
      <c r="A16" s="599"/>
      <c r="B16" s="599"/>
      <c r="C16" s="600"/>
      <c r="D16" s="600"/>
      <c r="E16" s="600"/>
      <c r="F16" s="600"/>
      <c r="G16" s="600"/>
      <c r="H16" s="600"/>
      <c r="I16" s="600"/>
    </row>
    <row r="17" spans="1:9">
      <c r="A17" s="599"/>
      <c r="B17" s="599"/>
      <c r="C17" s="600" t="s">
        <v>1635</v>
      </c>
      <c r="D17" s="600"/>
      <c r="E17" s="600"/>
      <c r="F17" s="600"/>
      <c r="G17" s="600"/>
      <c r="H17" s="600"/>
      <c r="I17" s="600"/>
    </row>
    <row r="18" spans="1:9" ht="14.25" customHeight="1">
      <c r="A18" s="599"/>
      <c r="B18" s="599"/>
      <c r="C18" s="600"/>
      <c r="D18" s="2136" t="s">
        <v>1636</v>
      </c>
      <c r="E18" s="2136"/>
      <c r="F18" s="2136"/>
      <c r="G18" s="2136"/>
      <c r="H18" s="2136"/>
      <c r="I18" s="2136"/>
    </row>
    <row r="19" spans="1:9">
      <c r="A19" s="599"/>
      <c r="B19" s="599"/>
      <c r="C19" s="600"/>
      <c r="D19" s="600"/>
      <c r="E19" s="600"/>
      <c r="F19" s="600"/>
      <c r="G19" s="600"/>
      <c r="H19" s="600"/>
      <c r="I19" s="600"/>
    </row>
    <row r="20" spans="1:9">
      <c r="A20" s="599"/>
      <c r="B20" s="599"/>
      <c r="C20" s="600" t="s">
        <v>1536</v>
      </c>
      <c r="D20" s="600"/>
      <c r="E20" s="600"/>
      <c r="F20" s="600"/>
      <c r="G20" s="600"/>
      <c r="H20" s="600"/>
      <c r="I20" s="600"/>
    </row>
    <row r="21" spans="1:9">
      <c r="A21" s="599"/>
      <c r="B21" s="599"/>
      <c r="C21" s="600"/>
      <c r="D21" s="600"/>
      <c r="E21" s="600"/>
      <c r="F21" s="600"/>
      <c r="G21" s="600"/>
      <c r="H21" s="600"/>
      <c r="I21" s="600"/>
    </row>
    <row r="22" spans="1:9">
      <c r="A22" s="599"/>
      <c r="B22" s="599"/>
      <c r="C22" s="322" t="s">
        <v>1477</v>
      </c>
      <c r="D22" s="600"/>
      <c r="E22" s="600"/>
      <c r="F22" s="600"/>
      <c r="G22" s="600"/>
      <c r="H22" s="600"/>
      <c r="I22" s="600"/>
    </row>
    <row r="23" spans="1:9" ht="32.25" customHeight="1">
      <c r="A23" s="599"/>
      <c r="B23" s="599"/>
      <c r="C23" s="600"/>
      <c r="D23" s="2136" t="s">
        <v>914</v>
      </c>
      <c r="E23" s="2136"/>
      <c r="F23" s="2136"/>
      <c r="G23" s="2136"/>
      <c r="H23" s="2136"/>
      <c r="I23" s="2136"/>
    </row>
    <row r="24" spans="1:9">
      <c r="A24" s="599"/>
      <c r="B24" s="599"/>
      <c r="D24" s="600"/>
      <c r="E24" s="600"/>
      <c r="F24" s="600"/>
      <c r="G24" s="600"/>
      <c r="H24" s="600"/>
      <c r="I24" s="600"/>
    </row>
    <row r="25" spans="1:9">
      <c r="A25" s="599"/>
      <c r="B25" s="599"/>
      <c r="C25" s="600" t="s">
        <v>1478</v>
      </c>
      <c r="D25" s="600"/>
      <c r="E25" s="600"/>
      <c r="F25" s="600"/>
      <c r="G25" s="600"/>
      <c r="H25" s="600"/>
      <c r="I25" s="600"/>
    </row>
    <row r="26" spans="1:9" ht="27.75" customHeight="1">
      <c r="A26" s="599"/>
      <c r="B26" s="599"/>
      <c r="C26" s="600"/>
      <c r="D26" s="2136" t="s">
        <v>1191</v>
      </c>
      <c r="E26" s="2136"/>
      <c r="F26" s="2136"/>
      <c r="G26" s="2136"/>
      <c r="H26" s="2136"/>
      <c r="I26" s="2136"/>
    </row>
    <row r="27" spans="1:9">
      <c r="A27" s="599"/>
      <c r="B27" s="599"/>
      <c r="C27" s="600"/>
      <c r="D27" s="600" t="s">
        <v>1479</v>
      </c>
      <c r="E27" s="600"/>
      <c r="F27" s="600"/>
      <c r="G27" s="600"/>
      <c r="H27" s="600"/>
      <c r="I27" s="600"/>
    </row>
    <row r="28" spans="1:9">
      <c r="A28" s="599"/>
      <c r="B28" s="599"/>
      <c r="C28" s="600"/>
      <c r="D28" s="600"/>
      <c r="E28" s="600"/>
      <c r="F28" s="600"/>
      <c r="G28" s="600"/>
      <c r="H28" s="600"/>
      <c r="I28" s="600"/>
    </row>
    <row r="29" spans="1:9">
      <c r="A29" s="599"/>
      <c r="B29" s="599"/>
      <c r="C29" s="600" t="s">
        <v>1480</v>
      </c>
      <c r="D29" s="600"/>
      <c r="E29" s="600"/>
      <c r="F29" s="600"/>
      <c r="G29" s="600"/>
      <c r="H29" s="600"/>
      <c r="I29" s="600"/>
    </row>
    <row r="30" spans="1:9" ht="32.25" customHeight="1">
      <c r="A30" s="599"/>
      <c r="B30" s="599"/>
      <c r="C30" s="600"/>
      <c r="D30" s="2136" t="s">
        <v>1192</v>
      </c>
      <c r="E30" s="2136"/>
      <c r="F30" s="2136"/>
      <c r="G30" s="2136"/>
      <c r="H30" s="2136"/>
      <c r="I30" s="2136"/>
    </row>
    <row r="31" spans="1:9" ht="18" customHeight="1">
      <c r="A31" s="599"/>
      <c r="B31" s="599"/>
      <c r="C31" s="600"/>
      <c r="D31" s="2136" t="s">
        <v>898</v>
      </c>
      <c r="E31" s="2136"/>
      <c r="F31" s="2136"/>
      <c r="G31" s="2136"/>
      <c r="H31" s="2136"/>
      <c r="I31" s="2136"/>
    </row>
    <row r="32" spans="1:9">
      <c r="A32" s="599"/>
      <c r="B32" s="599"/>
      <c r="C32" s="600"/>
      <c r="D32" s="600"/>
      <c r="E32" s="600"/>
      <c r="F32" s="600"/>
      <c r="G32" s="600"/>
      <c r="H32" s="600"/>
      <c r="I32" s="600"/>
    </row>
    <row r="33" spans="1:9">
      <c r="A33" s="599"/>
      <c r="B33" s="599"/>
      <c r="C33" s="600" t="s">
        <v>1054</v>
      </c>
      <c r="D33" s="600"/>
      <c r="E33" s="600"/>
      <c r="F33" s="600"/>
      <c r="G33" s="600"/>
      <c r="H33" s="600"/>
      <c r="I33" s="600"/>
    </row>
    <row r="34" spans="1:9" ht="33" customHeight="1">
      <c r="A34" s="599"/>
      <c r="B34" s="599"/>
      <c r="C34" s="600"/>
      <c r="D34" s="2136" t="s">
        <v>1640</v>
      </c>
      <c r="E34" s="2136"/>
      <c r="F34" s="2136"/>
      <c r="G34" s="2136"/>
      <c r="H34" s="2136"/>
      <c r="I34" s="2136"/>
    </row>
    <row r="35" spans="1:9">
      <c r="A35" s="599"/>
      <c r="B35" s="599"/>
      <c r="C35" s="600"/>
      <c r="D35" s="600"/>
      <c r="E35" s="600"/>
      <c r="F35" s="600"/>
      <c r="G35" s="600"/>
      <c r="H35" s="600"/>
      <c r="I35" s="600"/>
    </row>
    <row r="36" spans="1:9">
      <c r="A36" s="599"/>
      <c r="B36" s="599"/>
      <c r="C36" s="600" t="s">
        <v>1614</v>
      </c>
      <c r="D36" s="600"/>
      <c r="E36" s="600"/>
      <c r="F36" s="600"/>
      <c r="G36" s="600"/>
      <c r="H36" s="600"/>
      <c r="I36" s="600"/>
    </row>
    <row r="37" spans="1:9">
      <c r="A37" s="599"/>
      <c r="B37" s="599"/>
      <c r="C37" s="600"/>
      <c r="D37" s="600" t="s">
        <v>46</v>
      </c>
      <c r="E37" s="600"/>
      <c r="F37" s="600"/>
      <c r="G37" s="600"/>
      <c r="H37" s="600"/>
      <c r="I37" s="600"/>
    </row>
    <row r="38" spans="1:9" ht="21" customHeight="1">
      <c r="A38" s="599"/>
      <c r="B38" s="599"/>
      <c r="C38" s="600"/>
      <c r="D38" s="2136" t="s">
        <v>1554</v>
      </c>
      <c r="E38" s="2136"/>
      <c r="F38" s="2136"/>
      <c r="G38" s="2136"/>
      <c r="H38" s="2136"/>
      <c r="I38" s="2136"/>
    </row>
    <row r="39" spans="1:9">
      <c r="A39" s="599"/>
      <c r="B39" s="599"/>
      <c r="C39" s="600"/>
      <c r="D39" s="600" t="s">
        <v>1555</v>
      </c>
      <c r="E39" s="600"/>
      <c r="F39" s="600"/>
      <c r="G39" s="600"/>
      <c r="H39" s="600"/>
      <c r="I39" s="600"/>
    </row>
    <row r="40" spans="1:9">
      <c r="A40" s="599"/>
      <c r="B40" s="599"/>
      <c r="C40" s="600"/>
      <c r="D40" s="600"/>
      <c r="E40" s="600"/>
      <c r="F40" s="600"/>
      <c r="G40" s="600"/>
      <c r="H40" s="600"/>
      <c r="I40" s="600"/>
    </row>
    <row r="41" spans="1:9">
      <c r="A41" s="592" t="s">
        <v>949</v>
      </c>
      <c r="B41" t="s">
        <v>361</v>
      </c>
    </row>
    <row r="42" spans="1:9">
      <c r="C42" t="s">
        <v>47</v>
      </c>
    </row>
    <row r="43" spans="1:9">
      <c r="C43" t="s">
        <v>1088</v>
      </c>
    </row>
    <row r="45" spans="1:9">
      <c r="A45" t="s">
        <v>1089</v>
      </c>
      <c r="B45" t="s">
        <v>1090</v>
      </c>
      <c r="C45" t="s">
        <v>774</v>
      </c>
    </row>
    <row r="46" spans="1:9" ht="30.75" customHeight="1">
      <c r="C46" s="2135" t="s">
        <v>217</v>
      </c>
      <c r="D46" s="2135"/>
      <c r="E46" s="2135"/>
      <c r="F46" s="2135"/>
      <c r="G46" s="2135"/>
      <c r="H46" s="2135"/>
      <c r="I46" s="2135"/>
    </row>
    <row r="48" spans="1:9">
      <c r="A48" t="s">
        <v>777</v>
      </c>
      <c r="B48" t="s">
        <v>778</v>
      </c>
      <c r="C48" t="s">
        <v>779</v>
      </c>
    </row>
    <row r="50" spans="1:9">
      <c r="A50" t="s">
        <v>1675</v>
      </c>
      <c r="B50" t="s">
        <v>1676</v>
      </c>
      <c r="C50" t="s">
        <v>1677</v>
      </c>
    </row>
    <row r="52" spans="1:9" ht="18" customHeight="1">
      <c r="A52" t="s">
        <v>1678</v>
      </c>
      <c r="B52" t="s">
        <v>825</v>
      </c>
      <c r="C52" s="2135" t="s">
        <v>1679</v>
      </c>
      <c r="D52" s="2135"/>
      <c r="E52" s="2135"/>
      <c r="F52" s="2135"/>
      <c r="G52" s="2135"/>
      <c r="H52" s="2135"/>
      <c r="I52" s="2135"/>
    </row>
    <row r="53" spans="1:9" ht="28.5" customHeight="1">
      <c r="C53" s="2135" t="s">
        <v>613</v>
      </c>
      <c r="D53" s="2135"/>
      <c r="E53" s="2135"/>
      <c r="F53" s="2135"/>
      <c r="G53" s="2135"/>
      <c r="H53" s="2135"/>
      <c r="I53" s="2135"/>
    </row>
    <row r="54" spans="1:9" ht="15.75" customHeight="1">
      <c r="C54" s="566"/>
      <c r="D54" s="566"/>
      <c r="E54" s="566"/>
      <c r="F54" s="566"/>
      <c r="G54" s="566"/>
      <c r="H54" s="566"/>
      <c r="I54" s="566"/>
    </row>
    <row r="55" spans="1:9">
      <c r="A55" t="s">
        <v>614</v>
      </c>
      <c r="C55" t="s">
        <v>615</v>
      </c>
    </row>
    <row r="57" spans="1:9">
      <c r="A57" t="s">
        <v>1296</v>
      </c>
      <c r="C57" t="s">
        <v>779</v>
      </c>
    </row>
    <row r="58" spans="1:9">
      <c r="A58" t="s">
        <v>616</v>
      </c>
      <c r="B58" t="s">
        <v>617</v>
      </c>
      <c r="C58" t="s">
        <v>1284</v>
      </c>
    </row>
    <row r="59" spans="1:9">
      <c r="C59" s="593" t="s">
        <v>1759</v>
      </c>
      <c r="D59" s="596" t="s">
        <v>1465</v>
      </c>
      <c r="E59" s="2134" t="s">
        <v>1466</v>
      </c>
      <c r="F59" s="2134"/>
      <c r="G59" s="2134"/>
    </row>
    <row r="60" spans="1:9">
      <c r="C60" t="s">
        <v>1285</v>
      </c>
      <c r="D60" s="595">
        <v>6692571</v>
      </c>
      <c r="E60" t="s">
        <v>1291</v>
      </c>
    </row>
    <row r="61" spans="1:9">
      <c r="D61" s="595"/>
      <c r="E61" t="s">
        <v>1286</v>
      </c>
    </row>
    <row r="62" spans="1:9">
      <c r="D62" s="595"/>
      <c r="E62" t="s">
        <v>1287</v>
      </c>
    </row>
    <row r="63" spans="1:9">
      <c r="D63" s="595"/>
    </row>
    <row r="64" spans="1:9">
      <c r="C64" t="s">
        <v>1288</v>
      </c>
      <c r="D64" s="595">
        <v>457899</v>
      </c>
      <c r="E64" t="s">
        <v>1289</v>
      </c>
    </row>
    <row r="65" spans="1:7">
      <c r="D65" s="595"/>
    </row>
    <row r="66" spans="1:7">
      <c r="C66" t="s">
        <v>1290</v>
      </c>
      <c r="D66" s="595">
        <v>1022088</v>
      </c>
      <c r="E66" t="s">
        <v>1291</v>
      </c>
    </row>
    <row r="67" spans="1:7">
      <c r="D67" s="595"/>
      <c r="E67" t="s">
        <v>1292</v>
      </c>
    </row>
    <row r="68" spans="1:7">
      <c r="D68" s="595"/>
      <c r="E68" t="s">
        <v>1293</v>
      </c>
    </row>
    <row r="69" spans="1:7">
      <c r="D69" s="595"/>
    </row>
    <row r="70" spans="1:7">
      <c r="C70" t="s">
        <v>1294</v>
      </c>
      <c r="D70" s="595">
        <v>917685</v>
      </c>
      <c r="E70" t="s">
        <v>1295</v>
      </c>
    </row>
    <row r="71" spans="1:7">
      <c r="D71" s="595"/>
    </row>
    <row r="72" spans="1:7">
      <c r="C72" t="s">
        <v>772</v>
      </c>
      <c r="D72" s="595"/>
    </row>
    <row r="73" spans="1:7">
      <c r="D73" s="595"/>
    </row>
    <row r="74" spans="1:7">
      <c r="A74" t="s">
        <v>1297</v>
      </c>
      <c r="B74" t="s">
        <v>1298</v>
      </c>
      <c r="C74" t="s">
        <v>1299</v>
      </c>
      <c r="D74" s="595"/>
    </row>
    <row r="75" spans="1:7">
      <c r="C75" s="593" t="s">
        <v>1462</v>
      </c>
      <c r="D75" s="596" t="s">
        <v>52</v>
      </c>
      <c r="E75" s="2134" t="s">
        <v>1633</v>
      </c>
      <c r="F75" s="2134"/>
      <c r="G75" s="2134"/>
    </row>
    <row r="76" spans="1:7">
      <c r="C76" t="s">
        <v>1300</v>
      </c>
      <c r="D76" s="595" t="e">
        <f>'A-7 (Act. RTO Directed Proj)'!#REF!</f>
        <v>#REF!</v>
      </c>
      <c r="E76" t="s">
        <v>1301</v>
      </c>
    </row>
    <row r="77" spans="1:7">
      <c r="C77" t="s">
        <v>1302</v>
      </c>
      <c r="D77" s="595" t="e">
        <f>'A-7 (Act. RTO Directed Proj)'!#REF!</f>
        <v>#REF!</v>
      </c>
      <c r="E77" t="s">
        <v>1132</v>
      </c>
    </row>
    <row r="78" spans="1:7">
      <c r="C78" t="s">
        <v>1303</v>
      </c>
      <c r="D78" s="595" t="e">
        <f>'A-7 (Act. RTO Directed Proj)'!#REF!</f>
        <v>#REF!</v>
      </c>
      <c r="E78" t="s">
        <v>940</v>
      </c>
    </row>
    <row r="79" spans="1:7">
      <c r="C79" t="s">
        <v>1302</v>
      </c>
      <c r="D79" s="595" t="e">
        <f>'A-7 (Act. RTO Directed Proj)'!#REF!</f>
        <v>#REF!</v>
      </c>
      <c r="E79" t="s">
        <v>259</v>
      </c>
    </row>
    <row r="80" spans="1:7">
      <c r="C80" t="s">
        <v>1304</v>
      </c>
      <c r="D80" s="595" t="e">
        <f>'A-7 (Act. RTO Directed Proj)'!#REF!</f>
        <v>#REF!</v>
      </c>
      <c r="E80" t="s">
        <v>941</v>
      </c>
    </row>
    <row r="81" spans="1:7">
      <c r="D81" s="595"/>
    </row>
    <row r="82" spans="1:7">
      <c r="C82" t="s">
        <v>1459</v>
      </c>
      <c r="D82" s="595"/>
    </row>
    <row r="83" spans="1:7">
      <c r="D83" s="595"/>
    </row>
    <row r="84" spans="1:7">
      <c r="A84" t="s">
        <v>1460</v>
      </c>
      <c r="B84" t="s">
        <v>1461</v>
      </c>
      <c r="C84" t="s">
        <v>1463</v>
      </c>
      <c r="D84" s="595"/>
    </row>
    <row r="85" spans="1:7">
      <c r="C85" s="593" t="s">
        <v>1462</v>
      </c>
      <c r="D85" s="596" t="s">
        <v>52</v>
      </c>
      <c r="E85" s="2134" t="s">
        <v>1633</v>
      </c>
      <c r="F85" s="2134"/>
      <c r="G85" s="2134"/>
    </row>
    <row r="86" spans="1:7">
      <c r="C86" t="s">
        <v>1300</v>
      </c>
      <c r="D86" t="e">
        <f>'A-8 (Act. Sponsor) '!#REF!</f>
        <v>#REF!</v>
      </c>
      <c r="E86" t="s">
        <v>1464</v>
      </c>
    </row>
    <row r="88" spans="1:7">
      <c r="A88" t="s">
        <v>1467</v>
      </c>
      <c r="B88" t="s">
        <v>1468</v>
      </c>
      <c r="C88" t="s">
        <v>939</v>
      </c>
    </row>
    <row r="89" spans="1:7">
      <c r="C89" t="s">
        <v>938</v>
      </c>
    </row>
    <row r="90" spans="1:7">
      <c r="C90" t="s">
        <v>1598</v>
      </c>
    </row>
    <row r="92" spans="1:7">
      <c r="A92" t="s">
        <v>1599</v>
      </c>
      <c r="B92" t="s">
        <v>1603</v>
      </c>
      <c r="C92" t="s">
        <v>1600</v>
      </c>
    </row>
    <row r="94" spans="1:7">
      <c r="A94" t="s">
        <v>1601</v>
      </c>
      <c r="B94" t="s">
        <v>1602</v>
      </c>
      <c r="C94" t="s">
        <v>1600</v>
      </c>
    </row>
    <row r="96" spans="1:7">
      <c r="A96" t="s">
        <v>1604</v>
      </c>
      <c r="B96" t="s">
        <v>920</v>
      </c>
      <c r="C96" t="s">
        <v>1605</v>
      </c>
    </row>
    <row r="97" spans="1:3">
      <c r="C97" t="s">
        <v>663</v>
      </c>
    </row>
    <row r="99" spans="1:3">
      <c r="B99" t="s">
        <v>550</v>
      </c>
      <c r="C99" t="s">
        <v>326</v>
      </c>
    </row>
    <row r="100" spans="1:3">
      <c r="C100" t="s">
        <v>490</v>
      </c>
    </row>
    <row r="102" spans="1:3">
      <c r="B102" t="s">
        <v>664</v>
      </c>
      <c r="C102" t="s">
        <v>328</v>
      </c>
    </row>
    <row r="104" spans="1:3">
      <c r="B104" t="s">
        <v>665</v>
      </c>
      <c r="C104" t="s">
        <v>327</v>
      </c>
    </row>
    <row r="106" spans="1:3">
      <c r="B106" t="s">
        <v>666</v>
      </c>
    </row>
    <row r="108" spans="1:3">
      <c r="B108" t="s">
        <v>667</v>
      </c>
    </row>
    <row r="109" spans="1:3">
      <c r="C109" t="s">
        <v>493</v>
      </c>
    </row>
    <row r="110" spans="1:3">
      <c r="A110" t="s">
        <v>668</v>
      </c>
      <c r="B110" t="s">
        <v>669</v>
      </c>
    </row>
    <row r="111" spans="1:3">
      <c r="C111" t="s">
        <v>491</v>
      </c>
    </row>
    <row r="112" spans="1:3">
      <c r="A112" t="s">
        <v>670</v>
      </c>
      <c r="B112" t="s">
        <v>745</v>
      </c>
    </row>
    <row r="114" spans="1:7">
      <c r="A114" t="s">
        <v>746</v>
      </c>
      <c r="B114" t="s">
        <v>747</v>
      </c>
      <c r="C114" t="s">
        <v>492</v>
      </c>
    </row>
    <row r="116" spans="1:7">
      <c r="A116" t="s">
        <v>748</v>
      </c>
      <c r="B116" t="s">
        <v>749</v>
      </c>
      <c r="C116" t="s">
        <v>1628</v>
      </c>
    </row>
    <row r="117" spans="1:7">
      <c r="C117" s="593" t="s">
        <v>1462</v>
      </c>
      <c r="D117" s="596" t="s">
        <v>52</v>
      </c>
      <c r="E117" s="2134" t="s">
        <v>1633</v>
      </c>
      <c r="F117" s="2134"/>
      <c r="G117" s="2134"/>
    </row>
    <row r="118" spans="1:7">
      <c r="C118" t="s">
        <v>1720</v>
      </c>
      <c r="D118" s="595">
        <f>'P-4 (Proj. RTO Directed)'!H11</f>
        <v>0</v>
      </c>
      <c r="E118" t="s">
        <v>1721</v>
      </c>
    </row>
    <row r="119" spans="1:7">
      <c r="C119" t="s">
        <v>1720</v>
      </c>
      <c r="D119" s="595">
        <f>'P-4 (Proj. RTO Directed)'!K11</f>
        <v>0</v>
      </c>
      <c r="E119" t="s">
        <v>1456</v>
      </c>
    </row>
    <row r="121" spans="1:7">
      <c r="A121" t="s">
        <v>750</v>
      </c>
      <c r="B121" t="s">
        <v>751</v>
      </c>
      <c r="C121" t="s">
        <v>1719</v>
      </c>
    </row>
    <row r="123" spans="1:7">
      <c r="A123" t="s">
        <v>752</v>
      </c>
      <c r="B123" t="s">
        <v>1718</v>
      </c>
      <c r="C123" t="s">
        <v>1719</v>
      </c>
    </row>
  </sheetData>
  <customSheetViews>
    <customSheetView guid="{FAA8FFD9-C96B-4A1B-8B9E-B863FD90DDBA}" state="hidden" showRuler="0">
      <selection activeCell="D15" sqref="D15:I15"/>
      <rowBreaks count="1" manualBreakCount="1">
        <brk id="57" max="8" man="1"/>
      </rowBreaks>
      <pageMargins left="0.25" right="0.25" top="0.5" bottom="0.5" header="0" footer="0"/>
      <printOptions gridLines="1"/>
      <pageSetup orientation="landscape" r:id="rId1"/>
      <headerFooter alignWithMargins="0">
        <oddHeader xml:space="preserve">&amp;CKCPL Transmission Formula Rate
</oddHeader>
        <oddFooter xml:space="preserve">&amp;LKCPL Transmission Formula Rate 06-15-09.xls&amp;C&amp;P of &amp;N&amp;RNotes -Formula Rate
</oddFooter>
      </headerFooter>
    </customSheetView>
  </customSheetViews>
  <mergeCells count="19">
    <mergeCell ref="C5:I5"/>
    <mergeCell ref="C53:I53"/>
    <mergeCell ref="C52:I52"/>
    <mergeCell ref="D34:I34"/>
    <mergeCell ref="D12:I12"/>
    <mergeCell ref="D13:I13"/>
    <mergeCell ref="D14:I14"/>
    <mergeCell ref="D15:I15"/>
    <mergeCell ref="D18:I18"/>
    <mergeCell ref="D26:I26"/>
    <mergeCell ref="D23:I23"/>
    <mergeCell ref="D38:I38"/>
    <mergeCell ref="E85:G85"/>
    <mergeCell ref="E59:G59"/>
    <mergeCell ref="E117:G117"/>
    <mergeCell ref="C46:I46"/>
    <mergeCell ref="D30:I30"/>
    <mergeCell ref="D31:I31"/>
    <mergeCell ref="E75:G75"/>
  </mergeCells>
  <phoneticPr fontId="28" type="noConversion"/>
  <printOptions gridLines="1"/>
  <pageMargins left="0.25" right="0.25" top="0.5" bottom="0.5" header="0" footer="0"/>
  <pageSetup orientation="landscape" r:id="rId2"/>
  <headerFooter alignWithMargins="0">
    <oddHeader xml:space="preserve">&amp;CKCPL Transmission Formula Rate
</oddHeader>
    <oddFooter xml:space="preserve">&amp;LKCPL Transmission Formula Rate 06-15-09.xls&amp;C&amp;P of &amp;N&amp;RNotes -Formula Rate
</oddFooter>
  </headerFooter>
  <rowBreaks count="1" manualBreakCount="1">
    <brk id="57" max="8"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dimension ref="A1:Z68"/>
  <sheetViews>
    <sheetView view="pageBreakPreview" topLeftCell="F12" zoomScale="75" zoomScaleNormal="100" zoomScaleSheetLayoutView="100" workbookViewId="0">
      <selection activeCell="B56" sqref="B56"/>
    </sheetView>
  </sheetViews>
  <sheetFormatPr defaultRowHeight="12.75"/>
  <cols>
    <col min="1" max="1" width="3.33203125" style="88" customWidth="1"/>
    <col min="2" max="2" width="11.33203125" style="88" customWidth="1"/>
    <col min="3" max="3" width="13.77734375" style="88" customWidth="1"/>
    <col min="4" max="4" width="8.44140625" style="88" customWidth="1"/>
    <col min="5" max="5" width="11.33203125" style="88" customWidth="1"/>
    <col min="6" max="6" width="10.5546875" style="88" customWidth="1"/>
    <col min="7" max="7" width="9.5546875" style="88" customWidth="1"/>
    <col min="8" max="8" width="9.33203125" style="88" customWidth="1"/>
    <col min="9" max="9" width="13.33203125" style="88" customWidth="1"/>
    <col min="10" max="10" width="11.21875" style="88" customWidth="1"/>
    <col min="11" max="11" width="9.21875" style="88" customWidth="1"/>
    <col min="12" max="12" width="10" style="88" customWidth="1"/>
    <col min="13" max="13" width="10.5546875" style="88" customWidth="1"/>
    <col min="14" max="14" width="10.77734375" style="88" customWidth="1"/>
    <col min="15" max="15" width="11.21875" style="88" customWidth="1"/>
    <col min="16" max="16" width="10.44140625" style="88" customWidth="1"/>
    <col min="17" max="17" width="13.5546875" style="88" customWidth="1"/>
    <col min="18" max="18" width="9.77734375" style="88" customWidth="1"/>
    <col min="19" max="19" width="12" style="88" customWidth="1"/>
    <col min="20" max="20" width="10.33203125" style="88" customWidth="1"/>
    <col min="21" max="21" width="11.5546875" style="88" customWidth="1"/>
    <col min="22" max="22" width="9.33203125" style="88" customWidth="1"/>
    <col min="23" max="23" width="12.6640625" style="88" customWidth="1"/>
    <col min="24" max="24" width="14.33203125" style="88" bestFit="1" customWidth="1"/>
    <col min="25" max="25" width="15.88671875" style="88" bestFit="1" customWidth="1"/>
    <col min="26" max="16384" width="8.88671875" style="88"/>
  </cols>
  <sheetData>
    <row r="1" spans="1:12" ht="20.25">
      <c r="B1" s="1426" t="s">
        <v>381</v>
      </c>
      <c r="J1" s="2193" t="s">
        <v>196</v>
      </c>
      <c r="K1" s="2193"/>
    </row>
    <row r="2" spans="1:12" ht="34.5" customHeight="1">
      <c r="B2" s="2253" t="s">
        <v>413</v>
      </c>
      <c r="C2" s="2135"/>
      <c r="D2" s="2135"/>
      <c r="E2" s="2135"/>
      <c r="F2" s="2135"/>
      <c r="G2" s="2135"/>
      <c r="H2" s="2135"/>
      <c r="I2" s="2135"/>
    </row>
    <row r="3" spans="1:12" ht="15">
      <c r="B3" s="72" t="str">
        <f>'RTO Project Smry'!B4</f>
        <v>For the 12 months ended - December 31, 2014</v>
      </c>
      <c r="L3" s="547" t="s">
        <v>770</v>
      </c>
    </row>
    <row r="4" spans="1:12" ht="15">
      <c r="L4" s="1601"/>
    </row>
    <row r="6" spans="1:12" ht="63.75" thickBot="1">
      <c r="I6" s="1839" t="s">
        <v>249</v>
      </c>
      <c r="J6" s="1607"/>
      <c r="K6" s="1607"/>
      <c r="L6" s="1607"/>
    </row>
    <row r="7" spans="1:12">
      <c r="A7" s="344">
        <v>1</v>
      </c>
      <c r="B7" s="88" t="s">
        <v>1750</v>
      </c>
      <c r="E7" s="345" t="s">
        <v>1751</v>
      </c>
      <c r="I7" s="89">
        <f>'P-1 (Trans Plant)'!J90</f>
        <v>7564594.0694839992</v>
      </c>
      <c r="J7" s="344"/>
    </row>
    <row r="8" spans="1:12">
      <c r="A8" s="344"/>
      <c r="J8" s="344"/>
    </row>
    <row r="9" spans="1:12">
      <c r="A9" s="344">
        <f>A7+1</f>
        <v>2</v>
      </c>
      <c r="B9" s="88" t="s">
        <v>511</v>
      </c>
      <c r="E9" s="88" t="s">
        <v>1035</v>
      </c>
      <c r="I9" s="545">
        <f>'Projected Gross Rev Req'!K16</f>
        <v>338175618.09425831</v>
      </c>
      <c r="J9" s="344"/>
    </row>
    <row r="10" spans="1:12">
      <c r="A10" s="344">
        <f>A9+1</f>
        <v>3</v>
      </c>
      <c r="B10" s="88" t="s">
        <v>953</v>
      </c>
      <c r="E10" s="88" t="s">
        <v>973</v>
      </c>
      <c r="I10" s="346">
        <f>'Projected Gross Rev Req'!E236</f>
        <v>0</v>
      </c>
      <c r="J10" s="344"/>
    </row>
    <row r="11" spans="1:12">
      <c r="A11" s="344">
        <f>A10+1</f>
        <v>4</v>
      </c>
      <c r="B11" s="88" t="s">
        <v>918</v>
      </c>
      <c r="E11" s="88" t="s">
        <v>954</v>
      </c>
      <c r="I11" s="89">
        <f>+I9-I10</f>
        <v>338175618.09425831</v>
      </c>
      <c r="J11" s="344"/>
    </row>
    <row r="12" spans="1:12">
      <c r="A12" s="344"/>
      <c r="J12" s="344"/>
    </row>
    <row r="13" spans="1:12">
      <c r="A13" s="344">
        <f>A11+1</f>
        <v>5</v>
      </c>
      <c r="B13" s="88" t="s">
        <v>246</v>
      </c>
      <c r="E13" s="88" t="s">
        <v>702</v>
      </c>
      <c r="I13" s="545">
        <f>'Projected Gross Rev Req'!K39</f>
        <v>-35740930.859887272</v>
      </c>
      <c r="J13" s="344"/>
    </row>
    <row r="14" spans="1:12">
      <c r="A14" s="344">
        <f t="shared" ref="A14:A24" si="0">A13+1</f>
        <v>6</v>
      </c>
      <c r="B14" s="88" t="s">
        <v>1061</v>
      </c>
      <c r="E14" s="345" t="s">
        <v>1060</v>
      </c>
      <c r="I14" s="346">
        <f>'P-1 (Trans Plant)'!I91</f>
        <v>422060708</v>
      </c>
      <c r="J14" s="344"/>
    </row>
    <row r="15" spans="1:12">
      <c r="A15" s="344">
        <f t="shared" si="0"/>
        <v>7</v>
      </c>
      <c r="B15" s="88" t="s">
        <v>698</v>
      </c>
      <c r="E15" s="88" t="s">
        <v>773</v>
      </c>
      <c r="I15" s="346">
        <f>'Projected Gross Rev Req'!K28</f>
        <v>182055975.14703271</v>
      </c>
      <c r="J15" s="344"/>
    </row>
    <row r="16" spans="1:12">
      <c r="A16" s="344">
        <f t="shared" si="0"/>
        <v>8</v>
      </c>
      <c r="B16" s="1249" t="s">
        <v>592</v>
      </c>
      <c r="E16" s="1249" t="s">
        <v>245</v>
      </c>
      <c r="I16" s="346">
        <f>I15-0</f>
        <v>182055975.14703271</v>
      </c>
      <c r="J16" s="344"/>
    </row>
    <row r="17" spans="1:10">
      <c r="A17" s="344">
        <f t="shared" si="0"/>
        <v>9</v>
      </c>
      <c r="B17" s="88" t="s">
        <v>1736</v>
      </c>
      <c r="E17" s="88" t="s">
        <v>789</v>
      </c>
      <c r="I17" s="346">
        <f>'Projected Gross Rev Req'!K81</f>
        <v>12239936.440650588</v>
      </c>
      <c r="J17" s="344"/>
    </row>
    <row r="18" spans="1:10">
      <c r="A18" s="344">
        <f t="shared" si="0"/>
        <v>10</v>
      </c>
      <c r="B18" s="88" t="s">
        <v>1207</v>
      </c>
      <c r="E18" s="88" t="s">
        <v>129</v>
      </c>
      <c r="I18" s="346">
        <v>0</v>
      </c>
      <c r="J18" s="344"/>
    </row>
    <row r="19" spans="1:10">
      <c r="A19" s="344">
        <f t="shared" si="0"/>
        <v>11</v>
      </c>
      <c r="B19" s="88" t="s">
        <v>687</v>
      </c>
      <c r="E19" s="88" t="s">
        <v>1752</v>
      </c>
      <c r="I19" s="346">
        <f>'Projected Gross Rev Req'!K98</f>
        <v>3594506.6297115721</v>
      </c>
      <c r="J19" s="344"/>
    </row>
    <row r="20" spans="1:10">
      <c r="A20" s="344">
        <f t="shared" si="0"/>
        <v>12</v>
      </c>
      <c r="B20" s="88" t="s">
        <v>697</v>
      </c>
      <c r="E20" s="88" t="s">
        <v>1753</v>
      </c>
      <c r="I20" s="348">
        <f>IF('Projected Gross Rev Req'!$F$102=0,0,'Projected Gross Rev Req'!F102)</f>
        <v>0.38239946345762427</v>
      </c>
      <c r="J20" s="344"/>
    </row>
    <row r="21" spans="1:10">
      <c r="A21" s="344">
        <f t="shared" si="0"/>
        <v>13</v>
      </c>
      <c r="B21" s="88" t="s">
        <v>1580</v>
      </c>
      <c r="E21" s="88" t="s">
        <v>1754</v>
      </c>
      <c r="I21" s="346">
        <f>'Projected Gross Rev Req'!K108</f>
        <v>5246105.2613857808</v>
      </c>
      <c r="J21" s="344"/>
    </row>
    <row r="22" spans="1:10">
      <c r="A22" s="344">
        <f t="shared" si="0"/>
        <v>14</v>
      </c>
      <c r="B22" s="1249" t="s">
        <v>1005</v>
      </c>
      <c r="C22" s="1249"/>
      <c r="D22" s="1249"/>
      <c r="E22" s="1834" t="str">
        <f>"(Wksht A-9, p.1, Summary,  line "&amp;'A-9 (Act. Incentive Projects)'!A25&amp;")"</f>
        <v>(Wksht A-9, p.1, Summary,  line 13)</v>
      </c>
      <c r="F22" s="1249"/>
      <c r="G22" s="1249"/>
      <c r="H22" s="1249"/>
      <c r="I22" s="348">
        <f>'A-9 (Act. Incentive Projects)'!M25</f>
        <v>0.63412352476290834</v>
      </c>
      <c r="J22" s="344"/>
    </row>
    <row r="23" spans="1:10">
      <c r="A23" s="344">
        <f t="shared" si="0"/>
        <v>15</v>
      </c>
      <c r="B23" s="88" t="s">
        <v>1737</v>
      </c>
      <c r="E23" s="1834" t="str">
        <f>"(Proj Gross Rev Req, p.4, line "&amp;'Projected Gross Rev Req'!A236&amp;")"</f>
        <v>(Proj Gross Rev Req, p.4, line 38)</v>
      </c>
      <c r="I23" s="346">
        <f>'Projected Gross Rev Req'!E236</f>
        <v>0</v>
      </c>
      <c r="J23" s="344"/>
    </row>
    <row r="24" spans="1:10">
      <c r="A24" s="344">
        <f t="shared" si="0"/>
        <v>16</v>
      </c>
      <c r="B24" s="88" t="s">
        <v>919</v>
      </c>
      <c r="E24" s="1249"/>
      <c r="I24" s="89"/>
      <c r="J24" s="344"/>
    </row>
    <row r="25" spans="1:10">
      <c r="A25" s="344">
        <f>A24+1</f>
        <v>17</v>
      </c>
      <c r="B25" s="88" t="s">
        <v>1346</v>
      </c>
      <c r="E25" s="88" t="s">
        <v>1037</v>
      </c>
      <c r="I25" s="347">
        <f>IF(I15=0,0,I13/I15)</f>
        <v>-0.1963183621467082</v>
      </c>
      <c r="J25" s="344"/>
    </row>
    <row r="26" spans="1:10">
      <c r="A26" s="344">
        <f t="shared" ref="A26:A32" si="1">A25+1</f>
        <v>18</v>
      </c>
      <c r="B26" s="88" t="s">
        <v>1224</v>
      </c>
      <c r="E26" s="88" t="s">
        <v>1038</v>
      </c>
      <c r="I26" s="347">
        <f>IF(I15=0,0,I17/I15)</f>
        <v>6.723172052312662E-2</v>
      </c>
      <c r="J26" s="344"/>
    </row>
    <row r="27" spans="1:10">
      <c r="A27" s="344">
        <f t="shared" si="1"/>
        <v>19</v>
      </c>
      <c r="B27" s="357" t="s">
        <v>1453</v>
      </c>
      <c r="C27" s="357"/>
      <c r="D27" s="357"/>
      <c r="E27" s="357"/>
      <c r="F27" s="357"/>
      <c r="G27" s="357"/>
      <c r="H27" s="357"/>
      <c r="I27" s="364"/>
      <c r="J27" s="344"/>
    </row>
    <row r="28" spans="1:10">
      <c r="A28" s="344">
        <f t="shared" si="1"/>
        <v>20</v>
      </c>
      <c r="B28" s="88" t="s">
        <v>902</v>
      </c>
      <c r="E28" s="88" t="s">
        <v>849</v>
      </c>
      <c r="I28" s="347">
        <f>IF(I15=0,0,I19/I15)</f>
        <v>1.9743964057255269E-2</v>
      </c>
      <c r="J28" s="344"/>
    </row>
    <row r="29" spans="1:10">
      <c r="A29" s="344">
        <f t="shared" si="1"/>
        <v>21</v>
      </c>
      <c r="B29" s="88" t="s">
        <v>901</v>
      </c>
      <c r="E29" s="1834" t="str">
        <f>"(Proj Gross Rev Req, p.4, line "&amp;'Projected Gross Rev Req'!A210&amp;")"</f>
        <v>(Proj Gross Rev Req, p.4, line 21)</v>
      </c>
      <c r="I29" s="347">
        <f>'Projected Gross Rev Req'!K210</f>
        <v>9.0731045752656447E-2</v>
      </c>
      <c r="J29" s="344"/>
    </row>
    <row r="30" spans="1:10">
      <c r="A30" s="344">
        <f t="shared" si="1"/>
        <v>22</v>
      </c>
      <c r="B30" s="88" t="s">
        <v>900</v>
      </c>
      <c r="E30" s="88" t="s">
        <v>1039</v>
      </c>
      <c r="I30" s="347">
        <f>IF(I15=0,0,I21/I15)</f>
        <v>2.8815891690173321E-2</v>
      </c>
      <c r="J30" s="344"/>
    </row>
    <row r="31" spans="1:10">
      <c r="A31" s="344">
        <f t="shared" si="1"/>
        <v>23</v>
      </c>
      <c r="B31" s="88" t="s">
        <v>1040</v>
      </c>
      <c r="E31" s="88" t="s">
        <v>94</v>
      </c>
      <c r="I31" s="349">
        <f>'Projected Gross Rev Req'!G209</f>
        <v>0.4904123262493072</v>
      </c>
      <c r="J31" s="344"/>
    </row>
    <row r="32" spans="1:10">
      <c r="A32" s="344">
        <f t="shared" si="1"/>
        <v>24</v>
      </c>
      <c r="B32" s="88" t="s">
        <v>690</v>
      </c>
      <c r="E32" s="88" t="s">
        <v>1197</v>
      </c>
      <c r="I32" s="348">
        <f>IF(S50=0,0,I24/S50)</f>
        <v>0</v>
      </c>
      <c r="J32" s="344"/>
    </row>
    <row r="34" spans="1:24" ht="20.25">
      <c r="B34" s="340" t="str">
        <f>+B1</f>
        <v>Sponsor Funded Project Summary</v>
      </c>
      <c r="J34" s="2193" t="s">
        <v>197</v>
      </c>
      <c r="K34" s="2193"/>
      <c r="L34" s="742"/>
      <c r="S34" s="2193" t="s">
        <v>198</v>
      </c>
      <c r="T34" s="2193"/>
    </row>
    <row r="35" spans="1:24" ht="18">
      <c r="B35" s="342" t="str">
        <f>+B2</f>
        <v>Revenue Requirement for Sponsor Funded Projects (SFP) included in KCP&amp;L's Projected Revenue Requirements</v>
      </c>
      <c r="M35" s="1098"/>
      <c r="W35" s="1098"/>
    </row>
    <row r="36" spans="1:24" ht="15">
      <c r="B36" s="546" t="str">
        <f>+B3</f>
        <v>For the 12 months ended - December 31, 2014</v>
      </c>
      <c r="M36" s="547" t="s">
        <v>771</v>
      </c>
      <c r="O36" s="352"/>
      <c r="W36" s="547" t="s">
        <v>1253</v>
      </c>
    </row>
    <row r="37" spans="1:24">
      <c r="N37" s="1387"/>
      <c r="O37" s="1387"/>
    </row>
    <row r="38" spans="1:24">
      <c r="B38" s="1249" t="s">
        <v>371</v>
      </c>
      <c r="N38" s="135"/>
      <c r="O38" s="135"/>
    </row>
    <row r="39" spans="1:24">
      <c r="B39" s="1249" t="s">
        <v>372</v>
      </c>
    </row>
    <row r="40" spans="1:24">
      <c r="B40" s="1249" t="s">
        <v>936</v>
      </c>
    </row>
    <row r="42" spans="1:24" ht="15.75">
      <c r="B42" s="350"/>
      <c r="C42" s="350"/>
      <c r="D42" s="350"/>
      <c r="E42" s="1329" t="s">
        <v>1529</v>
      </c>
      <c r="F42" s="1329" t="s">
        <v>1527</v>
      </c>
      <c r="G42" s="1329" t="s">
        <v>1528</v>
      </c>
      <c r="H42" s="1330" t="s">
        <v>1167</v>
      </c>
      <c r="I42" s="1330" t="s">
        <v>1168</v>
      </c>
      <c r="J42" s="1329" t="s">
        <v>1169</v>
      </c>
      <c r="K42" s="1330" t="s">
        <v>1170</v>
      </c>
      <c r="L42" s="1329" t="s">
        <v>1171</v>
      </c>
      <c r="M42" s="1329" t="s">
        <v>1172</v>
      </c>
      <c r="N42" s="1329" t="s">
        <v>1173</v>
      </c>
      <c r="O42" s="1329" t="s">
        <v>1174</v>
      </c>
      <c r="P42" s="1329" t="s">
        <v>1175</v>
      </c>
      <c r="Q42" s="1329" t="s">
        <v>1176</v>
      </c>
      <c r="R42" s="1329" t="s">
        <v>1177</v>
      </c>
      <c r="S42" s="1329" t="s">
        <v>1551</v>
      </c>
      <c r="T42" s="1329" t="s">
        <v>921</v>
      </c>
      <c r="U42" s="1329" t="s">
        <v>828</v>
      </c>
      <c r="V42" s="1329" t="s">
        <v>429</v>
      </c>
      <c r="W42" s="1329" t="s">
        <v>516</v>
      </c>
    </row>
    <row r="43" spans="1:24">
      <c r="B43" s="351"/>
      <c r="C43" s="351"/>
      <c r="D43" s="351"/>
      <c r="E43" s="352" t="s">
        <v>267</v>
      </c>
      <c r="F43" s="352" t="s">
        <v>899</v>
      </c>
      <c r="G43" s="352" t="s">
        <v>1548</v>
      </c>
      <c r="H43" s="352" t="s">
        <v>1584</v>
      </c>
      <c r="I43" s="1244" t="s">
        <v>148</v>
      </c>
      <c r="J43" s="352" t="s">
        <v>1549</v>
      </c>
      <c r="K43" s="352" t="s">
        <v>477</v>
      </c>
      <c r="L43" s="352" t="s">
        <v>1028</v>
      </c>
      <c r="M43" s="352" t="s">
        <v>1347</v>
      </c>
      <c r="N43" s="352" t="s">
        <v>982</v>
      </c>
      <c r="O43" s="352" t="s">
        <v>137</v>
      </c>
      <c r="P43" s="352" t="s">
        <v>54</v>
      </c>
      <c r="Q43" s="352" t="s">
        <v>1030</v>
      </c>
      <c r="R43" s="352" t="s">
        <v>465</v>
      </c>
      <c r="S43" s="352" t="s">
        <v>1201</v>
      </c>
      <c r="T43" s="352" t="s">
        <v>920</v>
      </c>
      <c r="U43" s="352" t="s">
        <v>728</v>
      </c>
      <c r="V43" s="352" t="s">
        <v>513</v>
      </c>
      <c r="W43" s="352" t="s">
        <v>430</v>
      </c>
    </row>
    <row r="44" spans="1:24" ht="13.5" thickBot="1">
      <c r="B44" s="353" t="s">
        <v>1147</v>
      </c>
      <c r="C44" s="353" t="s">
        <v>266</v>
      </c>
      <c r="D44" s="343"/>
      <c r="E44" s="354" t="s">
        <v>268</v>
      </c>
      <c r="F44" s="354" t="s">
        <v>1584</v>
      </c>
      <c r="G44" s="354" t="s">
        <v>1583</v>
      </c>
      <c r="H44" s="354" t="s">
        <v>1181</v>
      </c>
      <c r="I44" s="1245" t="s">
        <v>515</v>
      </c>
      <c r="J44" s="354" t="s">
        <v>1583</v>
      </c>
      <c r="K44" s="354" t="s">
        <v>1581</v>
      </c>
      <c r="L44" s="354" t="s">
        <v>1029</v>
      </c>
      <c r="M44" s="354" t="s">
        <v>1579</v>
      </c>
      <c r="N44" s="354" t="s">
        <v>1166</v>
      </c>
      <c r="O44" s="354" t="s">
        <v>1534</v>
      </c>
      <c r="P44" s="354" t="s">
        <v>1579</v>
      </c>
      <c r="Q44" s="354" t="s">
        <v>1029</v>
      </c>
      <c r="R44" s="354" t="s">
        <v>685</v>
      </c>
      <c r="S44" s="354" t="s">
        <v>827</v>
      </c>
      <c r="T44" s="354" t="s">
        <v>1624</v>
      </c>
      <c r="U44" s="354" t="s">
        <v>1739</v>
      </c>
      <c r="V44" s="354" t="s">
        <v>512</v>
      </c>
      <c r="W44" s="354" t="s">
        <v>1739</v>
      </c>
    </row>
    <row r="45" spans="1:24" ht="27.75" customHeight="1">
      <c r="B45" s="355"/>
      <c r="C45" s="351"/>
      <c r="D45" s="352"/>
      <c r="E45" s="352"/>
      <c r="F45" s="352"/>
      <c r="G45" s="352" t="s">
        <v>619</v>
      </c>
      <c r="H45" s="352" t="s">
        <v>952</v>
      </c>
      <c r="I45" s="1247" t="s">
        <v>5</v>
      </c>
      <c r="J45" s="352" t="s">
        <v>1550</v>
      </c>
      <c r="K45" s="352" t="s">
        <v>1552</v>
      </c>
      <c r="L45" s="352" t="s">
        <v>956</v>
      </c>
      <c r="M45" s="352" t="s">
        <v>673</v>
      </c>
      <c r="N45" s="1836" t="s">
        <v>19</v>
      </c>
      <c r="O45" s="1836" t="s">
        <v>19</v>
      </c>
      <c r="P45" s="1837" t="s">
        <v>20</v>
      </c>
      <c r="Q45" s="1836" t="s">
        <v>510</v>
      </c>
      <c r="R45" s="1244" t="s">
        <v>6</v>
      </c>
      <c r="S45" s="352" t="s">
        <v>463</v>
      </c>
      <c r="T45" s="352" t="s">
        <v>1762</v>
      </c>
      <c r="U45" s="352" t="s">
        <v>829</v>
      </c>
      <c r="V45" s="352"/>
      <c r="W45" s="352" t="s">
        <v>464</v>
      </c>
    </row>
    <row r="46" spans="1:24">
      <c r="A46" s="1593"/>
      <c r="B46" s="135"/>
      <c r="C46" s="135" t="str">
        <f>'A-8 (Act. Sponsor) '!H13</f>
        <v xml:space="preserve"> LaCygne West Gardner</v>
      </c>
      <c r="D46" s="135"/>
      <c r="E46" s="1840">
        <f>'A-8 (Act. Sponsor) '!G28</f>
        <v>10183486</v>
      </c>
      <c r="F46" s="1841">
        <f>'A-8 (Act. Sponsor) '!I29+'A-8 (Act. Sponsor) '!H30</f>
        <v>1686136.8570333945</v>
      </c>
      <c r="G46" s="89">
        <f>E46-F46</f>
        <v>8497349.1429666057</v>
      </c>
      <c r="H46" s="358">
        <f>IF(I$14=0,0,I$7/I$14)</f>
        <v>1.7922999999999998E-2</v>
      </c>
      <c r="I46" s="89">
        <f>ROUND(E46*H46*1.5,0)</f>
        <v>273778</v>
      </c>
      <c r="J46" s="89">
        <f>MAX(E46-F46-I46,0)</f>
        <v>8223571.1429666057</v>
      </c>
      <c r="K46" s="89">
        <f>ROUND(J46*$I$26,0)</f>
        <v>552885</v>
      </c>
      <c r="L46" s="89">
        <f>ROUND(J46*$I$28,0)</f>
        <v>162366</v>
      </c>
      <c r="M46" s="348">
        <f>+I$29</f>
        <v>9.0731045752656447E-2</v>
      </c>
      <c r="N46" s="359">
        <v>0</v>
      </c>
      <c r="O46" s="89">
        <v>0</v>
      </c>
      <c r="P46" s="89">
        <f>ROUND((M46*J46)+(M46*O46)+(N46*J46),0)</f>
        <v>746133</v>
      </c>
      <c r="Q46" s="89">
        <f>ROUND((P46-(N46*J46))*I$20+(N46*J46*I$22),0)</f>
        <v>285321</v>
      </c>
      <c r="R46" s="89">
        <f>I46/1.5</f>
        <v>182518.66666666666</v>
      </c>
      <c r="S46" s="89">
        <f>+K46+L46+P46+Q46+R46</f>
        <v>1929223.6666666667</v>
      </c>
      <c r="T46" s="89">
        <f>ROUND(S46*I$32,0)</f>
        <v>0</v>
      </c>
      <c r="U46" s="89">
        <f>S46+T46</f>
        <v>1929223.6666666667</v>
      </c>
      <c r="V46" s="89"/>
      <c r="W46" s="89">
        <f>U46+V46</f>
        <v>1929223.6666666667</v>
      </c>
      <c r="X46" s="347"/>
    </row>
    <row r="47" spans="1:24">
      <c r="A47" s="1593" t="s">
        <v>1419</v>
      </c>
      <c r="B47" s="135" t="s">
        <v>692</v>
      </c>
      <c r="C47" s="135" t="s">
        <v>841</v>
      </c>
      <c r="D47" s="135"/>
      <c r="E47" s="1840">
        <f>'A-8 (Act. Sponsor) '!J28</f>
        <v>0</v>
      </c>
      <c r="F47" s="1841">
        <f>'A-8 (Act. Sponsor) '!L29+'A-8 (Act. Sponsor) '!K30</f>
        <v>0</v>
      </c>
      <c r="G47" s="89">
        <f>E47-F47</f>
        <v>0</v>
      </c>
      <c r="H47" s="358">
        <f>IF(I$14=0,0,I$7/I$14)</f>
        <v>1.7922999999999998E-2</v>
      </c>
      <c r="I47" s="89">
        <f>ROUND(E47*H47*1.5,0)</f>
        <v>0</v>
      </c>
      <c r="J47" s="89">
        <f>MAX(E47-F47-I47,0)</f>
        <v>0</v>
      </c>
      <c r="K47" s="89">
        <f>ROUND(J47*$I$26,0)</f>
        <v>0</v>
      </c>
      <c r="L47" s="89">
        <f>ROUND(J47*$I$28,0)</f>
        <v>0</v>
      </c>
      <c r="M47" s="348">
        <f>+I$29</f>
        <v>9.0731045752656447E-2</v>
      </c>
      <c r="N47" s="359">
        <v>0</v>
      </c>
      <c r="O47" s="89">
        <v>0</v>
      </c>
      <c r="P47" s="89">
        <f>ROUND((M47*J47)+(M47*O47)+(N47*J47),0)</f>
        <v>0</v>
      </c>
      <c r="Q47" s="89">
        <f>ROUND((P47-(N47*J47))*I$20+(N47*J47*I$22),0)</f>
        <v>0</v>
      </c>
      <c r="R47" s="89">
        <f>I47/1.5</f>
        <v>0</v>
      </c>
      <c r="S47" s="89">
        <f>+K47+L47+P47+Q47+R47</f>
        <v>0</v>
      </c>
      <c r="T47" s="89">
        <f>ROUND(S47*I$32,0)</f>
        <v>0</v>
      </c>
      <c r="U47" s="89">
        <f>S47+T47</f>
        <v>0</v>
      </c>
      <c r="V47" s="89"/>
      <c r="W47" s="89">
        <f>U47+V47</f>
        <v>0</v>
      </c>
      <c r="X47" s="347"/>
    </row>
    <row r="48" spans="1:24">
      <c r="A48" s="1594" t="s">
        <v>1419</v>
      </c>
      <c r="B48" s="165" t="s">
        <v>692</v>
      </c>
      <c r="C48" s="357" t="s">
        <v>915</v>
      </c>
      <c r="D48" s="357"/>
      <c r="E48" s="1842">
        <f>'A-8 (Act. Sponsor) '!M28</f>
        <v>0</v>
      </c>
      <c r="F48" s="1842">
        <f>'A-8 (Act. Sponsor) '!O29+'A-8 (Act. Sponsor) '!N30</f>
        <v>0</v>
      </c>
      <c r="G48" s="210">
        <f>E48-F48</f>
        <v>0</v>
      </c>
      <c r="H48" s="791">
        <f>IF(I$14=0,0,I$7/I$14)</f>
        <v>1.7922999999999998E-2</v>
      </c>
      <c r="I48" s="210">
        <f>ROUND(E48*H48*1.5,0)</f>
        <v>0</v>
      </c>
      <c r="J48" s="210">
        <f>MAX(E48-F48-I48,0)</f>
        <v>0</v>
      </c>
      <c r="K48" s="210">
        <f>ROUND(J48*$I$26,0)</f>
        <v>0</v>
      </c>
      <c r="L48" s="210">
        <f>ROUND(J48*$I$28,0)</f>
        <v>0</v>
      </c>
      <c r="M48" s="365">
        <f>+I$29</f>
        <v>9.0731045752656447E-2</v>
      </c>
      <c r="N48" s="792">
        <v>0</v>
      </c>
      <c r="O48" s="210">
        <v>0</v>
      </c>
      <c r="P48" s="210">
        <f>ROUND((M48*J48)+(M48*O48)+(N48*J48),0)</f>
        <v>0</v>
      </c>
      <c r="Q48" s="210">
        <f>ROUND((P48-(N48*J48))*I$20+(N48*J48*I$22),0)</f>
        <v>0</v>
      </c>
      <c r="R48" s="210">
        <f>I48/1.5</f>
        <v>0</v>
      </c>
      <c r="S48" s="210">
        <f>+K48+L48+P48+Q48+R48</f>
        <v>0</v>
      </c>
      <c r="T48" s="210">
        <f>ROUND(S48*I$32,0)</f>
        <v>0</v>
      </c>
      <c r="U48" s="210">
        <f>S48+T48</f>
        <v>0</v>
      </c>
      <c r="V48" s="210"/>
      <c r="W48" s="210">
        <f>U48+V48</f>
        <v>0</v>
      </c>
      <c r="X48" s="347"/>
    </row>
    <row r="49" spans="1:25">
      <c r="A49" s="1596"/>
      <c r="B49" s="433"/>
      <c r="C49" s="433"/>
      <c r="D49" s="433"/>
      <c r="E49" s="363"/>
      <c r="F49" s="363"/>
      <c r="G49" s="363"/>
      <c r="H49" s="430"/>
      <c r="I49" s="363"/>
      <c r="J49" s="363"/>
      <c r="K49" s="363"/>
      <c r="L49" s="363"/>
      <c r="M49" s="431"/>
      <c r="N49" s="432"/>
      <c r="O49" s="363"/>
      <c r="P49" s="363"/>
      <c r="Q49" s="363"/>
      <c r="R49" s="363"/>
      <c r="S49" s="363"/>
      <c r="T49" s="363"/>
      <c r="U49" s="363"/>
      <c r="V49" s="363"/>
      <c r="W49" s="363"/>
      <c r="X49" s="347"/>
    </row>
    <row r="50" spans="1:25">
      <c r="A50" s="1598" t="s">
        <v>922</v>
      </c>
      <c r="B50" s="1240" t="s">
        <v>1134</v>
      </c>
      <c r="E50" s="89">
        <f>SUM(E46:E49)</f>
        <v>10183486</v>
      </c>
      <c r="F50" s="89">
        <f t="shared" ref="F50:W50" si="2">SUM(F46:F49)</f>
        <v>1686136.8570333945</v>
      </c>
      <c r="G50" s="89">
        <f t="shared" si="2"/>
        <v>8497349.1429666057</v>
      </c>
      <c r="H50" s="89"/>
      <c r="I50" s="89">
        <f t="shared" si="2"/>
        <v>273778</v>
      </c>
      <c r="J50" s="89">
        <f t="shared" si="2"/>
        <v>8223571.1429666057</v>
      </c>
      <c r="K50" s="89">
        <f t="shared" si="2"/>
        <v>552885</v>
      </c>
      <c r="L50" s="89">
        <f t="shared" si="2"/>
        <v>162366</v>
      </c>
      <c r="M50" s="89"/>
      <c r="N50" s="89"/>
      <c r="O50" s="89">
        <f t="shared" si="2"/>
        <v>0</v>
      </c>
      <c r="P50" s="89">
        <f t="shared" si="2"/>
        <v>746133</v>
      </c>
      <c r="Q50" s="89">
        <f t="shared" si="2"/>
        <v>285321</v>
      </c>
      <c r="R50" s="89">
        <f t="shared" si="2"/>
        <v>182518.66666666666</v>
      </c>
      <c r="S50" s="89">
        <f t="shared" si="2"/>
        <v>1929223.6666666667</v>
      </c>
      <c r="T50" s="89">
        <f t="shared" si="2"/>
        <v>0</v>
      </c>
      <c r="U50" s="89">
        <f t="shared" si="2"/>
        <v>1929223.6666666667</v>
      </c>
      <c r="V50" s="89">
        <f t="shared" si="2"/>
        <v>0</v>
      </c>
      <c r="W50" s="89">
        <f t="shared" si="2"/>
        <v>1929223.6666666667</v>
      </c>
      <c r="X50" s="347"/>
    </row>
    <row r="51" spans="1:25">
      <c r="A51" s="1598"/>
      <c r="B51" s="135"/>
      <c r="E51" s="89"/>
      <c r="F51" s="89"/>
      <c r="G51" s="89"/>
      <c r="H51" s="347"/>
      <c r="I51" s="89"/>
      <c r="J51" s="89"/>
      <c r="K51" s="89"/>
      <c r="L51" s="89"/>
      <c r="M51" s="348"/>
      <c r="N51" s="348"/>
      <c r="O51" s="348"/>
      <c r="P51" s="89"/>
      <c r="Q51" s="89"/>
      <c r="R51" s="89"/>
      <c r="S51" s="89"/>
      <c r="T51" s="89"/>
      <c r="U51" s="89"/>
      <c r="V51" s="89"/>
      <c r="W51" s="89"/>
      <c r="X51" s="347"/>
    </row>
    <row r="52" spans="1:25">
      <c r="A52" s="1598"/>
      <c r="B52" s="135"/>
      <c r="E52" s="89"/>
      <c r="F52" s="89"/>
      <c r="G52" s="89"/>
      <c r="H52" s="347"/>
      <c r="I52" s="89"/>
      <c r="J52" s="89"/>
      <c r="K52" s="89"/>
      <c r="L52" s="89"/>
      <c r="M52" s="348"/>
      <c r="N52" s="348"/>
      <c r="O52" s="348"/>
      <c r="P52" s="89"/>
      <c r="Q52" s="89"/>
      <c r="R52" s="89"/>
      <c r="S52" s="89"/>
      <c r="T52" s="89"/>
      <c r="U52" s="89"/>
      <c r="V52" s="89"/>
      <c r="W52" s="89"/>
      <c r="X52" s="347"/>
    </row>
    <row r="53" spans="1:25">
      <c r="A53" s="1598"/>
      <c r="B53" s="351"/>
      <c r="C53" s="351"/>
      <c r="D53" s="351"/>
      <c r="E53" s="352" t="s">
        <v>267</v>
      </c>
      <c r="F53" s="352" t="s">
        <v>899</v>
      </c>
      <c r="G53" s="352" t="s">
        <v>1548</v>
      </c>
      <c r="H53" s="352" t="s">
        <v>1584</v>
      </c>
      <c r="I53" s="1244" t="s">
        <v>148</v>
      </c>
      <c r="J53" s="352" t="s">
        <v>1549</v>
      </c>
      <c r="K53" s="352" t="s">
        <v>477</v>
      </c>
      <c r="L53" s="352" t="s">
        <v>1028</v>
      </c>
      <c r="M53" s="352" t="s">
        <v>1347</v>
      </c>
      <c r="N53" s="352" t="s">
        <v>982</v>
      </c>
      <c r="O53" s="352" t="s">
        <v>137</v>
      </c>
      <c r="P53" s="352" t="s">
        <v>54</v>
      </c>
      <c r="Q53" s="352" t="s">
        <v>1030</v>
      </c>
      <c r="R53" s="352" t="s">
        <v>465</v>
      </c>
      <c r="S53" s="352" t="s">
        <v>1201</v>
      </c>
      <c r="T53" s="352" t="s">
        <v>920</v>
      </c>
      <c r="U53" s="352" t="s">
        <v>513</v>
      </c>
      <c r="V53" s="352" t="s">
        <v>513</v>
      </c>
      <c r="W53" s="352" t="s">
        <v>513</v>
      </c>
      <c r="X53" s="347"/>
    </row>
    <row r="54" spans="1:25" ht="13.5" thickBot="1">
      <c r="A54" s="1598"/>
      <c r="B54" s="353" t="s">
        <v>1147</v>
      </c>
      <c r="C54" s="353" t="s">
        <v>266</v>
      </c>
      <c r="D54" s="343"/>
      <c r="E54" s="354" t="s">
        <v>268</v>
      </c>
      <c r="F54" s="354" t="s">
        <v>1584</v>
      </c>
      <c r="G54" s="354" t="s">
        <v>1583</v>
      </c>
      <c r="H54" s="354" t="s">
        <v>1181</v>
      </c>
      <c r="I54" s="1245" t="s">
        <v>515</v>
      </c>
      <c r="J54" s="354" t="s">
        <v>1583</v>
      </c>
      <c r="K54" s="354" t="s">
        <v>1581</v>
      </c>
      <c r="L54" s="354" t="s">
        <v>1029</v>
      </c>
      <c r="M54" s="354" t="s">
        <v>1579</v>
      </c>
      <c r="N54" s="354" t="s">
        <v>1166</v>
      </c>
      <c r="O54" s="354" t="s">
        <v>1534</v>
      </c>
      <c r="P54" s="354" t="s">
        <v>1579</v>
      </c>
      <c r="Q54" s="354" t="s">
        <v>1029</v>
      </c>
      <c r="R54" s="354" t="s">
        <v>685</v>
      </c>
      <c r="S54" s="354" t="s">
        <v>827</v>
      </c>
      <c r="T54" s="354" t="s">
        <v>1624</v>
      </c>
      <c r="U54" s="354" t="s">
        <v>1739</v>
      </c>
      <c r="V54" s="354" t="s">
        <v>512</v>
      </c>
      <c r="W54" s="354" t="s">
        <v>1739</v>
      </c>
      <c r="X54" s="347"/>
    </row>
    <row r="55" spans="1:25" ht="27.75" customHeight="1">
      <c r="A55" s="1598"/>
      <c r="B55" s="355"/>
      <c r="C55" s="351"/>
      <c r="D55" s="352"/>
      <c r="E55" s="352"/>
      <c r="F55" s="352"/>
      <c r="G55" s="352" t="s">
        <v>619</v>
      </c>
      <c r="H55" s="352"/>
      <c r="I55" s="352" t="s">
        <v>503</v>
      </c>
      <c r="J55" s="352" t="s">
        <v>955</v>
      </c>
      <c r="K55" s="352" t="s">
        <v>1552</v>
      </c>
      <c r="L55" s="352" t="s">
        <v>956</v>
      </c>
      <c r="M55" s="352" t="s">
        <v>673</v>
      </c>
      <c r="N55" s="1836" t="s">
        <v>19</v>
      </c>
      <c r="O55" s="1836" t="s">
        <v>19</v>
      </c>
      <c r="P55" s="1837" t="s">
        <v>20</v>
      </c>
      <c r="Q55" s="1836" t="s">
        <v>510</v>
      </c>
      <c r="R55" s="352" t="s">
        <v>466</v>
      </c>
      <c r="S55" s="352" t="s">
        <v>463</v>
      </c>
      <c r="T55" s="352" t="s">
        <v>1761</v>
      </c>
      <c r="U55" s="352" t="s">
        <v>829</v>
      </c>
      <c r="V55" s="352"/>
      <c r="W55" s="352" t="s">
        <v>464</v>
      </c>
      <c r="X55" s="347"/>
    </row>
    <row r="56" spans="1:25">
      <c r="A56" s="1593"/>
      <c r="B56" s="135"/>
      <c r="C56" s="135" t="str">
        <f>'P-5 (Sponsored Projects) '!H8</f>
        <v>1</v>
      </c>
      <c r="E56" s="89">
        <f>'P-5 (Sponsored Projects) '!G42</f>
        <v>0</v>
      </c>
      <c r="F56" s="1399">
        <v>0</v>
      </c>
      <c r="G56" s="89">
        <f>E56</f>
        <v>0</v>
      </c>
      <c r="H56" s="359">
        <v>0</v>
      </c>
      <c r="I56" s="89">
        <f>'P-5 (Sponsored Projects) '!H42</f>
        <v>0</v>
      </c>
      <c r="J56" s="89">
        <f>MAX(E56-F56-I56,0)</f>
        <v>0</v>
      </c>
      <c r="K56" s="89">
        <f>ROUND(J56*$I$26,0)</f>
        <v>0</v>
      </c>
      <c r="L56" s="89">
        <f>ROUND(J56*$I$28,0)</f>
        <v>0</v>
      </c>
      <c r="M56" s="348">
        <f>+I$29</f>
        <v>9.0731045752656447E-2</v>
      </c>
      <c r="N56" s="359">
        <v>0</v>
      </c>
      <c r="O56" s="89">
        <v>0</v>
      </c>
      <c r="P56" s="89">
        <f>ROUND((M56*J56)+(M56*O56)+(N56*J56),0)</f>
        <v>0</v>
      </c>
      <c r="Q56" s="89">
        <f>ROUND((P56-(N56*J56))*I$20+(N56*J56*I$22),0)</f>
        <v>0</v>
      </c>
      <c r="R56" s="89">
        <f>'P-5 (Sponsored Projects) '!H43</f>
        <v>0</v>
      </c>
      <c r="S56" s="89">
        <f>K56+L56+P56+Q56+R56</f>
        <v>0</v>
      </c>
      <c r="T56" s="89">
        <v>0</v>
      </c>
      <c r="U56" s="89">
        <f>S56+T56</f>
        <v>0</v>
      </c>
      <c r="V56" s="89"/>
      <c r="W56" s="89">
        <f>U56+V56</f>
        <v>0</v>
      </c>
      <c r="X56" s="347"/>
    </row>
    <row r="57" spans="1:25">
      <c r="A57" s="1593" t="s">
        <v>1419</v>
      </c>
      <c r="B57" s="135" t="s">
        <v>692</v>
      </c>
      <c r="C57" s="135" t="s">
        <v>841</v>
      </c>
      <c r="E57" s="89">
        <f>'P-5 (Sponsored Projects) '!J42</f>
        <v>0</v>
      </c>
      <c r="F57" s="1399">
        <v>0</v>
      </c>
      <c r="G57" s="89">
        <f>E57</f>
        <v>0</v>
      </c>
      <c r="H57" s="359">
        <v>0</v>
      </c>
      <c r="I57" s="89">
        <f>'P-5 (Sponsored Projects) '!K42</f>
        <v>0</v>
      </c>
      <c r="J57" s="89">
        <f>MAX(E57-F57-I57,0)</f>
        <v>0</v>
      </c>
      <c r="K57" s="89">
        <f>ROUND(J57*$I$26,0)</f>
        <v>0</v>
      </c>
      <c r="L57" s="89">
        <f>ROUND(J57*$I$28,0)</f>
        <v>0</v>
      </c>
      <c r="M57" s="348">
        <f>+I$29</f>
        <v>9.0731045752656447E-2</v>
      </c>
      <c r="N57" s="359">
        <v>0</v>
      </c>
      <c r="O57" s="89">
        <v>0</v>
      </c>
      <c r="P57" s="89">
        <f>ROUND((M57*J57)+(M57*O57)+(N57*J57),0)</f>
        <v>0</v>
      </c>
      <c r="Q57" s="89">
        <f>ROUND((P57-(N57*J57))*I$20+(N57*J57*I$22),0)</f>
        <v>0</v>
      </c>
      <c r="R57" s="89">
        <f>'P-5 (Sponsored Projects) '!K43</f>
        <v>0</v>
      </c>
      <c r="S57" s="89">
        <f>K57+L57+P57+Q57+R57</f>
        <v>0</v>
      </c>
      <c r="T57" s="89">
        <v>0</v>
      </c>
      <c r="U57" s="89">
        <f>S57+T57</f>
        <v>0</v>
      </c>
      <c r="V57" s="89"/>
      <c r="W57" s="89">
        <f>U57+V57</f>
        <v>0</v>
      </c>
      <c r="X57" s="347"/>
    </row>
    <row r="58" spans="1:25">
      <c r="A58" s="1594" t="s">
        <v>1419</v>
      </c>
      <c r="B58" s="165" t="s">
        <v>692</v>
      </c>
      <c r="C58" s="357"/>
      <c r="D58" s="357"/>
      <c r="E58" s="210">
        <f>'P-5 (Sponsored Projects) '!M42</f>
        <v>0</v>
      </c>
      <c r="F58" s="1400">
        <f>'P-5 (Sponsored Projects) '!N42</f>
        <v>0</v>
      </c>
      <c r="G58" s="210">
        <f>E58</f>
        <v>0</v>
      </c>
      <c r="H58" s="792">
        <v>0</v>
      </c>
      <c r="I58" s="210">
        <f>'P-5 (Sponsored Projects) '!N42</f>
        <v>0</v>
      </c>
      <c r="J58" s="210">
        <f>MAX(E58-F58-I58,0)</f>
        <v>0</v>
      </c>
      <c r="K58" s="210">
        <f>ROUND(J58*$I$26,0)</f>
        <v>0</v>
      </c>
      <c r="L58" s="210">
        <f>ROUND(J58*$I$28,0)</f>
        <v>0</v>
      </c>
      <c r="M58" s="365">
        <f>+I$29</f>
        <v>9.0731045752656447E-2</v>
      </c>
      <c r="N58" s="792">
        <v>0</v>
      </c>
      <c r="O58" s="210">
        <v>0</v>
      </c>
      <c r="P58" s="210">
        <f>ROUND((M58*J58)+(M58*O58)+(N58*J58),0)</f>
        <v>0</v>
      </c>
      <c r="Q58" s="210">
        <f>ROUND((P58-(N58*J58))*I$20+(N58*J58*I$22),0)</f>
        <v>0</v>
      </c>
      <c r="R58" s="210">
        <f>'P-5 (Sponsored Projects) '!N43</f>
        <v>0</v>
      </c>
      <c r="S58" s="210">
        <f>K58+L58+P58+Q58+R58</f>
        <v>0</v>
      </c>
      <c r="T58" s="210">
        <v>0</v>
      </c>
      <c r="U58" s="210">
        <f>S58+T58</f>
        <v>0</v>
      </c>
      <c r="V58" s="210"/>
      <c r="W58" s="210">
        <f>U58+V58</f>
        <v>0</v>
      </c>
      <c r="X58" s="347"/>
    </row>
    <row r="59" spans="1:25">
      <c r="A59" s="1596"/>
      <c r="B59" s="433"/>
      <c r="C59" s="433"/>
      <c r="D59" s="433"/>
      <c r="E59" s="363"/>
      <c r="F59" s="1401"/>
      <c r="G59" s="363"/>
      <c r="H59" s="432"/>
      <c r="I59" s="363"/>
      <c r="J59" s="363"/>
      <c r="K59" s="363"/>
      <c r="L59" s="363"/>
      <c r="M59" s="431"/>
      <c r="N59" s="432"/>
      <c r="O59" s="363"/>
      <c r="P59" s="363"/>
      <c r="Q59" s="363"/>
      <c r="R59" s="363"/>
      <c r="S59" s="363"/>
      <c r="T59" s="363"/>
      <c r="U59" s="363"/>
      <c r="V59" s="363"/>
      <c r="W59" s="363"/>
      <c r="X59" s="347"/>
    </row>
    <row r="60" spans="1:25">
      <c r="A60" s="1598" t="s">
        <v>923</v>
      </c>
      <c r="B60" s="1240" t="s">
        <v>1135</v>
      </c>
      <c r="E60" s="89">
        <f>SUM(E56:E59)</f>
        <v>0</v>
      </c>
      <c r="F60" s="1402">
        <f t="shared" ref="F60:W60" si="3">SUM(F56:F59)</f>
        <v>0</v>
      </c>
      <c r="G60" s="89">
        <f t="shared" si="3"/>
        <v>0</v>
      </c>
      <c r="H60" s="89"/>
      <c r="I60" s="89">
        <f t="shared" si="3"/>
        <v>0</v>
      </c>
      <c r="J60" s="89">
        <f t="shared" si="3"/>
        <v>0</v>
      </c>
      <c r="K60" s="89">
        <f t="shared" si="3"/>
        <v>0</v>
      </c>
      <c r="L60" s="89">
        <f t="shared" si="3"/>
        <v>0</v>
      </c>
      <c r="M60" s="89"/>
      <c r="N60" s="89"/>
      <c r="O60" s="89">
        <f t="shared" si="3"/>
        <v>0</v>
      </c>
      <c r="P60" s="89">
        <f t="shared" si="3"/>
        <v>0</v>
      </c>
      <c r="Q60" s="89">
        <f t="shared" si="3"/>
        <v>0</v>
      </c>
      <c r="R60" s="89">
        <f t="shared" si="3"/>
        <v>0</v>
      </c>
      <c r="S60" s="89">
        <f t="shared" si="3"/>
        <v>0</v>
      </c>
      <c r="T60" s="89">
        <f t="shared" si="3"/>
        <v>0</v>
      </c>
      <c r="U60" s="89">
        <f t="shared" si="3"/>
        <v>0</v>
      </c>
      <c r="V60" s="89">
        <f t="shared" si="3"/>
        <v>0</v>
      </c>
      <c r="W60" s="89">
        <f t="shared" si="3"/>
        <v>0</v>
      </c>
      <c r="X60" s="347"/>
    </row>
    <row r="61" spans="1:25">
      <c r="A61" s="1599"/>
      <c r="D61" s="89"/>
      <c r="E61" s="89"/>
      <c r="F61" s="1402"/>
      <c r="G61" s="89"/>
      <c r="H61" s="89"/>
      <c r="I61" s="89"/>
      <c r="J61" s="89"/>
      <c r="K61" s="89"/>
      <c r="L61" s="89"/>
      <c r="M61" s="89"/>
      <c r="N61" s="89"/>
      <c r="O61" s="89"/>
      <c r="P61" s="89"/>
      <c r="Q61" s="89"/>
      <c r="R61" s="89"/>
      <c r="S61" s="89"/>
      <c r="T61" s="89"/>
      <c r="U61" s="89"/>
      <c r="V61" s="89"/>
      <c r="W61" s="89"/>
      <c r="X61" s="347"/>
    </row>
    <row r="62" spans="1:25" ht="13.5" thickBot="1">
      <c r="A62" s="1600" t="s">
        <v>969</v>
      </c>
      <c r="B62" s="1242" t="s">
        <v>1136</v>
      </c>
      <c r="C62" s="475"/>
      <c r="D62" s="476"/>
      <c r="E62" s="476">
        <f>E50+E60</f>
        <v>10183486</v>
      </c>
      <c r="F62" s="1403">
        <f>F50+F60</f>
        <v>1686136.8570333945</v>
      </c>
      <c r="G62" s="476">
        <f>G50+G60</f>
        <v>8497349.1429666057</v>
      </c>
      <c r="H62" s="476"/>
      <c r="I62" s="476">
        <f>I50+I60</f>
        <v>273778</v>
      </c>
      <c r="J62" s="476">
        <f>J50+J60</f>
        <v>8223571.1429666057</v>
      </c>
      <c r="K62" s="476">
        <f>K50+K60</f>
        <v>552885</v>
      </c>
      <c r="L62" s="476">
        <f>L50+L60</f>
        <v>162366</v>
      </c>
      <c r="M62" s="476"/>
      <c r="N62" s="476"/>
      <c r="O62" s="476">
        <f t="shared" ref="O62:W62" si="4">O50+O60</f>
        <v>0</v>
      </c>
      <c r="P62" s="476">
        <f t="shared" si="4"/>
        <v>746133</v>
      </c>
      <c r="Q62" s="476">
        <f t="shared" si="4"/>
        <v>285321</v>
      </c>
      <c r="R62" s="476">
        <f t="shared" si="4"/>
        <v>182518.66666666666</v>
      </c>
      <c r="S62" s="476">
        <f t="shared" si="4"/>
        <v>1929223.6666666667</v>
      </c>
      <c r="T62" s="476">
        <f t="shared" si="4"/>
        <v>0</v>
      </c>
      <c r="U62" s="476">
        <f t="shared" si="4"/>
        <v>1929223.6666666667</v>
      </c>
      <c r="V62" s="476">
        <f t="shared" si="4"/>
        <v>0</v>
      </c>
      <c r="W62" s="476">
        <f t="shared" si="4"/>
        <v>1929223.6666666667</v>
      </c>
      <c r="X62" s="347"/>
    </row>
    <row r="63" spans="1:25" ht="13.5" thickTop="1">
      <c r="D63" s="89"/>
      <c r="E63" s="89"/>
      <c r="F63" s="89"/>
      <c r="G63" s="89"/>
      <c r="H63" s="89"/>
      <c r="I63" s="89"/>
      <c r="J63" s="89"/>
      <c r="K63" s="89"/>
      <c r="L63" s="89"/>
      <c r="M63" s="89"/>
      <c r="N63" s="89"/>
      <c r="O63" s="89"/>
      <c r="P63" s="89"/>
      <c r="Q63" s="89"/>
      <c r="R63" s="89"/>
      <c r="S63" s="89"/>
      <c r="T63" s="89"/>
      <c r="U63" s="89"/>
      <c r="V63" s="89"/>
      <c r="W63" s="347"/>
    </row>
    <row r="64" spans="1:25">
      <c r="X64" s="135"/>
      <c r="Y64" s="135"/>
    </row>
    <row r="66" spans="2:26">
      <c r="B66" s="361"/>
    </row>
    <row r="68" spans="2:26">
      <c r="F68" s="89"/>
      <c r="G68" s="89"/>
      <c r="H68" s="89"/>
      <c r="I68" s="89"/>
      <c r="J68" s="89"/>
      <c r="K68" s="89"/>
      <c r="L68" s="89"/>
      <c r="M68" s="89"/>
      <c r="N68" s="89"/>
      <c r="O68" s="89"/>
      <c r="P68" s="89"/>
      <c r="Q68" s="89"/>
      <c r="R68" s="89"/>
      <c r="S68" s="89"/>
      <c r="T68" s="89"/>
      <c r="U68" s="89"/>
      <c r="V68" s="89"/>
      <c r="W68" s="89"/>
      <c r="X68" s="89"/>
      <c r="Y68" s="89"/>
      <c r="Z68" s="347"/>
    </row>
  </sheetData>
  <customSheetViews>
    <customSheetView guid="{FAA8FFD9-C96B-4A1B-8B9E-B863FD90DDBA}" scale="75" showRuler="0" topLeftCell="I43">
      <selection activeCell="V37" sqref="V37:V38"/>
      <rowBreaks count="1" manualBreakCount="1">
        <brk id="35" max="21" man="1"/>
      </rowBreaks>
      <pageMargins left="0.1" right="0.1" top="0.49" bottom="0.25" header="0" footer="0"/>
      <printOptions gridLines="1"/>
      <pageSetup paperSize="5" scale="49" fitToHeight="2" orientation="landscape" r:id="rId1"/>
      <headerFooter alignWithMargins="0">
        <oddFooter>&amp;R&amp;"Arial MT,Bold"&amp;16SFP Summary</oddFooter>
      </headerFooter>
    </customSheetView>
  </customSheetViews>
  <mergeCells count="4">
    <mergeCell ref="B2:I2"/>
    <mergeCell ref="J1:K1"/>
    <mergeCell ref="J34:K34"/>
    <mergeCell ref="S34:T34"/>
  </mergeCells>
  <phoneticPr fontId="0" type="noConversion"/>
  <printOptions horizontalCentered="1" gridLines="1"/>
  <pageMargins left="0.5" right="0.35" top="0.5" bottom="0.5" header="0" footer="0"/>
  <pageSetup scale="72" fitToHeight="2" orientation="landscape" r:id="rId2"/>
  <headerFooter alignWithMargins="0">
    <oddFooter>&amp;R&amp;"Arial MT,Bold"&amp;16SFP Summary</oddFooter>
  </headerFooter>
  <colBreaks count="1" manualBreakCount="1">
    <brk id="14" min="33" max="61"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pageSetUpPr fitToPage="1"/>
  </sheetPr>
  <dimension ref="A1:N77"/>
  <sheetViews>
    <sheetView view="pageBreakPreview" topLeftCell="A9" zoomScale="75" zoomScaleNormal="75" zoomScaleSheetLayoutView="75" workbookViewId="0">
      <selection activeCell="I56" sqref="I56"/>
    </sheetView>
  </sheetViews>
  <sheetFormatPr defaultRowHeight="15"/>
  <cols>
    <col min="1" max="1" width="5.33203125" style="228" customWidth="1"/>
    <col min="2" max="2" width="2.5546875" style="228" customWidth="1"/>
    <col min="3" max="3" width="48.21875" style="228" customWidth="1"/>
    <col min="4" max="4" width="36" style="228" customWidth="1"/>
    <col min="5" max="5" width="13" style="228" customWidth="1"/>
    <col min="6" max="6" width="12.88671875" style="228" customWidth="1"/>
    <col min="7" max="7" width="15" style="228" customWidth="1"/>
    <col min="8" max="8" width="5.109375" style="228" customWidth="1"/>
    <col min="9" max="9" width="6.77734375" style="228" customWidth="1"/>
    <col min="10" max="10" width="1.88671875" style="228" customWidth="1"/>
    <col min="11" max="11" width="13.21875" style="228" bestFit="1" customWidth="1"/>
    <col min="12" max="16384" width="8.88671875" style="228"/>
  </cols>
  <sheetData>
    <row r="1" spans="1:13" ht="18">
      <c r="A1" s="10"/>
      <c r="B1" s="10"/>
      <c r="C1" s="2151" t="s">
        <v>469</v>
      </c>
      <c r="D1" s="2152"/>
      <c r="E1" s="2152"/>
      <c r="F1" s="2152"/>
      <c r="G1" s="2193" t="s">
        <v>199</v>
      </c>
      <c r="H1" s="2193"/>
      <c r="I1" s="238"/>
      <c r="J1" s="238"/>
      <c r="K1" s="238"/>
      <c r="L1" s="238"/>
      <c r="M1" s="238"/>
    </row>
    <row r="2" spans="1:13" ht="18">
      <c r="C2" s="2151" t="s">
        <v>1457</v>
      </c>
      <c r="D2" s="2152"/>
      <c r="E2" s="2152"/>
      <c r="F2" s="2152"/>
      <c r="G2" s="1099"/>
      <c r="I2" s="238"/>
      <c r="J2" s="238"/>
      <c r="K2" s="238"/>
      <c r="L2" s="238"/>
      <c r="M2" s="238"/>
    </row>
    <row r="3" spans="1:13" ht="18">
      <c r="C3" s="2151" t="s">
        <v>637</v>
      </c>
      <c r="D3" s="2151"/>
      <c r="E3" s="2151"/>
      <c r="F3" s="2151"/>
      <c r="H3" s="292"/>
      <c r="I3" s="238"/>
      <c r="J3" s="238"/>
      <c r="K3" s="238"/>
      <c r="L3" s="238"/>
      <c r="M3" s="238"/>
    </row>
    <row r="4" spans="1:13" ht="18">
      <c r="C4" s="2140" t="s">
        <v>1858</v>
      </c>
      <c r="D4" s="2142"/>
      <c r="E4" s="2142"/>
      <c r="F4" s="2142"/>
      <c r="H4" s="238"/>
      <c r="I4" s="238"/>
      <c r="J4" s="238"/>
      <c r="K4" s="238"/>
      <c r="L4" s="238"/>
      <c r="M4" s="238"/>
    </row>
    <row r="5" spans="1:13" ht="18">
      <c r="C5" s="2149"/>
      <c r="D5" s="2150"/>
      <c r="E5" s="2150"/>
      <c r="F5" s="2150"/>
      <c r="G5" s="292" t="s">
        <v>1119</v>
      </c>
      <c r="H5" s="238"/>
      <c r="I5" s="238"/>
      <c r="J5" s="238"/>
      <c r="K5" s="238"/>
      <c r="L5" s="238"/>
      <c r="M5" s="238"/>
    </row>
    <row r="6" spans="1:13" ht="18">
      <c r="C6" s="2147" t="s">
        <v>414</v>
      </c>
      <c r="D6" s="2147"/>
      <c r="E6" s="2147"/>
      <c r="F6" s="2147"/>
      <c r="G6" s="800"/>
      <c r="H6" s="800"/>
      <c r="I6" s="238"/>
      <c r="J6" s="238"/>
      <c r="K6" s="238"/>
      <c r="L6" s="238"/>
      <c r="M6" s="238"/>
    </row>
    <row r="7" spans="1:13" ht="18">
      <c r="A7" s="292"/>
      <c r="C7" s="2147" t="s">
        <v>68</v>
      </c>
      <c r="D7" s="2248"/>
      <c r="E7" s="2248"/>
      <c r="F7" s="2248"/>
      <c r="G7" s="238"/>
      <c r="H7" s="238"/>
      <c r="I7" s="238"/>
      <c r="J7" s="238"/>
      <c r="K7" s="238"/>
      <c r="L7" s="238"/>
      <c r="M7" s="238"/>
    </row>
    <row r="8" spans="1:13" s="10" customFormat="1">
      <c r="A8" s="13" t="s">
        <v>50</v>
      </c>
      <c r="C8" s="305" t="s">
        <v>916</v>
      </c>
      <c r="D8" s="1634" t="s">
        <v>917</v>
      </c>
      <c r="E8" s="1634" t="s">
        <v>924</v>
      </c>
      <c r="F8" s="1634" t="s">
        <v>925</v>
      </c>
      <c r="G8" s="63" t="s">
        <v>926</v>
      </c>
      <c r="H8" s="1"/>
      <c r="I8" s="1"/>
      <c r="J8" s="1"/>
      <c r="K8" s="1"/>
      <c r="L8" s="1"/>
      <c r="M8" s="1"/>
    </row>
    <row r="9" spans="1:13" s="10" customFormat="1" ht="15.75" thickBot="1">
      <c r="A9" s="16" t="s">
        <v>51</v>
      </c>
      <c r="B9" s="490"/>
      <c r="C9" s="490"/>
      <c r="D9" s="384"/>
      <c r="E9" s="1646"/>
      <c r="F9" s="1646"/>
      <c r="G9" s="16" t="s">
        <v>52</v>
      </c>
      <c r="H9" s="1"/>
      <c r="I9" s="1"/>
      <c r="J9" s="1"/>
      <c r="K9" s="1"/>
      <c r="L9" s="1"/>
      <c r="M9" s="1"/>
    </row>
    <row r="10" spans="1:13" ht="15.75">
      <c r="A10" s="553" t="s">
        <v>397</v>
      </c>
      <c r="B10" s="554" t="s">
        <v>729</v>
      </c>
      <c r="C10" s="229"/>
      <c r="D10" s="22" t="s">
        <v>850</v>
      </c>
      <c r="E10" s="372"/>
      <c r="F10" s="372"/>
      <c r="G10" s="371"/>
      <c r="H10" s="372"/>
      <c r="I10" s="238"/>
      <c r="J10" s="238"/>
      <c r="K10" s="238"/>
      <c r="L10" s="238"/>
      <c r="M10" s="238"/>
    </row>
    <row r="11" spans="1:13">
      <c r="A11" s="292">
        <v>1</v>
      </c>
      <c r="C11" s="238" t="s">
        <v>1647</v>
      </c>
      <c r="D11" s="1420" t="str">
        <f>"(Projected Gross Rev Req, p.2, line "&amp;'Projected Gross Rev Req'!A112&amp;")"</f>
        <v>(Projected Gross Rev Req, p.2, line 27)</v>
      </c>
      <c r="E11" s="590"/>
      <c r="F11" s="372"/>
      <c r="G11" s="591">
        <f>'Projected Gross Rev Req'!K112</f>
        <v>41616722.443190381</v>
      </c>
      <c r="H11" s="372"/>
      <c r="I11" s="238"/>
      <c r="J11" s="238"/>
      <c r="K11" s="238"/>
      <c r="L11" s="238"/>
      <c r="M11" s="238"/>
    </row>
    <row r="12" spans="1:13">
      <c r="A12" s="292"/>
      <c r="C12" s="238"/>
      <c r="D12" s="372"/>
      <c r="E12" s="590"/>
      <c r="F12" s="372"/>
      <c r="G12" s="591"/>
      <c r="H12" s="372"/>
      <c r="I12" s="238"/>
      <c r="J12" s="238"/>
      <c r="K12" s="238"/>
      <c r="L12" s="238"/>
      <c r="M12" s="238"/>
    </row>
    <row r="13" spans="1:13">
      <c r="A13" s="292">
        <f>A11+1</f>
        <v>2</v>
      </c>
      <c r="C13" s="1386" t="s">
        <v>1648</v>
      </c>
      <c r="D13" s="15" t="s">
        <v>58</v>
      </c>
      <c r="E13" s="630">
        <f>'RTO Project Smry'!S74</f>
        <v>2528961</v>
      </c>
      <c r="F13" s="372"/>
      <c r="G13" s="591"/>
      <c r="H13" s="372"/>
      <c r="I13" s="372"/>
      <c r="J13" s="372"/>
      <c r="K13" s="372"/>
      <c r="L13" s="372"/>
      <c r="M13" s="238"/>
    </row>
    <row r="14" spans="1:13">
      <c r="A14" s="292">
        <f>A13+1</f>
        <v>3</v>
      </c>
      <c r="C14" s="485" t="s">
        <v>447</v>
      </c>
      <c r="D14" s="15" t="s">
        <v>59</v>
      </c>
      <c r="E14" s="1656">
        <f>'RTO Project Smry'!S107</f>
        <v>647070</v>
      </c>
      <c r="F14" s="372"/>
      <c r="G14" s="270"/>
      <c r="H14" s="238"/>
      <c r="I14" s="238"/>
      <c r="J14" s="238"/>
      <c r="K14" s="238"/>
      <c r="L14" s="238"/>
      <c r="M14" s="238"/>
    </row>
    <row r="15" spans="1:13">
      <c r="A15" s="292">
        <f>A14+1</f>
        <v>4</v>
      </c>
      <c r="C15" s="485" t="s">
        <v>448</v>
      </c>
      <c r="D15" s="15" t="s">
        <v>57</v>
      </c>
      <c r="E15" s="1656">
        <f>'RTO Project Smry'!S140</f>
        <v>0</v>
      </c>
      <c r="F15" s="372"/>
      <c r="G15" s="270"/>
      <c r="H15" s="238"/>
      <c r="I15" s="238"/>
      <c r="J15" s="238"/>
      <c r="K15" s="238"/>
      <c r="L15" s="238"/>
      <c r="M15" s="238"/>
    </row>
    <row r="16" spans="1:13">
      <c r="A16" s="292">
        <f>A15+1</f>
        <v>5</v>
      </c>
      <c r="C16" s="485" t="s">
        <v>449</v>
      </c>
      <c r="D16" s="15" t="s">
        <v>60</v>
      </c>
      <c r="E16" s="1656">
        <f>'RTO Project Smry'!S173</f>
        <v>0</v>
      </c>
      <c r="F16" s="372"/>
      <c r="G16" s="270"/>
      <c r="H16" s="238"/>
      <c r="I16" s="238"/>
      <c r="J16" s="238"/>
      <c r="K16" s="238"/>
      <c r="L16" s="238"/>
      <c r="M16" s="238"/>
    </row>
    <row r="17" spans="1:13">
      <c r="A17" s="292">
        <f>A16+1</f>
        <v>6</v>
      </c>
      <c r="C17" s="238" t="s">
        <v>869</v>
      </c>
      <c r="D17" s="15" t="s">
        <v>61</v>
      </c>
      <c r="E17" s="1657">
        <f>'Spon Project Smry'!S62</f>
        <v>1929223.6666666667</v>
      </c>
      <c r="F17" s="372"/>
      <c r="G17" s="270"/>
      <c r="H17" s="238"/>
      <c r="I17" s="238"/>
      <c r="J17" s="238"/>
      <c r="K17" s="238"/>
      <c r="L17" s="238"/>
      <c r="M17" s="238"/>
    </row>
    <row r="18" spans="1:13">
      <c r="A18" s="292">
        <v>7</v>
      </c>
      <c r="C18" s="238" t="s">
        <v>1018</v>
      </c>
      <c r="D18" s="483" t="str">
        <f>"(sum line "&amp;A13&amp;" thru line "&amp;A17&amp;")"</f>
        <v>(sum line 2 thru line 6)</v>
      </c>
      <c r="E18" s="1656"/>
      <c r="F18" s="372"/>
      <c r="G18" s="591">
        <f>SUM(E13:E17)</f>
        <v>5105254.666666667</v>
      </c>
      <c r="H18" s="238"/>
      <c r="I18" s="238"/>
      <c r="J18" s="238"/>
      <c r="K18" s="238"/>
      <c r="L18" s="238"/>
      <c r="M18" s="238"/>
    </row>
    <row r="19" spans="1:13">
      <c r="A19" s="292"/>
      <c r="C19" s="238"/>
      <c r="D19" s="21"/>
      <c r="E19" s="1656"/>
      <c r="F19" s="372"/>
      <c r="G19" s="591"/>
      <c r="H19" s="238"/>
      <c r="I19" s="238"/>
      <c r="J19" s="238"/>
      <c r="K19" s="238"/>
      <c r="L19" s="238"/>
      <c r="M19" s="238"/>
    </row>
    <row r="20" spans="1:13">
      <c r="A20" s="292">
        <f>A18+1</f>
        <v>8</v>
      </c>
      <c r="C20" s="238" t="s">
        <v>218</v>
      </c>
      <c r="D20" s="483" t="str">
        <f>"( line "&amp;A11&amp;" minus line "&amp;A18&amp;")"</f>
        <v>( line 1 minus line 7)</v>
      </c>
      <c r="E20" s="1656"/>
      <c r="F20" s="372"/>
      <c r="G20" s="591">
        <f>G11-G18</f>
        <v>36511467.776523717</v>
      </c>
      <c r="H20" s="238"/>
      <c r="I20" s="238"/>
      <c r="J20" s="238"/>
      <c r="K20" s="238"/>
      <c r="L20" s="238"/>
      <c r="M20" s="238"/>
    </row>
    <row r="21" spans="1:13">
      <c r="A21" s="292"/>
      <c r="C21" s="238"/>
      <c r="D21" s="372"/>
      <c r="E21" s="1656"/>
      <c r="F21" s="372"/>
      <c r="G21" s="591"/>
      <c r="H21" s="238"/>
      <c r="I21" s="238"/>
      <c r="J21" s="238"/>
      <c r="K21" s="238"/>
      <c r="L21" s="238"/>
      <c r="M21" s="238"/>
    </row>
    <row r="22" spans="1:13" ht="15.75">
      <c r="A22" s="292"/>
      <c r="C22" s="618" t="s">
        <v>53</v>
      </c>
      <c r="D22" s="232"/>
      <c r="E22" s="1410"/>
      <c r="F22" s="372"/>
      <c r="G22" s="591"/>
      <c r="H22" s="238"/>
      <c r="I22" s="238"/>
      <c r="J22" s="238"/>
      <c r="K22" s="238"/>
      <c r="L22" s="238"/>
      <c r="M22" s="238"/>
    </row>
    <row r="23" spans="1:13">
      <c r="A23" s="292">
        <f>A20+1</f>
        <v>9</v>
      </c>
      <c r="C23" s="1386" t="s">
        <v>220</v>
      </c>
      <c r="D23" s="1420" t="str">
        <f>"(Wksht P-2, line "&amp;'P-2 (Exp. &amp; Rev. Credits)'!A43&amp;")"</f>
        <v>(Wksht P-2, line 16)</v>
      </c>
      <c r="E23" s="724">
        <f>'P-2 (Exp. &amp; Rev. Credits)'!F43</f>
        <v>347526.34537432063</v>
      </c>
      <c r="F23" s="372"/>
      <c r="G23" s="591"/>
      <c r="H23" s="238"/>
      <c r="I23" s="238"/>
      <c r="J23" s="238"/>
      <c r="K23" s="238"/>
      <c r="L23" s="238"/>
      <c r="M23" s="238"/>
    </row>
    <row r="24" spans="1:13">
      <c r="A24" s="292">
        <f>A23+1</f>
        <v>10</v>
      </c>
      <c r="C24" s="485" t="s">
        <v>435</v>
      </c>
      <c r="D24" s="1420" t="str">
        <f>"(Wksht P-2, line "&amp;'P-2 (Exp. &amp; Rev. Credits)'!A44&amp;")"</f>
        <v>(Wksht P-2, line 17)</v>
      </c>
      <c r="E24" s="626">
        <f>'P-2 (Exp. &amp; Rev. Credits)'!F44</f>
        <v>28597.654625679454</v>
      </c>
      <c r="F24" s="372"/>
      <c r="G24" s="270"/>
      <c r="H24" s="238"/>
      <c r="I24" s="238"/>
      <c r="J24" s="238"/>
      <c r="K24" s="238"/>
      <c r="L24" s="238"/>
      <c r="M24" s="238"/>
    </row>
    <row r="25" spans="1:13">
      <c r="A25" s="292">
        <f>A24+1</f>
        <v>11</v>
      </c>
      <c r="C25" s="485" t="s">
        <v>436</v>
      </c>
      <c r="D25" s="1420" t="str">
        <f>"(Wksht P-2, line "&amp;'P-2 (Exp. &amp; Rev. Credits)'!A45&amp;")"</f>
        <v>(Wksht P-2, line 18)</v>
      </c>
      <c r="E25" s="628">
        <f>'P-2 (Exp. &amp; Rev. Credits)'!F45</f>
        <v>0</v>
      </c>
      <c r="F25" s="372"/>
      <c r="G25" s="270"/>
      <c r="H25" s="238"/>
      <c r="I25" s="238"/>
      <c r="J25" s="238"/>
      <c r="K25" s="238"/>
      <c r="L25" s="238"/>
      <c r="M25" s="238"/>
    </row>
    <row r="26" spans="1:13">
      <c r="A26" s="292">
        <f>A25+1</f>
        <v>12</v>
      </c>
      <c r="C26" s="485" t="s">
        <v>437</v>
      </c>
      <c r="D26" s="1420" t="str">
        <f>"(Wksht P-2, line "&amp;'P-2 (Exp. &amp; Rev. Credits)'!A46&amp;")"</f>
        <v>(Wksht P-2, line 19)</v>
      </c>
      <c r="E26" s="750">
        <f>'P-2 (Exp. &amp; Rev. Credits)'!F46</f>
        <v>0</v>
      </c>
      <c r="F26" s="372"/>
      <c r="G26" s="270"/>
      <c r="H26" s="238"/>
      <c r="I26" s="238"/>
      <c r="J26" s="238"/>
      <c r="K26" s="238"/>
      <c r="L26" s="238"/>
      <c r="M26" s="238"/>
    </row>
    <row r="27" spans="1:13">
      <c r="A27" s="13">
        <f>A26+1</f>
        <v>13</v>
      </c>
      <c r="B27" s="10"/>
      <c r="C27" s="1" t="s">
        <v>54</v>
      </c>
      <c r="D27" s="483" t="str">
        <f>"(sum line "&amp;A23&amp;" thru line "&amp;A26&amp;")"</f>
        <v>(sum line 9 thru line 12)</v>
      </c>
      <c r="E27" s="874"/>
      <c r="F27" s="875">
        <f>SUM(E23:E26)</f>
        <v>376124.00000000012</v>
      </c>
      <c r="H27" s="238"/>
      <c r="I27" s="238"/>
      <c r="J27" s="238"/>
      <c r="K27" s="238"/>
      <c r="L27" s="238"/>
      <c r="M27" s="238"/>
    </row>
    <row r="28" spans="1:13">
      <c r="A28" s="292"/>
      <c r="C28" s="238"/>
      <c r="D28" s="232"/>
      <c r="E28" s="628"/>
      <c r="F28" s="372"/>
      <c r="G28" s="591"/>
      <c r="H28" s="238"/>
      <c r="I28" s="238"/>
      <c r="J28" s="238"/>
      <c r="K28" s="238"/>
      <c r="L28" s="238"/>
      <c r="M28" s="238"/>
    </row>
    <row r="29" spans="1:13">
      <c r="A29" s="292">
        <f>A27+1</f>
        <v>14</v>
      </c>
      <c r="C29" s="238" t="s">
        <v>221</v>
      </c>
      <c r="D29" s="1420" t="str">
        <f>"(Wksht P-2, line "&amp;'P-2 (Exp. &amp; Rev. Credits)'!A40&amp;")"</f>
        <v>(Wksht P-2, line 15)</v>
      </c>
      <c r="E29" s="754"/>
      <c r="F29" s="372"/>
      <c r="G29" s="754">
        <f>'P-2 (Exp. &amp; Rev. Credits)'!$F$40</f>
        <v>5795907</v>
      </c>
      <c r="H29" s="372"/>
      <c r="I29" s="372"/>
      <c r="J29" s="372"/>
      <c r="K29" s="372"/>
      <c r="L29" s="372"/>
      <c r="M29" s="372"/>
    </row>
    <row r="30" spans="1:13">
      <c r="A30" s="292"/>
      <c r="C30" s="238"/>
      <c r="D30" s="232"/>
      <c r="E30" s="754"/>
      <c r="F30" s="372"/>
      <c r="G30" s="591"/>
      <c r="H30" s="238"/>
      <c r="I30" s="238"/>
      <c r="J30" s="238"/>
      <c r="K30" s="238"/>
      <c r="L30" s="238"/>
      <c r="M30" s="238"/>
    </row>
    <row r="31" spans="1:13" ht="15.75">
      <c r="A31" s="59"/>
      <c r="B31" s="22"/>
      <c r="C31" s="869" t="s">
        <v>1006</v>
      </c>
      <c r="D31" s="15"/>
      <c r="E31" s="870"/>
      <c r="F31" s="21"/>
      <c r="G31" s="871"/>
      <c r="H31" s="238"/>
      <c r="I31" s="238"/>
      <c r="J31" s="238"/>
      <c r="K31" s="238"/>
      <c r="L31" s="238"/>
      <c r="M31" s="238"/>
    </row>
    <row r="32" spans="1:13">
      <c r="A32" s="59">
        <f>A29+1</f>
        <v>15</v>
      </c>
      <c r="B32" s="22"/>
      <c r="C32" s="21" t="s">
        <v>719</v>
      </c>
      <c r="D32" s="483" t="str">
        <f>"( line "&amp;A13&amp;" minus line "&amp;A23&amp;")"</f>
        <v>( line 2 minus line 9)</v>
      </c>
      <c r="E32" s="872">
        <f>E13-E23</f>
        <v>2181434.6546256794</v>
      </c>
      <c r="F32" s="21"/>
      <c r="G32" s="871"/>
      <c r="H32" s="238"/>
      <c r="I32" s="238"/>
      <c r="J32" s="238"/>
      <c r="K32" s="238"/>
      <c r="L32" s="238"/>
      <c r="M32" s="238"/>
    </row>
    <row r="33" spans="1:13">
      <c r="A33" s="59">
        <f>A32+1</f>
        <v>16</v>
      </c>
      <c r="B33" s="22"/>
      <c r="C33" s="498" t="s">
        <v>438</v>
      </c>
      <c r="D33" s="483" t="str">
        <f>"( line "&amp;A14&amp;" minus line "&amp;A24&amp;")"</f>
        <v>( line 3 minus line 10)</v>
      </c>
      <c r="E33" s="870">
        <f>E14-E24</f>
        <v>618472.34537432052</v>
      </c>
      <c r="F33" s="21"/>
      <c r="G33" s="873"/>
      <c r="H33" s="238"/>
      <c r="I33" s="238"/>
      <c r="J33" s="238"/>
      <c r="K33" s="238"/>
      <c r="L33" s="238"/>
      <c r="M33" s="238"/>
    </row>
    <row r="34" spans="1:13">
      <c r="A34" s="59">
        <f>A33+1</f>
        <v>17</v>
      </c>
      <c r="B34" s="22"/>
      <c r="C34" s="498" t="s">
        <v>439</v>
      </c>
      <c r="D34" s="483" t="str">
        <f>"( line "&amp;A15&amp;" minus line "&amp;A25&amp;")"</f>
        <v>( line 4 minus line 11)</v>
      </c>
      <c r="E34" s="870">
        <f>E15-E25</f>
        <v>0</v>
      </c>
      <c r="F34" s="21"/>
      <c r="G34" s="873"/>
      <c r="H34" s="238"/>
      <c r="I34" s="238"/>
      <c r="J34" s="238"/>
      <c r="K34" s="238"/>
      <c r="L34" s="238"/>
      <c r="M34" s="238"/>
    </row>
    <row r="35" spans="1:13">
      <c r="A35" s="59">
        <f>A34+1</f>
        <v>18</v>
      </c>
      <c r="B35" s="22"/>
      <c r="C35" s="498" t="s">
        <v>440</v>
      </c>
      <c r="D35" s="483" t="str">
        <f>"( line "&amp;A16&amp;" minus line "&amp;A26&amp;")"</f>
        <v>( line 5 minus line 12)</v>
      </c>
      <c r="E35" s="1376">
        <f>E16-E26</f>
        <v>0</v>
      </c>
      <c r="F35" s="21"/>
      <c r="G35" s="873"/>
      <c r="H35" s="238"/>
      <c r="I35" s="238"/>
      <c r="J35" s="238"/>
      <c r="K35" s="238"/>
      <c r="L35" s="238"/>
      <c r="M35" s="238"/>
    </row>
    <row r="36" spans="1:13">
      <c r="A36" s="59">
        <f>A35+1</f>
        <v>19</v>
      </c>
      <c r="B36" s="22"/>
      <c r="C36" s="21" t="s">
        <v>54</v>
      </c>
      <c r="D36" s="483" t="str">
        <f>"(sum line "&amp;A32&amp;" thru line "&amp;A35&amp;")"</f>
        <v>(sum line 15 thru line 18)</v>
      </c>
      <c r="E36" s="874"/>
      <c r="F36" s="1843">
        <f>SUM(E32:E35)</f>
        <v>2799907</v>
      </c>
      <c r="G36" s="875"/>
      <c r="H36" s="238"/>
      <c r="I36" s="238"/>
      <c r="J36" s="238"/>
      <c r="K36" s="238"/>
      <c r="L36" s="238"/>
      <c r="M36" s="238"/>
    </row>
    <row r="37" spans="1:13">
      <c r="A37" s="59"/>
      <c r="B37" s="22"/>
      <c r="C37" s="21"/>
      <c r="D37" s="15"/>
      <c r="E37" s="870"/>
      <c r="F37" s="21"/>
      <c r="G37" s="1377"/>
      <c r="H37" s="238"/>
      <c r="I37" s="238"/>
      <c r="J37" s="238"/>
      <c r="K37" s="238"/>
      <c r="L37" s="238"/>
      <c r="M37" s="238"/>
    </row>
    <row r="38" spans="1:13">
      <c r="A38" s="59">
        <f>A36+1</f>
        <v>20</v>
      </c>
      <c r="B38" s="22"/>
      <c r="C38" s="21" t="s">
        <v>720</v>
      </c>
      <c r="D38" s="483" t="str">
        <f>"( Line "&amp;A20&amp;" minus line "&amp;A29&amp;")"</f>
        <v>( Line 8 minus line 14)</v>
      </c>
      <c r="E38" s="870"/>
      <c r="F38" s="21"/>
      <c r="G38" s="871">
        <f>G20-G29</f>
        <v>30715560.776523717</v>
      </c>
      <c r="H38" s="238"/>
      <c r="I38" s="238"/>
      <c r="J38" s="238"/>
      <c r="K38" s="238"/>
      <c r="L38" s="238"/>
      <c r="M38" s="238"/>
    </row>
    <row r="39" spans="1:13">
      <c r="A39" s="292"/>
      <c r="C39" s="238"/>
      <c r="D39" s="232"/>
      <c r="E39" s="628"/>
      <c r="F39" s="372"/>
      <c r="G39" s="591"/>
      <c r="H39" s="238"/>
      <c r="I39" s="238"/>
      <c r="J39" s="238"/>
      <c r="K39" s="1388"/>
      <c r="L39" s="238"/>
      <c r="M39" s="238"/>
    </row>
    <row r="40" spans="1:13" ht="15.75">
      <c r="A40" s="292"/>
      <c r="C40" s="618" t="s">
        <v>723</v>
      </c>
      <c r="D40" s="15"/>
      <c r="E40" s="628"/>
      <c r="F40" s="372"/>
      <c r="G40" s="591"/>
      <c r="H40" s="238"/>
      <c r="I40" s="238"/>
      <c r="J40" s="238"/>
      <c r="K40" s="238"/>
      <c r="L40" s="238"/>
      <c r="M40" s="238"/>
    </row>
    <row r="41" spans="1:13">
      <c r="A41" s="292">
        <f>A38+1</f>
        <v>21</v>
      </c>
      <c r="C41" s="238" t="s">
        <v>724</v>
      </c>
      <c r="D41" s="1420" t="str">
        <f>"(Wksht TU, line "&amp;'TU (True-Up)'!A70&amp;")"</f>
        <v>(Wksht TU, line 23)</v>
      </c>
      <c r="E41" s="754"/>
      <c r="F41" s="591">
        <f>'TU (True-Up)'!L70</f>
        <v>-2216144.67</v>
      </c>
      <c r="H41" s="238"/>
      <c r="I41" s="238"/>
      <c r="J41" s="238"/>
      <c r="K41" s="1388"/>
      <c r="L41" s="238"/>
      <c r="M41" s="238"/>
    </row>
    <row r="42" spans="1:13">
      <c r="A42" s="292"/>
      <c r="C42" s="238"/>
      <c r="D42" s="15"/>
      <c r="E42" s="628"/>
      <c r="F42" s="372"/>
      <c r="G42" s="591"/>
      <c r="H42" s="238"/>
      <c r="I42" s="238"/>
      <c r="J42" s="238"/>
      <c r="K42" s="238"/>
      <c r="L42" s="238"/>
      <c r="M42" s="238"/>
    </row>
    <row r="43" spans="1:13">
      <c r="A43" s="292">
        <f>A41+1</f>
        <v>22</v>
      </c>
      <c r="C43" s="21" t="s">
        <v>725</v>
      </c>
      <c r="D43" s="1420" t="str">
        <f>"(Wksht TU, line "&amp;'TU (True-Up)'!A70&amp;")"</f>
        <v>(Wksht TU, line 23)</v>
      </c>
      <c r="E43" s="754">
        <f>'TU (True-Up)'!G70</f>
        <v>-521701.97</v>
      </c>
      <c r="F43" s="372"/>
      <c r="G43" s="270"/>
      <c r="H43" s="238"/>
      <c r="I43" s="238"/>
      <c r="J43" s="238"/>
      <c r="K43" s="238"/>
      <c r="L43" s="238"/>
      <c r="M43" s="238"/>
    </row>
    <row r="44" spans="1:13">
      <c r="A44" s="292">
        <f>A43+1</f>
        <v>23</v>
      </c>
      <c r="C44" s="47" t="s">
        <v>1470</v>
      </c>
      <c r="D44" s="1420" t="str">
        <f>"(Wksht TU, line "&amp;'TU (True-Up)'!A70&amp;")"</f>
        <v>(Wksht TU, line 23)</v>
      </c>
      <c r="E44" s="628">
        <f>'TU (True-Up)'!H70</f>
        <v>-215497.43</v>
      </c>
      <c r="F44" s="372"/>
      <c r="G44" s="270"/>
      <c r="H44" s="238"/>
      <c r="I44" s="238"/>
      <c r="J44" s="238"/>
      <c r="K44" s="238"/>
      <c r="L44" s="238"/>
      <c r="M44" s="238"/>
    </row>
    <row r="45" spans="1:13">
      <c r="A45" s="292">
        <f>A44+1</f>
        <v>24</v>
      </c>
      <c r="C45" s="47" t="s">
        <v>1471</v>
      </c>
      <c r="D45" s="1420" t="str">
        <f>"(Wksht TU, line "&amp;'TU (True-Up)'!A70&amp;")"</f>
        <v>(Wksht TU, line 23)</v>
      </c>
      <c r="E45" s="628">
        <f>'TU (True-Up)'!I70</f>
        <v>0</v>
      </c>
      <c r="F45" s="372"/>
      <c r="G45" s="270"/>
      <c r="H45" s="238"/>
      <c r="I45" s="238"/>
      <c r="J45" s="238"/>
      <c r="K45" s="238"/>
      <c r="L45" s="238"/>
      <c r="M45" s="238"/>
    </row>
    <row r="46" spans="1:13">
      <c r="A46" s="292">
        <f>A45+1</f>
        <v>25</v>
      </c>
      <c r="C46" s="47" t="s">
        <v>468</v>
      </c>
      <c r="D46" s="1420" t="str">
        <f>"(Wksht TU, line "&amp;'TU (True-Up)'!A70&amp;")"</f>
        <v>(Wksht TU, line 23)</v>
      </c>
      <c r="E46" s="750">
        <f>'TU (True-Up)'!J70</f>
        <v>0</v>
      </c>
      <c r="F46" s="372"/>
      <c r="G46" s="270"/>
      <c r="H46" s="238"/>
      <c r="I46" s="238"/>
      <c r="J46" s="238"/>
      <c r="K46" s="238"/>
      <c r="L46" s="238"/>
      <c r="M46" s="238"/>
    </row>
    <row r="47" spans="1:13">
      <c r="A47" s="13">
        <f>A46+1</f>
        <v>26</v>
      </c>
      <c r="B47" s="10"/>
      <c r="C47" s="1" t="s">
        <v>54</v>
      </c>
      <c r="D47" s="483" t="str">
        <f>"(sum line "&amp;A43&amp;" thru line "&amp;A46&amp;")"</f>
        <v>(sum line 22 thru line 25)</v>
      </c>
      <c r="E47" s="874"/>
      <c r="F47" s="1283">
        <f>SUM(E43:E46)</f>
        <v>-737199.39999999991</v>
      </c>
      <c r="H47" s="238"/>
      <c r="I47" s="238"/>
      <c r="J47" s="238"/>
      <c r="K47" s="238"/>
      <c r="L47" s="238"/>
      <c r="M47" s="238"/>
    </row>
    <row r="48" spans="1:13">
      <c r="A48" s="292"/>
      <c r="C48" s="238"/>
      <c r="D48" s="232"/>
      <c r="E48" s="628"/>
      <c r="F48" s="338"/>
      <c r="G48" s="1378"/>
      <c r="H48" s="238"/>
      <c r="I48" s="238"/>
      <c r="J48" s="238"/>
      <c r="K48" s="238"/>
      <c r="L48" s="238"/>
      <c r="M48" s="238"/>
    </row>
    <row r="49" spans="1:14">
      <c r="A49" s="292">
        <f>A47+1</f>
        <v>27</v>
      </c>
      <c r="C49" s="238" t="s">
        <v>423</v>
      </c>
      <c r="D49" s="483" t="str">
        <f>"( line "&amp;A41&amp;" minus line "&amp;A47&amp;")"</f>
        <v>( line 21 minus line 26)</v>
      </c>
      <c r="E49" s="628"/>
      <c r="F49" s="372"/>
      <c r="G49" s="591">
        <f>F41-F47</f>
        <v>-1478945.27</v>
      </c>
      <c r="H49" s="238"/>
      <c r="I49" s="238"/>
      <c r="J49" s="238"/>
      <c r="K49" s="238"/>
      <c r="L49" s="238"/>
      <c r="M49" s="238"/>
    </row>
    <row r="50" spans="1:14">
      <c r="A50" s="292"/>
      <c r="C50" s="233"/>
      <c r="D50" s="232"/>
      <c r="E50" s="628"/>
      <c r="F50" s="372"/>
      <c r="G50" s="591"/>
      <c r="H50" s="238"/>
      <c r="I50" s="238"/>
      <c r="J50" s="238"/>
      <c r="K50" s="238"/>
      <c r="L50" s="238"/>
      <c r="M50" s="238"/>
    </row>
    <row r="51" spans="1:14" ht="15.75">
      <c r="A51" s="292"/>
      <c r="C51" s="618" t="s">
        <v>219</v>
      </c>
      <c r="D51" s="232"/>
      <c r="E51" s="628"/>
      <c r="F51" s="372"/>
      <c r="G51" s="591"/>
      <c r="H51" s="238"/>
      <c r="I51" s="238"/>
      <c r="J51" s="238"/>
      <c r="K51" s="238"/>
      <c r="L51" s="238"/>
      <c r="M51" s="238"/>
    </row>
    <row r="52" spans="1:14">
      <c r="A52" s="292">
        <f>A49+1</f>
        <v>28</v>
      </c>
      <c r="C52" s="1" t="s">
        <v>719</v>
      </c>
      <c r="D52" s="483" t="str">
        <f>"( line "&amp;A32&amp;" plus line "&amp;A43&amp;")"</f>
        <v>( line 15 plus line 22)</v>
      </c>
      <c r="E52" s="754">
        <f>E32+E43</f>
        <v>1659732.6846256794</v>
      </c>
      <c r="F52" s="372"/>
      <c r="G52" s="591"/>
      <c r="H52" s="238"/>
      <c r="I52" s="238"/>
      <c r="J52" s="238"/>
      <c r="K52" s="238"/>
      <c r="L52" s="238"/>
      <c r="M52" s="238"/>
    </row>
    <row r="53" spans="1:14">
      <c r="A53" s="292">
        <f>A52+1</f>
        <v>29</v>
      </c>
      <c r="C53" s="39" t="s">
        <v>438</v>
      </c>
      <c r="D53" s="483" t="str">
        <f>"( line "&amp;A33&amp;" plus line "&amp;A44&amp;")"</f>
        <v>( line 16 plus line 23)</v>
      </c>
      <c r="E53" s="628">
        <f>E33+E44</f>
        <v>402974.91537432052</v>
      </c>
      <c r="F53" s="372"/>
      <c r="G53" s="270"/>
      <c r="H53" s="238"/>
      <c r="I53" s="238"/>
      <c r="J53" s="238"/>
      <c r="K53" s="238"/>
      <c r="L53" s="238"/>
      <c r="M53" s="238"/>
    </row>
    <row r="54" spans="1:14">
      <c r="A54" s="292">
        <f>A53+1</f>
        <v>30</v>
      </c>
      <c r="C54" s="39" t="s">
        <v>439</v>
      </c>
      <c r="D54" s="483" t="str">
        <f>"( line "&amp;A34&amp;" plus line "&amp;A45&amp;")"</f>
        <v>( line 17 plus line 24)</v>
      </c>
      <c r="E54" s="628">
        <f>E34+E45</f>
        <v>0</v>
      </c>
      <c r="F54" s="372"/>
      <c r="G54" s="270"/>
      <c r="H54" s="238"/>
      <c r="I54" s="238"/>
      <c r="J54" s="238"/>
      <c r="K54" s="238"/>
      <c r="L54" s="238"/>
      <c r="M54" s="238"/>
    </row>
    <row r="55" spans="1:14">
      <c r="A55" s="292">
        <f>A54+1</f>
        <v>31</v>
      </c>
      <c r="C55" s="39" t="s">
        <v>440</v>
      </c>
      <c r="D55" s="483" t="str">
        <f>"( line "&amp;A35&amp;" plus line "&amp;A46&amp;")"</f>
        <v>( line 18 plus line 25)</v>
      </c>
      <c r="E55" s="750">
        <f>E35+E46</f>
        <v>0</v>
      </c>
      <c r="F55" s="372"/>
      <c r="G55" s="270"/>
      <c r="H55" s="238"/>
      <c r="I55" s="238"/>
      <c r="J55" s="238"/>
      <c r="K55" s="238"/>
      <c r="L55" s="238"/>
      <c r="M55" s="238"/>
    </row>
    <row r="56" spans="1:14">
      <c r="A56" s="13">
        <f>A55+1</f>
        <v>32</v>
      </c>
      <c r="B56" s="10"/>
      <c r="C56" s="1" t="s">
        <v>54</v>
      </c>
      <c r="D56" s="483" t="str">
        <f>"(sum line "&amp;A52&amp;" thru line "&amp;A55&amp;")"</f>
        <v>(sum line 28 thru line 31)</v>
      </c>
      <c r="E56" s="874"/>
      <c r="F56" s="875">
        <f>SUM(E52:E55)</f>
        <v>2062707.5999999999</v>
      </c>
      <c r="H56" s="238"/>
      <c r="I56" s="238"/>
      <c r="J56" s="238"/>
      <c r="K56" s="238"/>
      <c r="L56" s="238"/>
      <c r="M56" s="238"/>
    </row>
    <row r="57" spans="1:14">
      <c r="A57" s="292"/>
      <c r="C57" s="372"/>
      <c r="D57" s="232"/>
      <c r="E57" s="628"/>
      <c r="F57" s="372"/>
      <c r="G57" s="1378"/>
      <c r="H57" s="238"/>
      <c r="I57" s="238"/>
      <c r="J57" s="238"/>
      <c r="K57" s="238"/>
      <c r="L57" s="238"/>
      <c r="M57" s="238"/>
    </row>
    <row r="58" spans="1:14">
      <c r="A58" s="292">
        <f>A56+1</f>
        <v>33</v>
      </c>
      <c r="C58" s="372" t="s">
        <v>720</v>
      </c>
      <c r="D58" s="483" t="str">
        <f>"( Line "&amp;A38&amp;" plus line "&amp;A49&amp;")"</f>
        <v>( Line 20 plus line 27)</v>
      </c>
      <c r="E58" s="628"/>
      <c r="F58" s="372"/>
      <c r="G58" s="591">
        <f>G38+G49</f>
        <v>29236615.506523717</v>
      </c>
      <c r="H58" s="372"/>
      <c r="I58" s="372"/>
      <c r="J58" s="372"/>
      <c r="K58" s="765"/>
      <c r="L58" s="372"/>
      <c r="M58" s="372"/>
      <c r="N58" s="229"/>
    </row>
    <row r="59" spans="1:14" s="229" customFormat="1">
      <c r="A59" s="307"/>
      <c r="D59" s="232"/>
      <c r="E59" s="374"/>
      <c r="F59" s="232"/>
      <c r="H59" s="372"/>
      <c r="I59" s="372"/>
      <c r="J59" s="372"/>
      <c r="K59" s="372"/>
      <c r="L59" s="372"/>
      <c r="M59" s="372"/>
    </row>
    <row r="60" spans="1:14" s="229" customFormat="1" ht="15.75">
      <c r="A60" s="553" t="s">
        <v>226</v>
      </c>
      <c r="B60" s="554" t="s">
        <v>227</v>
      </c>
      <c r="D60" s="15"/>
      <c r="H60" s="372"/>
      <c r="I60" s="372"/>
      <c r="J60" s="372"/>
      <c r="K60" s="372"/>
      <c r="L60" s="372"/>
      <c r="M60" s="372"/>
    </row>
    <row r="61" spans="1:14" s="229" customFormat="1">
      <c r="A61" s="552">
        <f>A58+1</f>
        <v>34</v>
      </c>
      <c r="C61" s="21" t="s">
        <v>373</v>
      </c>
      <c r="D61" s="1250"/>
      <c r="G61" s="578">
        <f>'P-3 (Trans. Network Load)'!G25</f>
        <v>2726.2896247657409</v>
      </c>
      <c r="H61" s="229" t="s">
        <v>1530</v>
      </c>
      <c r="I61" s="372"/>
      <c r="J61" s="372"/>
      <c r="L61" s="372"/>
      <c r="M61" s="372"/>
    </row>
    <row r="62" spans="1:14" s="229" customFormat="1">
      <c r="A62" s="487"/>
      <c r="C62" s="21"/>
      <c r="H62" s="372"/>
      <c r="I62" s="372"/>
      <c r="J62" s="372"/>
      <c r="L62" s="372"/>
      <c r="M62" s="372"/>
    </row>
    <row r="63" spans="1:14" s="229" customFormat="1">
      <c r="A63" s="555">
        <f>+A61+1</f>
        <v>35</v>
      </c>
      <c r="C63" s="21" t="str">
        <f>"Annual Point-to-Point Rate in $/MW - Year"</f>
        <v>Annual Point-to-Point Rate in $/MW - Year</v>
      </c>
      <c r="D63" s="483" t="str">
        <f>"( Line "&amp;A58&amp;" / line "&amp;A61&amp;")"</f>
        <v>( Line 33 / line 34)</v>
      </c>
      <c r="G63" s="1650">
        <f>ROUND((G58/G61),0)</f>
        <v>10724</v>
      </c>
      <c r="H63" s="372"/>
      <c r="I63" s="372"/>
      <c r="J63" s="372"/>
      <c r="K63" s="372"/>
      <c r="L63" s="372"/>
      <c r="M63" s="372"/>
    </row>
    <row r="64" spans="1:14" s="229" customFormat="1">
      <c r="A64" s="555">
        <f t="shared" ref="A64:A69" si="0">+A63+1</f>
        <v>36</v>
      </c>
      <c r="C64" s="21" t="str">
        <f>"Monthly Point-to-Point Rate in $/MW - Month"</f>
        <v>Monthly Point-to-Point Rate in $/MW - Month</v>
      </c>
      <c r="D64" s="483" t="str">
        <f>"( Line "&amp;A63&amp;" / 12 months)"</f>
        <v>( Line 35 / 12 months)</v>
      </c>
      <c r="G64" s="1650">
        <f>ROUND(+G63/12,0)</f>
        <v>894</v>
      </c>
      <c r="H64" s="372"/>
      <c r="I64" s="372"/>
      <c r="J64" s="372"/>
      <c r="K64" s="372"/>
      <c r="L64" s="372"/>
      <c r="M64" s="372"/>
    </row>
    <row r="65" spans="1:13" s="229" customFormat="1">
      <c r="A65" s="555">
        <f t="shared" si="0"/>
        <v>37</v>
      </c>
      <c r="C65" s="21" t="str">
        <f>"Weekly Point-to-Point Rate in $/MW- Weekly"</f>
        <v>Weekly Point-to-Point Rate in $/MW- Weekly</v>
      </c>
      <c r="D65" s="483" t="str">
        <f>"( Line "&amp;A63&amp;" / 52 weeks)"</f>
        <v>( Line 35 / 52 weeks)</v>
      </c>
      <c r="G65" s="1650">
        <f>ROUND(+G63/52,0)</f>
        <v>206</v>
      </c>
      <c r="H65" s="372"/>
      <c r="I65" s="372"/>
      <c r="J65" s="372"/>
      <c r="K65" s="372"/>
      <c r="L65" s="372"/>
      <c r="M65" s="372"/>
    </row>
    <row r="66" spans="1:13" s="229" customFormat="1">
      <c r="A66" s="555">
        <f t="shared" si="0"/>
        <v>38</v>
      </c>
      <c r="C66" s="21" t="str">
        <f>"Daily On-Peak Point-to-Point Rate in $/MW - Day"</f>
        <v>Daily On-Peak Point-to-Point Rate in $/MW - Day</v>
      </c>
      <c r="D66" s="483" t="str">
        <f>"( Line "&amp;A63&amp;" / 260 days)"</f>
        <v>( Line 35 / 260 days)</v>
      </c>
      <c r="G66" s="1650">
        <f>ROUND(+G63/260,1)</f>
        <v>41.2</v>
      </c>
      <c r="H66" s="372"/>
      <c r="I66" s="372"/>
      <c r="J66" s="372"/>
      <c r="K66" s="372"/>
      <c r="L66" s="372"/>
      <c r="M66" s="372"/>
    </row>
    <row r="67" spans="1:13" s="229" customFormat="1">
      <c r="A67" s="555">
        <f t="shared" si="0"/>
        <v>39</v>
      </c>
      <c r="C67" s="21" t="str">
        <f>"Daily Off-Peak Point-to-Point Rate in $/MW - Day"</f>
        <v>Daily Off-Peak Point-to-Point Rate in $/MW - Day</v>
      </c>
      <c r="D67" s="483" t="str">
        <f>"( Line "&amp;A63&amp;" / 365 days)"</f>
        <v>( Line 35 / 365 days)</v>
      </c>
      <c r="G67" s="1650">
        <f>ROUND(+G63/365,1)</f>
        <v>29.4</v>
      </c>
      <c r="H67" s="372"/>
      <c r="I67" s="372"/>
      <c r="J67" s="372"/>
      <c r="K67" s="372"/>
      <c r="L67" s="372"/>
      <c r="M67" s="372"/>
    </row>
    <row r="68" spans="1:13" s="229" customFormat="1">
      <c r="A68" s="555">
        <f t="shared" si="0"/>
        <v>40</v>
      </c>
      <c r="C68" s="21" t="str">
        <f>"Hourly On-Peak Point-to-Point Rate in $/MW - Hour"</f>
        <v>Hourly On-Peak Point-to-Point Rate in $/MW - Hour</v>
      </c>
      <c r="D68" s="483" t="str">
        <f>"( Line "&amp;A66&amp;" / 16 hours)"</f>
        <v>( Line 38 / 16 hours)</v>
      </c>
      <c r="G68" s="1650">
        <f>ROUND(+G66/16,2)</f>
        <v>2.58</v>
      </c>
      <c r="H68" s="372"/>
      <c r="I68" s="372"/>
      <c r="J68" s="372"/>
      <c r="K68" s="372"/>
      <c r="L68" s="372"/>
      <c r="M68" s="372"/>
    </row>
    <row r="69" spans="1:13" s="229" customFormat="1">
      <c r="A69" s="555">
        <f t="shared" si="0"/>
        <v>41</v>
      </c>
      <c r="C69" s="21" t="str">
        <f>"Hourly Off-Peak Point-to-Point Rate in $/MW - Hour"</f>
        <v>Hourly Off-Peak Point-to-Point Rate in $/MW - Hour</v>
      </c>
      <c r="D69" s="483" t="str">
        <f>"( Line "&amp;A67&amp;" / 24 hours)"</f>
        <v>( Line 39 / 24 hours)</v>
      </c>
      <c r="G69" s="1650">
        <f>ROUND(+G67/24,2)</f>
        <v>1.23</v>
      </c>
      <c r="H69" s="372"/>
      <c r="I69" s="372"/>
      <c r="J69" s="372"/>
      <c r="K69" s="372"/>
      <c r="L69" s="372"/>
      <c r="M69" s="372"/>
    </row>
    <row r="70" spans="1:13" s="229" customFormat="1">
      <c r="A70" s="551"/>
      <c r="B70" s="556"/>
      <c r="H70" s="372"/>
      <c r="I70" s="372"/>
      <c r="J70" s="372"/>
      <c r="K70" s="372"/>
      <c r="L70" s="372"/>
      <c r="M70" s="372"/>
    </row>
    <row r="71" spans="1:13" s="229" customFormat="1" ht="15.75">
      <c r="A71" s="553" t="s">
        <v>228</v>
      </c>
      <c r="B71" s="554" t="s">
        <v>1162</v>
      </c>
      <c r="H71" s="372"/>
      <c r="I71" s="372"/>
      <c r="J71" s="372"/>
      <c r="K71" s="372"/>
      <c r="L71" s="372"/>
      <c r="M71" s="372"/>
    </row>
    <row r="72" spans="1:13">
      <c r="A72" s="3">
        <f>A69+1</f>
        <v>42</v>
      </c>
      <c r="B72" s="22"/>
      <c r="C72" s="24" t="s">
        <v>374</v>
      </c>
      <c r="D72" s="1420" t="str">
        <f>"(Line "&amp;A41&amp;" + Projected Gross Rev Req, p.2, line "&amp;'Projected Gross Rev Req'!A115&amp;")"</f>
        <v>(Line 21 + Projected Gross Rev Req, p.2, line 29)</v>
      </c>
      <c r="E72" s="372"/>
      <c r="F72" s="372"/>
      <c r="G72" s="579">
        <f>F41+'Projected Gross Rev Req'!K115</f>
        <v>39400577.773190379</v>
      </c>
    </row>
    <row r="73" spans="1:13">
      <c r="A73" s="293">
        <f>A72+1</f>
        <v>43</v>
      </c>
      <c r="B73" s="229"/>
      <c r="C73" s="229" t="s">
        <v>698</v>
      </c>
      <c r="D73" s="1420" t="str">
        <f>"( Projected Gross Rev Req, p.1, line "&amp;'Projected Gross Rev Req'!A28&amp;")"</f>
        <v>( Projected Gross Rev Req, p.1, line 9)</v>
      </c>
      <c r="E73" s="229"/>
      <c r="F73" s="229"/>
      <c r="G73" s="235">
        <f>'Projected Gross Rev Req'!K28</f>
        <v>182055975.14703271</v>
      </c>
    </row>
    <row r="74" spans="1:13">
      <c r="A74" s="293">
        <f>A73+1</f>
        <v>44</v>
      </c>
      <c r="B74" s="229"/>
      <c r="C74" s="245" t="s">
        <v>1476</v>
      </c>
      <c r="D74" s="483" t="str">
        <f>"( line "&amp;A72&amp;" / line "&amp;A73&amp;")"</f>
        <v>( line 42 / line 43)</v>
      </c>
      <c r="E74" s="372"/>
      <c r="F74" s="372"/>
      <c r="G74" s="644">
        <f>G72/G73</f>
        <v>0.2164201298055147</v>
      </c>
    </row>
    <row r="75" spans="1:13">
      <c r="A75" s="293">
        <f>A74+1</f>
        <v>45</v>
      </c>
      <c r="B75" s="229"/>
      <c r="C75" s="245" t="s">
        <v>1711</v>
      </c>
      <c r="D75" s="483" t="str">
        <f>"( line "&amp;A74&amp;" divided by 12 months) (Note 2)"</f>
        <v>( line 44 divided by 12 months) (Note 2)</v>
      </c>
      <c r="E75" s="372"/>
      <c r="F75" s="372"/>
      <c r="G75" s="644">
        <f>G74/12</f>
        <v>1.8035010817126225E-2</v>
      </c>
    </row>
    <row r="76" spans="1:13" ht="6" customHeight="1">
      <c r="A76" s="233"/>
      <c r="B76" s="229"/>
      <c r="C76" s="245"/>
      <c r="D76" s="372"/>
      <c r="E76" s="372"/>
      <c r="F76" s="372"/>
      <c r="G76" s="377"/>
    </row>
    <row r="77" spans="1:13" ht="36" customHeight="1">
      <c r="A77" s="1602" t="s">
        <v>1118</v>
      </c>
      <c r="C77" s="2254" t="s">
        <v>999</v>
      </c>
      <c r="D77" s="2254"/>
      <c r="E77" s="2254"/>
      <c r="F77" s="2254"/>
      <c r="G77" s="2254"/>
    </row>
  </sheetData>
  <customSheetViews>
    <customSheetView guid="{FAA8FFD9-C96B-4A1B-8B9E-B863FD90DDBA}" scale="75" showRuler="0" topLeftCell="A34">
      <selection activeCell="G1" sqref="G1:G2"/>
      <pageMargins left="7.0000000000000007E-2" right="0.05" top="0.77" bottom="0.5" header="0.5" footer="0"/>
      <printOptions horizontalCentered="1"/>
      <pageSetup scale="50" fitToHeight="6" orientation="portrait" r:id="rId1"/>
      <headerFooter alignWithMargins="0"/>
    </customSheetView>
  </customSheetViews>
  <mergeCells count="9">
    <mergeCell ref="G1:H1"/>
    <mergeCell ref="C77:G77"/>
    <mergeCell ref="C6:F6"/>
    <mergeCell ref="C7:F7"/>
    <mergeCell ref="C5:F5"/>
    <mergeCell ref="C1:F1"/>
    <mergeCell ref="C2:F2"/>
    <mergeCell ref="C4:F4"/>
    <mergeCell ref="C3:F3"/>
  </mergeCells>
  <phoneticPr fontId="0" type="noConversion"/>
  <printOptions horizontalCentered="1" gridLines="1"/>
  <pageMargins left="0.5" right="0.25" top="0.5" bottom="0.5" header="0" footer="0"/>
  <pageSetup scale="60" orientation="portrait"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dimension ref="A1:R294"/>
  <sheetViews>
    <sheetView view="pageBreakPreview" topLeftCell="A10" zoomScale="75" zoomScaleNormal="85" zoomScaleSheetLayoutView="75" workbookViewId="0">
      <selection activeCell="K28" sqref="K28"/>
    </sheetView>
  </sheetViews>
  <sheetFormatPr defaultRowHeight="15" outlineLevelRow="1"/>
  <cols>
    <col min="1" max="1" width="5.88671875" style="228" customWidth="1"/>
    <col min="2" max="2" width="2.109375" style="228" customWidth="1"/>
    <col min="3" max="3" width="49.5546875" style="228" customWidth="1"/>
    <col min="4" max="4" width="38.77734375" style="228" customWidth="1"/>
    <col min="5" max="5" width="18.5546875" style="228" customWidth="1"/>
    <col min="6" max="6" width="17.77734375" style="228" customWidth="1"/>
    <col min="7" max="7" width="8.44140625" style="228" customWidth="1"/>
    <col min="8" max="8" width="4.5546875" style="228" customWidth="1"/>
    <col min="9" max="9" width="12.77734375" style="228" customWidth="1"/>
    <col min="10" max="10" width="6.6640625" style="228" customWidth="1"/>
    <col min="11" max="11" width="16.33203125" style="228" customWidth="1"/>
    <col min="12" max="12" width="3.6640625" style="228" customWidth="1"/>
    <col min="13" max="13" width="14.6640625" style="228" customWidth="1"/>
    <col min="14" max="14" width="2.33203125" style="228" customWidth="1"/>
    <col min="15" max="15" width="14.44140625" style="240" customWidth="1"/>
    <col min="16" max="16" width="16.44140625" style="228" customWidth="1"/>
    <col min="17" max="17" width="15.33203125" style="228" bestFit="1" customWidth="1"/>
    <col min="18" max="16384" width="8.88671875" style="228"/>
  </cols>
  <sheetData>
    <row r="1" spans="1:17" s="10" customFormat="1">
      <c r="C1" s="2"/>
      <c r="D1" s="2158" t="s">
        <v>48</v>
      </c>
      <c r="E1" s="2158"/>
      <c r="F1" s="2159"/>
      <c r="G1" s="2159"/>
      <c r="H1" s="2"/>
      <c r="K1" s="40"/>
      <c r="L1" s="2"/>
      <c r="N1" s="2"/>
      <c r="O1" s="558"/>
      <c r="P1" s="2"/>
      <c r="Q1" s="2"/>
    </row>
    <row r="2" spans="1:17" s="10" customFormat="1" ht="15.75">
      <c r="C2" s="2"/>
      <c r="D2" s="2160" t="s">
        <v>1543</v>
      </c>
      <c r="E2" s="2160"/>
      <c r="F2" s="2159"/>
      <c r="G2" s="2159"/>
      <c r="H2" s="4"/>
      <c r="I2" s="4"/>
      <c r="J2" s="2193" t="s">
        <v>200</v>
      </c>
      <c r="K2" s="2193"/>
      <c r="N2" s="4"/>
      <c r="O2" s="572"/>
      <c r="P2" s="4"/>
      <c r="Q2" s="2"/>
    </row>
    <row r="3" spans="1:17" s="10" customFormat="1" ht="15.75">
      <c r="C3" s="2"/>
      <c r="D3" s="2160" t="s">
        <v>1401</v>
      </c>
      <c r="E3" s="2160"/>
      <c r="F3" s="2160"/>
      <c r="G3" s="2160"/>
      <c r="H3" s="4"/>
      <c r="I3" s="4"/>
      <c r="K3" s="2193"/>
      <c r="L3" s="2193"/>
      <c r="N3" s="4"/>
      <c r="O3" s="572"/>
      <c r="P3" s="4"/>
      <c r="Q3" s="2"/>
    </row>
    <row r="4" spans="1:17" ht="18">
      <c r="A4" s="10"/>
      <c r="B4" s="10"/>
      <c r="C4" s="2"/>
      <c r="D4" s="2261" t="str">
        <f>+'Projected Net Rev Req'!C4</f>
        <v>For the 12 months ended - December 31, 2014</v>
      </c>
      <c r="E4" s="2261"/>
      <c r="F4" s="2261"/>
      <c r="G4" s="2261"/>
      <c r="H4" s="87"/>
      <c r="I4" s="87"/>
      <c r="J4" s="233"/>
      <c r="L4" s="230"/>
      <c r="N4" s="230"/>
      <c r="P4" s="230"/>
      <c r="Q4" s="233"/>
    </row>
    <row r="5" spans="1:17">
      <c r="C5" s="233"/>
      <c r="D5" s="230"/>
      <c r="E5" s="230"/>
      <c r="F5" s="263"/>
      <c r="G5" s="230"/>
      <c r="H5" s="230"/>
      <c r="I5" s="230"/>
      <c r="J5" s="233"/>
      <c r="K5" s="1897" t="s">
        <v>148</v>
      </c>
      <c r="L5" s="230"/>
      <c r="M5" s="230"/>
      <c r="N5" s="230"/>
      <c r="P5" s="230"/>
      <c r="Q5" s="233"/>
    </row>
    <row r="6" spans="1:17">
      <c r="C6" s="233"/>
      <c r="D6" s="2255" t="s">
        <v>67</v>
      </c>
      <c r="E6" s="2255"/>
      <c r="F6" s="2255"/>
      <c r="G6" s="2154"/>
      <c r="H6" s="2154"/>
      <c r="I6" s="230"/>
      <c r="J6" s="230"/>
      <c r="K6" s="59" t="s">
        <v>1120</v>
      </c>
      <c r="L6" s="230"/>
      <c r="M6" s="230"/>
      <c r="N6" s="230"/>
      <c r="P6" s="230"/>
      <c r="Q6" s="233"/>
    </row>
    <row r="7" spans="1:17" s="10" customFormat="1">
      <c r="A7" s="228"/>
      <c r="B7" s="228"/>
      <c r="C7" s="233"/>
      <c r="D7" s="2262" t="s">
        <v>68</v>
      </c>
      <c r="E7" s="2263"/>
      <c r="F7" s="2263"/>
      <c r="G7" s="2263"/>
      <c r="H7" s="2263"/>
      <c r="I7" s="4"/>
      <c r="J7" s="4"/>
      <c r="L7" s="4"/>
      <c r="M7" s="4"/>
      <c r="N7" s="4"/>
      <c r="O7" s="558"/>
      <c r="P7" s="4"/>
      <c r="Q7" s="2"/>
    </row>
    <row r="8" spans="1:17" s="10" customFormat="1">
      <c r="C8" s="2"/>
      <c r="D8" s="6"/>
      <c r="E8" s="6"/>
      <c r="I8" s="4"/>
      <c r="J8" s="4"/>
      <c r="K8" s="4"/>
      <c r="L8" s="4"/>
      <c r="M8" s="4"/>
      <c r="N8" s="4"/>
      <c r="O8" s="558"/>
      <c r="P8" s="4"/>
      <c r="Q8" s="2"/>
    </row>
    <row r="9" spans="1:17" s="10" customFormat="1">
      <c r="C9" s="2"/>
      <c r="D9" s="5"/>
      <c r="E9" s="6"/>
      <c r="I9" s="4"/>
      <c r="J9" s="4"/>
      <c r="K9" s="4"/>
      <c r="L9" s="4"/>
      <c r="M9" s="4"/>
      <c r="N9" s="4"/>
      <c r="O9" s="558"/>
      <c r="P9" s="4"/>
      <c r="Q9" s="2"/>
    </row>
    <row r="10" spans="1:17" s="10" customFormat="1">
      <c r="A10" s="22"/>
      <c r="B10" s="22"/>
      <c r="C10" s="1663" t="s">
        <v>916</v>
      </c>
      <c r="D10" s="1663" t="s">
        <v>917</v>
      </c>
      <c r="E10" s="1663" t="s">
        <v>924</v>
      </c>
      <c r="F10" s="1643" t="s">
        <v>925</v>
      </c>
      <c r="G10" s="1643" t="s">
        <v>926</v>
      </c>
      <c r="H10" s="22"/>
      <c r="I10" s="1664" t="s">
        <v>694</v>
      </c>
      <c r="J10" s="15"/>
      <c r="K10" s="1664" t="s">
        <v>695</v>
      </c>
      <c r="L10" s="4"/>
      <c r="M10" s="3"/>
      <c r="N10" s="4"/>
      <c r="O10" s="573"/>
      <c r="P10" s="4"/>
      <c r="Q10" s="2"/>
    </row>
    <row r="11" spans="1:17">
      <c r="A11" s="22"/>
      <c r="B11" s="22"/>
      <c r="C11" s="24"/>
      <c r="D11" s="22"/>
      <c r="E11" s="22"/>
      <c r="F11" s="232"/>
      <c r="G11" s="232"/>
      <c r="H11" s="232"/>
      <c r="I11" s="307"/>
      <c r="J11" s="232"/>
      <c r="K11" s="229"/>
      <c r="L11" s="230"/>
      <c r="M11" s="293"/>
      <c r="N11" s="230"/>
      <c r="O11" s="561"/>
      <c r="P11" s="293"/>
      <c r="Q11" s="233"/>
    </row>
    <row r="12" spans="1:17" ht="15.75">
      <c r="A12" s="307" t="s">
        <v>50</v>
      </c>
      <c r="B12" s="229"/>
      <c r="C12" s="245"/>
      <c r="D12" s="73" t="s">
        <v>927</v>
      </c>
      <c r="E12" s="73"/>
      <c r="F12" s="229"/>
      <c r="G12" s="1665"/>
      <c r="H12" s="1337"/>
      <c r="I12" s="229"/>
      <c r="J12" s="1665"/>
      <c r="K12" s="229"/>
      <c r="L12" s="230"/>
      <c r="M12" s="293"/>
      <c r="N12" s="238"/>
      <c r="O12" s="561"/>
      <c r="P12" s="293"/>
      <c r="Q12" s="233"/>
    </row>
    <row r="13" spans="1:17" ht="16.5" thickBot="1">
      <c r="A13" s="582" t="s">
        <v>51</v>
      </c>
      <c r="B13" s="1666"/>
      <c r="C13" s="1667" t="s">
        <v>455</v>
      </c>
      <c r="D13" s="161" t="s">
        <v>453</v>
      </c>
      <c r="E13" s="160" t="s">
        <v>73</v>
      </c>
      <c r="F13" s="1668" t="s">
        <v>1062</v>
      </c>
      <c r="G13" s="390"/>
      <c r="H13" s="1668" t="s">
        <v>454</v>
      </c>
      <c r="I13" s="390"/>
      <c r="J13" s="390"/>
      <c r="K13" s="1668" t="s">
        <v>452</v>
      </c>
      <c r="L13" s="230"/>
      <c r="M13" s="230"/>
      <c r="N13" s="238"/>
      <c r="P13" s="230"/>
      <c r="Q13" s="233"/>
    </row>
    <row r="14" spans="1:17" ht="15.75">
      <c r="A14" s="307"/>
      <c r="B14" s="229"/>
      <c r="C14" s="245"/>
      <c r="D14" s="232"/>
      <c r="E14" s="232"/>
      <c r="F14" s="232"/>
      <c r="G14" s="232"/>
      <c r="H14" s="232"/>
      <c r="I14" s="232"/>
      <c r="J14" s="232"/>
      <c r="K14" s="1153" t="s">
        <v>870</v>
      </c>
      <c r="L14" s="230"/>
      <c r="M14" s="230"/>
      <c r="N14" s="238"/>
      <c r="P14" s="230"/>
      <c r="Q14" s="233"/>
    </row>
    <row r="15" spans="1:17" ht="15.75">
      <c r="A15" s="307"/>
      <c r="B15" s="229"/>
      <c r="C15" s="245" t="s">
        <v>1021</v>
      </c>
      <c r="D15" s="239"/>
      <c r="E15" s="584"/>
      <c r="F15" s="232"/>
      <c r="G15" s="232"/>
      <c r="H15" s="232"/>
      <c r="I15" s="232"/>
      <c r="J15" s="232"/>
      <c r="K15" s="232"/>
      <c r="L15" s="230"/>
      <c r="M15" s="230"/>
      <c r="N15" s="238"/>
      <c r="P15" s="230"/>
      <c r="Q15" s="233"/>
    </row>
    <row r="16" spans="1:17">
      <c r="A16" s="307">
        <v>1</v>
      </c>
      <c r="B16" s="229"/>
      <c r="C16" s="245" t="s">
        <v>458</v>
      </c>
      <c r="D16" s="1020" t="str">
        <f>"(Wksht P-1, p.2  Line "&amp;'P-1 (Trans Plant)'!A91&amp;")"</f>
        <v>(Wksht P-1, p.2  Line 29)</v>
      </c>
      <c r="E16" s="378">
        <f>'P-1 (Trans Plant)'!I91</f>
        <v>422060708</v>
      </c>
      <c r="F16" s="235">
        <f>E16</f>
        <v>422060708</v>
      </c>
      <c r="G16" s="232"/>
      <c r="H16" s="232" t="s">
        <v>55</v>
      </c>
      <c r="I16" s="244">
        <f>I138</f>
        <v>0.80124875802051276</v>
      </c>
      <c r="J16" s="232"/>
      <c r="K16" s="235">
        <f>+I16*F16</f>
        <v>338175618.09425831</v>
      </c>
      <c r="L16" s="230"/>
      <c r="M16" s="230"/>
      <c r="N16" s="238"/>
      <c r="P16" s="230"/>
      <c r="Q16" s="233"/>
    </row>
    <row r="17" spans="1:17">
      <c r="A17" s="307">
        <v>2</v>
      </c>
      <c r="B17" s="229"/>
      <c r="C17" s="295" t="s">
        <v>997</v>
      </c>
      <c r="D17" s="1420" t="str">
        <f>"(Act. Gross Rev Req, p.1, line "&amp;'Actual Gross Rev Req'!B19&amp;")"</f>
        <v>(Act. Gross Rev Req, p.1, line 5)</v>
      </c>
      <c r="E17" s="310">
        <f>'Actual Gross Rev Req'!F19</f>
        <v>316180062</v>
      </c>
      <c r="F17" s="310">
        <f>E17</f>
        <v>316180062</v>
      </c>
      <c r="G17" s="339"/>
      <c r="H17" s="339" t="s">
        <v>1425</v>
      </c>
      <c r="I17" s="477">
        <f>WS</f>
        <v>1.898472513614197E-2</v>
      </c>
      <c r="J17" s="339"/>
      <c r="K17" s="272">
        <f>+I17*F17</f>
        <v>6002591.5705983266</v>
      </c>
      <c r="L17" s="230"/>
      <c r="M17" s="230"/>
      <c r="N17" s="238"/>
      <c r="P17" s="230"/>
      <c r="Q17" s="233"/>
    </row>
    <row r="18" spans="1:17" ht="15" customHeight="1">
      <c r="A18" s="307">
        <v>3</v>
      </c>
      <c r="B18" s="229"/>
      <c r="C18" s="295" t="s">
        <v>1156</v>
      </c>
      <c r="D18" s="1420" t="str">
        <f>"(Act. Gross Rev Req, p.1, line "&amp;'Actual Gross Rev Req'!B20&amp;")"</f>
        <v>(Act. Gross Rev Req, p.1, line 6)</v>
      </c>
      <c r="E18" s="478">
        <f>'Actual Gross Rev Req'!F20</f>
        <v>190510018</v>
      </c>
      <c r="F18" s="478">
        <f>E18</f>
        <v>190510018</v>
      </c>
      <c r="G18" s="232"/>
      <c r="H18" s="232" t="s">
        <v>1425</v>
      </c>
      <c r="I18" s="244">
        <f>I182</f>
        <v>1.898472513614197E-2</v>
      </c>
      <c r="J18" s="232"/>
      <c r="K18" s="479">
        <f>+I18*F18</f>
        <v>3616780.3274114593</v>
      </c>
      <c r="L18" s="230"/>
      <c r="M18" s="230"/>
      <c r="N18" s="230"/>
      <c r="P18" s="293"/>
      <c r="Q18" s="233"/>
    </row>
    <row r="19" spans="1:17">
      <c r="A19" s="307">
        <f>A18+1</f>
        <v>4</v>
      </c>
      <c r="B19" s="229"/>
      <c r="C19" s="297" t="s">
        <v>1086</v>
      </c>
      <c r="D19" s="1020" t="str">
        <f>"(Sum Line "&amp;A16&amp;" to Line "&amp;A18&amp;")"</f>
        <v>(Sum Line 1 to Line 3)</v>
      </c>
      <c r="E19" s="235">
        <f>SUM(E16:E18)</f>
        <v>928750788</v>
      </c>
      <c r="F19" s="235">
        <f>SUM(F16:F18)</f>
        <v>928750788</v>
      </c>
      <c r="G19" s="232"/>
      <c r="H19" s="232"/>
      <c r="I19" s="298"/>
      <c r="J19" s="232"/>
      <c r="K19" s="235">
        <f>SUM(K16:K18)</f>
        <v>347794989.99226809</v>
      </c>
      <c r="L19" s="230"/>
      <c r="M19" s="236"/>
      <c r="N19" s="238"/>
      <c r="P19" s="230"/>
      <c r="Q19" s="233"/>
    </row>
    <row r="20" spans="1:17">
      <c r="A20" s="229"/>
      <c r="B20" s="229"/>
      <c r="C20" s="245"/>
      <c r="D20" s="1420"/>
      <c r="E20" s="232"/>
      <c r="F20" s="232"/>
      <c r="G20" s="232"/>
      <c r="H20" s="232"/>
      <c r="I20" s="299"/>
      <c r="J20" s="232"/>
      <c r="K20" s="232"/>
      <c r="L20" s="230"/>
      <c r="M20" s="236"/>
      <c r="N20" s="238"/>
      <c r="P20" s="230"/>
      <c r="Q20" s="233"/>
    </row>
    <row r="21" spans="1:17">
      <c r="A21" s="229"/>
      <c r="B21" s="229"/>
      <c r="C21" s="245" t="s">
        <v>1426</v>
      </c>
      <c r="D21" s="239"/>
      <c r="E21" s="232"/>
      <c r="F21" s="232"/>
      <c r="G21" s="232"/>
      <c r="H21" s="232"/>
      <c r="I21" s="232"/>
      <c r="J21" s="232"/>
      <c r="K21" s="232"/>
      <c r="L21" s="230"/>
      <c r="M21" s="230"/>
      <c r="N21" s="238"/>
      <c r="P21" s="230"/>
      <c r="Q21" s="233"/>
    </row>
    <row r="22" spans="1:17" ht="15.75">
      <c r="A22" s="307">
        <f>A19+1</f>
        <v>5</v>
      </c>
      <c r="B22" s="229"/>
      <c r="C22" s="245" t="str">
        <f>+C16</f>
        <v xml:space="preserve">  Transmission</v>
      </c>
      <c r="D22" s="1020" t="str">
        <f>"(Wksht P-1, p.2  Line "&amp;'P-1 (Trans Plant)'!A91&amp;")"</f>
        <v>(Wksht P-1, p.2  Line 29)</v>
      </c>
      <c r="E22" s="378">
        <f>'P-1 (Trans Plant)'!K91</f>
        <v>186445753.23344153</v>
      </c>
      <c r="F22" s="235">
        <f>E22</f>
        <v>186445753.23344153</v>
      </c>
      <c r="G22" s="232"/>
      <c r="H22" s="232" t="s">
        <v>402</v>
      </c>
      <c r="I22" s="244">
        <f>DR</f>
        <v>0.83734619984481073</v>
      </c>
      <c r="J22" s="232"/>
      <c r="K22" s="235">
        <f>+I22*F22</f>
        <v>156119642.9472256</v>
      </c>
      <c r="L22" s="230"/>
      <c r="M22" s="411"/>
      <c r="N22" s="238"/>
      <c r="O22" s="574"/>
      <c r="P22" s="230"/>
      <c r="Q22" s="233"/>
    </row>
    <row r="23" spans="1:17">
      <c r="A23" s="307">
        <f>A22+1</f>
        <v>6</v>
      </c>
      <c r="B23" s="229"/>
      <c r="C23" s="295" t="s">
        <v>997</v>
      </c>
      <c r="D23" s="1420" t="str">
        <f>"(Act. Gross Rev Req, p.1, line "&amp;'Actual Gross Rev Req'!B28&amp;")"</f>
        <v>(Act. Gross Rev Req, p.1, line 12)</v>
      </c>
      <c r="E23" s="774">
        <f>'Actual Gross Rev Req'!F28</f>
        <v>72334024</v>
      </c>
      <c r="F23" s="310">
        <f>E23</f>
        <v>72334024</v>
      </c>
      <c r="G23" s="232"/>
      <c r="H23" s="232" t="str">
        <f>+H17</f>
        <v>W/S</v>
      </c>
      <c r="I23" s="244">
        <f>+I17</f>
        <v>1.898472513614197E-2</v>
      </c>
      <c r="J23" s="232"/>
      <c r="K23" s="501">
        <f>+I23*F23</f>
        <v>1373241.5636310966</v>
      </c>
      <c r="L23" s="230"/>
      <c r="M23" s="230"/>
      <c r="N23" s="238"/>
      <c r="P23" s="230"/>
      <c r="Q23" s="233"/>
    </row>
    <row r="24" spans="1:17">
      <c r="A24" s="307">
        <v>7</v>
      </c>
      <c r="B24" s="229"/>
      <c r="C24" s="245" t="str">
        <f>+C18</f>
        <v xml:space="preserve">  Intangible &amp; Other</v>
      </c>
      <c r="D24" s="1420" t="str">
        <f>"(Act. Gross Rev Req, p.1, line "&amp;'Actual Gross Rev Req'!B29&amp;")"</f>
        <v>(Act. Gross Rev Req, p.1, line 13)</v>
      </c>
      <c r="E24" s="478">
        <f>'Actual Gross Rev Req'!F29</f>
        <v>151077345</v>
      </c>
      <c r="F24" s="478">
        <f>E24</f>
        <v>151077345</v>
      </c>
      <c r="G24" s="232"/>
      <c r="H24" s="232" t="str">
        <f>+H18</f>
        <v>W/S</v>
      </c>
      <c r="I24" s="244">
        <f>+I18</f>
        <v>1.898472513614197E-2</v>
      </c>
      <c r="J24" s="232"/>
      <c r="K24" s="570">
        <f>+I24*F24</f>
        <v>2868161.8691230924</v>
      </c>
      <c r="L24" s="230"/>
      <c r="M24" s="230"/>
      <c r="N24" s="238"/>
      <c r="P24" s="293"/>
      <c r="Q24" s="233"/>
    </row>
    <row r="25" spans="1:17">
      <c r="A25" s="307">
        <f>A24+1</f>
        <v>8</v>
      </c>
      <c r="B25" s="229"/>
      <c r="C25" s="245" t="s">
        <v>1766</v>
      </c>
      <c r="D25" s="1020" t="str">
        <f>"(Sum Line "&amp;A22&amp;" to Line "&amp;A24&amp;")"</f>
        <v>(Sum Line 5 to Line 7)</v>
      </c>
      <c r="E25" s="235">
        <f>SUM(E22:E24)</f>
        <v>409857122.23344153</v>
      </c>
      <c r="F25" s="235">
        <f>SUM(F22:F24)</f>
        <v>409857122.23344153</v>
      </c>
      <c r="G25" s="232"/>
      <c r="H25" s="232"/>
      <c r="I25" s="232"/>
      <c r="J25" s="232"/>
      <c r="K25" s="235">
        <f>SUM(K22:K24)</f>
        <v>160361046.37997979</v>
      </c>
      <c r="L25" s="230"/>
      <c r="M25" s="587"/>
      <c r="N25" s="238"/>
      <c r="O25" s="571"/>
      <c r="P25" s="230"/>
      <c r="Q25" s="233"/>
    </row>
    <row r="26" spans="1:17">
      <c r="A26" s="307"/>
      <c r="B26" s="229"/>
      <c r="C26" s="229"/>
      <c r="D26" s="232" t="s">
        <v>49</v>
      </c>
      <c r="E26" s="229"/>
      <c r="F26" s="229"/>
      <c r="G26" s="232"/>
      <c r="H26" s="232"/>
      <c r="I26" s="299"/>
      <c r="J26" s="232"/>
      <c r="K26" s="229"/>
      <c r="L26" s="230"/>
      <c r="M26" s="236"/>
      <c r="N26" s="238"/>
      <c r="P26" s="230"/>
      <c r="Q26" s="233"/>
    </row>
    <row r="27" spans="1:17">
      <c r="A27" s="307"/>
      <c r="B27" s="229"/>
      <c r="C27" s="245" t="s">
        <v>474</v>
      </c>
      <c r="D27" s="232"/>
      <c r="E27" s="232"/>
      <c r="F27" s="232"/>
      <c r="G27" s="232"/>
      <c r="H27" s="232"/>
      <c r="I27" s="232"/>
      <c r="J27" s="232"/>
      <c r="K27" s="232"/>
      <c r="L27" s="230"/>
      <c r="M27" s="230"/>
      <c r="N27" s="238"/>
      <c r="P27" s="230"/>
      <c r="Q27" s="233"/>
    </row>
    <row r="28" spans="1:17">
      <c r="A28" s="307">
        <f>A25+1</f>
        <v>9</v>
      </c>
      <c r="B28" s="229"/>
      <c r="C28" s="245" t="str">
        <f>+C22</f>
        <v xml:space="preserve">  Transmission</v>
      </c>
      <c r="D28" s="1020" t="str">
        <f>"( Line "&amp;A16&amp;" less Line "&amp;A22&amp;")"</f>
        <v>( Line 1 less Line 5)</v>
      </c>
      <c r="E28" s="235">
        <f>E16-E22</f>
        <v>235614954.76655847</v>
      </c>
      <c r="F28" s="235">
        <f>F16-F22</f>
        <v>235614954.76655847</v>
      </c>
      <c r="G28" s="232"/>
      <c r="H28" s="232"/>
      <c r="I28" s="244"/>
      <c r="J28" s="232"/>
      <c r="K28" s="235">
        <f>+K16-K22</f>
        <v>182055975.14703271</v>
      </c>
      <c r="L28" s="230"/>
      <c r="M28" s="236"/>
      <c r="N28" s="238"/>
      <c r="P28" s="230"/>
      <c r="Q28" s="233"/>
    </row>
    <row r="29" spans="1:17">
      <c r="A29" s="307">
        <f>A28+1</f>
        <v>10</v>
      </c>
      <c r="B29" s="229"/>
      <c r="C29" s="295" t="s">
        <v>997</v>
      </c>
      <c r="D29" s="1020" t="str">
        <f>"( Line "&amp;A17&amp;" less Line "&amp;A23&amp;")"</f>
        <v>( Line 2 less Line 6)</v>
      </c>
      <c r="E29" s="585">
        <f>E17-E23</f>
        <v>243846038</v>
      </c>
      <c r="F29" s="310">
        <f>E29</f>
        <v>243846038</v>
      </c>
      <c r="G29" s="232"/>
      <c r="H29" s="232"/>
      <c r="I29" s="244"/>
      <c r="J29" s="232"/>
      <c r="K29" s="501">
        <f>K17-K23</f>
        <v>4629350.0069672298</v>
      </c>
      <c r="L29" s="230"/>
      <c r="M29" s="236"/>
      <c r="N29" s="238"/>
      <c r="P29" s="230"/>
      <c r="Q29" s="233"/>
    </row>
    <row r="30" spans="1:17">
      <c r="A30" s="307">
        <f>A29+1</f>
        <v>11</v>
      </c>
      <c r="B30" s="229"/>
      <c r="C30" s="245" t="str">
        <f>+C24</f>
        <v xml:space="preserve">  Intangible &amp; Other</v>
      </c>
      <c r="D30" s="1020" t="str">
        <f>"( Line "&amp;A18&amp;" less Line "&amp;A24&amp;")"</f>
        <v>( Line 3 less Line 7)</v>
      </c>
      <c r="E30" s="586">
        <f>E18-E24</f>
        <v>39432673</v>
      </c>
      <c r="F30" s="478">
        <f>E30</f>
        <v>39432673</v>
      </c>
      <c r="G30" s="232"/>
      <c r="H30" s="232"/>
      <c r="I30" s="244"/>
      <c r="J30" s="232"/>
      <c r="K30" s="570">
        <f>K18-K24</f>
        <v>748618.45828836691</v>
      </c>
      <c r="L30" s="230"/>
      <c r="M30" s="236"/>
      <c r="N30" s="238"/>
      <c r="P30" s="230"/>
      <c r="Q30" s="233"/>
    </row>
    <row r="31" spans="1:17">
      <c r="A31" s="307">
        <f>A30+1</f>
        <v>12</v>
      </c>
      <c r="B31" s="229"/>
      <c r="C31" s="245" t="s">
        <v>1765</v>
      </c>
      <c r="D31" s="1020" t="str">
        <f>"(Sum Line "&amp;A28&amp;" to Line "&amp;A30&amp;")"</f>
        <v>(Sum Line 9 to Line 11)</v>
      </c>
      <c r="E31" s="235">
        <f>SUM(E28:E30)</f>
        <v>518893665.76655847</v>
      </c>
      <c r="F31" s="235">
        <f>SUM(F28:F30)</f>
        <v>518893665.76655847</v>
      </c>
      <c r="G31" s="232"/>
      <c r="H31" s="232"/>
      <c r="I31" s="298"/>
      <c r="J31" s="232"/>
      <c r="K31" s="235">
        <f>SUM(K28:K30)</f>
        <v>187433943.6122883</v>
      </c>
      <c r="L31" s="230"/>
      <c r="M31" s="230"/>
      <c r="N31" s="238"/>
      <c r="O31" s="571"/>
      <c r="P31" s="230"/>
      <c r="Q31" s="233"/>
    </row>
    <row r="32" spans="1:17" ht="15.75">
      <c r="A32" s="307"/>
      <c r="B32" s="229"/>
      <c r="C32" s="229"/>
      <c r="D32" s="584"/>
      <c r="E32" s="229"/>
      <c r="F32" s="229"/>
      <c r="G32" s="232"/>
      <c r="H32" s="229"/>
      <c r="I32" s="229"/>
      <c r="J32" s="232"/>
      <c r="K32" s="229"/>
      <c r="L32" s="230"/>
      <c r="M32" s="236"/>
      <c r="N32" s="238"/>
      <c r="O32" s="310"/>
      <c r="P32" s="230"/>
      <c r="Q32" s="233"/>
    </row>
    <row r="33" spans="1:17">
      <c r="A33" s="307"/>
      <c r="B33" s="229"/>
      <c r="C33" s="297" t="s">
        <v>1577</v>
      </c>
      <c r="D33" s="15"/>
      <c r="E33" s="232"/>
      <c r="F33" s="232"/>
      <c r="G33" s="232"/>
      <c r="H33" s="232"/>
      <c r="I33" s="232"/>
      <c r="J33" s="232"/>
      <c r="K33" s="232"/>
      <c r="L33" s="230"/>
      <c r="M33" s="230"/>
      <c r="N33" s="238"/>
      <c r="O33" s="310"/>
      <c r="P33" s="230"/>
      <c r="Q33" s="233"/>
    </row>
    <row r="34" spans="1:17">
      <c r="A34" s="307">
        <f>A31+1</f>
        <v>13</v>
      </c>
      <c r="B34" s="229"/>
      <c r="C34" s="245" t="s">
        <v>1509</v>
      </c>
      <c r="D34" s="1420" t="str">
        <f>"(Act. Gross Rev Req, p.1, line "&amp;'Actual Gross Rev Req'!B42&amp;")"</f>
        <v>(Act. Gross Rev Req, p.1, line 22)</v>
      </c>
      <c r="E34" s="284">
        <f>'Actual Gross Rev Req'!F42</f>
        <v>-35676365.11964529</v>
      </c>
      <c r="F34" s="284">
        <f>E34</f>
        <v>-35676365.11964529</v>
      </c>
      <c r="G34" s="339" t="s">
        <v>49</v>
      </c>
      <c r="H34" s="829" t="s">
        <v>1385</v>
      </c>
      <c r="I34" s="557">
        <v>1</v>
      </c>
      <c r="J34" s="339"/>
      <c r="K34" s="856">
        <f>F34</f>
        <v>-35676365.11964529</v>
      </c>
      <c r="L34" s="230"/>
      <c r="M34" s="236"/>
      <c r="N34" s="238"/>
      <c r="O34" s="1406"/>
      <c r="P34" s="230"/>
      <c r="Q34" s="233"/>
    </row>
    <row r="35" spans="1:17">
      <c r="A35" s="307">
        <f>A34+1</f>
        <v>14</v>
      </c>
      <c r="B35" s="229"/>
      <c r="C35" s="245" t="s">
        <v>64</v>
      </c>
      <c r="D35" s="1420" t="str">
        <f>"(Act. Gross Rev Req, p.1, line "&amp;'Actual Gross Rev Req'!B43&amp;")"</f>
        <v>(Act. Gross Rev Req, p.1, line 23)</v>
      </c>
      <c r="E35" s="585">
        <f>'Actual Gross Rev Req'!F43</f>
        <v>-64565.740241984444</v>
      </c>
      <c r="F35" s="585">
        <f>E35</f>
        <v>-64565.740241984444</v>
      </c>
      <c r="G35" s="339"/>
      <c r="H35" s="829" t="s">
        <v>1385</v>
      </c>
      <c r="I35" s="557">
        <v>1</v>
      </c>
      <c r="J35" s="339"/>
      <c r="K35" s="1844">
        <f>E35*I35</f>
        <v>-64565.740241984444</v>
      </c>
      <c r="L35" s="230"/>
      <c r="M35" s="236"/>
      <c r="N35" s="238"/>
      <c r="O35" s="1406"/>
      <c r="P35" s="230"/>
      <c r="Q35" s="233"/>
    </row>
    <row r="36" spans="1:17" s="10" customFormat="1">
      <c r="A36" s="59">
        <f>A35+1</f>
        <v>15</v>
      </c>
      <c r="B36" s="22"/>
      <c r="C36" s="24" t="s">
        <v>1052</v>
      </c>
      <c r="D36" s="1420" t="str">
        <f>"(Act. Gross Rev Req, p.1, line "&amp;'Actual Gross Rev Req'!B44&amp;" - Amortization)"</f>
        <v>(Act. Gross Rev Req, p.1, line 24 - Amortization)</v>
      </c>
      <c r="E36" s="828">
        <f>MAX(0,'Actual Gross Rev Req'!F44-(2*E87))</f>
        <v>0</v>
      </c>
      <c r="F36" s="828">
        <f>E36</f>
        <v>0</v>
      </c>
      <c r="G36" s="15"/>
      <c r="H36" s="829" t="s">
        <v>1385</v>
      </c>
      <c r="I36" s="557">
        <v>1</v>
      </c>
      <c r="J36" s="15"/>
      <c r="K36" s="834">
        <f>F36*I36</f>
        <v>0</v>
      </c>
      <c r="L36" s="4"/>
      <c r="M36" s="835"/>
      <c r="N36" s="1"/>
      <c r="O36" s="613"/>
      <c r="P36" s="4"/>
      <c r="Q36" s="2"/>
    </row>
    <row r="37" spans="1:17" s="10" customFormat="1">
      <c r="A37" s="59">
        <f>A36+1</f>
        <v>16</v>
      </c>
      <c r="B37" s="22"/>
      <c r="C37" s="24" t="s">
        <v>95</v>
      </c>
      <c r="D37" s="1420" t="str">
        <f>"(Act. Gross Rev Req, p.1, line "&amp;'Actual Gross Rev Req'!B46&amp;")"</f>
        <v>(Act. Gross Rev Req, p.1, line 26)</v>
      </c>
      <c r="E37" s="828">
        <f>'Actual Gross Rev Req'!H46</f>
        <v>0</v>
      </c>
      <c r="F37" s="828">
        <f>E37</f>
        <v>0</v>
      </c>
      <c r="G37" s="829"/>
      <c r="H37" s="829" t="s">
        <v>1385</v>
      </c>
      <c r="I37" s="830">
        <v>1</v>
      </c>
      <c r="J37" s="829"/>
      <c r="K37" s="834">
        <f>F37*I37</f>
        <v>0</v>
      </c>
      <c r="L37" s="4"/>
      <c r="M37" s="835"/>
      <c r="N37" s="1"/>
      <c r="O37" s="613"/>
      <c r="P37" s="4"/>
      <c r="Q37" s="2"/>
    </row>
    <row r="38" spans="1:17" s="10" customFormat="1">
      <c r="A38" s="59">
        <f>A37+1</f>
        <v>17</v>
      </c>
      <c r="B38" s="22"/>
      <c r="C38" s="24" t="s">
        <v>100</v>
      </c>
      <c r="D38" s="15" t="s">
        <v>1542</v>
      </c>
      <c r="E38" s="836">
        <f>'P-1 (Trans Plant)'!C44</f>
        <v>0</v>
      </c>
      <c r="F38" s="836">
        <f>E38</f>
        <v>0</v>
      </c>
      <c r="G38" s="15"/>
      <c r="H38" s="829" t="s">
        <v>1385</v>
      </c>
      <c r="I38" s="557">
        <v>1</v>
      </c>
      <c r="J38" s="15"/>
      <c r="K38" s="837">
        <f>F38*I38</f>
        <v>0</v>
      </c>
      <c r="L38" s="4"/>
      <c r="M38" s="835"/>
      <c r="N38" s="1"/>
      <c r="O38" s="613"/>
      <c r="P38" s="4"/>
      <c r="Q38" s="2"/>
    </row>
    <row r="39" spans="1:17">
      <c r="A39" s="307">
        <f>A38+1</f>
        <v>18</v>
      </c>
      <c r="B39" s="245"/>
      <c r="C39" s="245" t="s">
        <v>1386</v>
      </c>
      <c r="D39" s="1020" t="str">
        <f>"(Sum Line "&amp;A34&amp;" to Line "&amp;A38&amp;")"</f>
        <v>(Sum Line 13 to Line 17)</v>
      </c>
      <c r="E39" s="235">
        <f>SUM(E34:E38)</f>
        <v>-35740930.859887272</v>
      </c>
      <c r="F39" s="235">
        <f>SUM(F34:F38)</f>
        <v>-35740930.859887272</v>
      </c>
      <c r="G39" s="232"/>
      <c r="H39" s="232"/>
      <c r="I39" s="232"/>
      <c r="J39" s="232"/>
      <c r="K39" s="235">
        <f>SUM(K34:K38)</f>
        <v>-35740930.859887272</v>
      </c>
      <c r="L39" s="230"/>
      <c r="M39" s="230"/>
      <c r="N39" s="238"/>
      <c r="O39" s="1407"/>
      <c r="P39" s="230"/>
      <c r="Q39" s="233"/>
    </row>
    <row r="40" spans="1:17">
      <c r="A40" s="307"/>
      <c r="B40" s="229"/>
      <c r="C40" s="229"/>
      <c r="D40" s="232"/>
      <c r="E40" s="229"/>
      <c r="F40" s="229"/>
      <c r="G40" s="232"/>
      <c r="H40" s="232"/>
      <c r="I40" s="299"/>
      <c r="J40" s="232"/>
      <c r="K40" s="229"/>
      <c r="L40" s="230"/>
      <c r="M40" s="236"/>
      <c r="N40" s="238"/>
      <c r="O40" s="310"/>
      <c r="P40" s="230"/>
      <c r="Q40" s="233"/>
    </row>
    <row r="41" spans="1:17">
      <c r="A41" s="307">
        <f>A39+1</f>
        <v>19</v>
      </c>
      <c r="B41" s="245"/>
      <c r="C41" s="297" t="s">
        <v>475</v>
      </c>
      <c r="D41" s="1420" t="str">
        <f>"(Act. Gross Rev Req, p.1, line "&amp;'Actual Gross Rev Req'!B49&amp;")"</f>
        <v>(Act. Gross Rev Req, p.1, line 28)</v>
      </c>
      <c r="E41" s="579">
        <f>+'Actual Gross Rev Req'!F49</f>
        <v>56110</v>
      </c>
      <c r="F41" s="579">
        <f>E41</f>
        <v>56110</v>
      </c>
      <c r="G41" s="232"/>
      <c r="H41" s="232" t="s">
        <v>1385</v>
      </c>
      <c r="I41" s="244">
        <v>1</v>
      </c>
      <c r="J41" s="232"/>
      <c r="K41" s="579">
        <f>+I41*F41</f>
        <v>56110</v>
      </c>
      <c r="L41" s="230"/>
      <c r="M41" s="230"/>
      <c r="N41" s="238"/>
      <c r="O41" s="310"/>
      <c r="P41" s="230"/>
      <c r="Q41" s="233"/>
    </row>
    <row r="42" spans="1:17">
      <c r="A42" s="307"/>
      <c r="B42" s="229"/>
      <c r="C42" s="245"/>
      <c r="D42" s="232"/>
      <c r="E42" s="232"/>
      <c r="F42" s="232"/>
      <c r="G42" s="232"/>
      <c r="H42" s="232"/>
      <c r="I42" s="232"/>
      <c r="J42" s="232"/>
      <c r="K42" s="232"/>
      <c r="L42" s="230"/>
      <c r="M42" s="230"/>
      <c r="N42" s="238"/>
      <c r="O42" s="310"/>
      <c r="P42" s="230"/>
      <c r="Q42" s="233"/>
    </row>
    <row r="43" spans="1:17">
      <c r="A43" s="307"/>
      <c r="B43" s="229"/>
      <c r="C43" s="245" t="s">
        <v>678</v>
      </c>
      <c r="D43" s="239"/>
      <c r="E43" s="232"/>
      <c r="F43" s="232"/>
      <c r="G43" s="232"/>
      <c r="H43" s="232"/>
      <c r="I43" s="232"/>
      <c r="J43" s="232"/>
      <c r="K43" s="232"/>
      <c r="L43" s="230"/>
      <c r="M43" s="230"/>
      <c r="N43" s="238"/>
      <c r="O43" s="310"/>
      <c r="P43" s="230"/>
      <c r="Q43" s="233"/>
    </row>
    <row r="44" spans="1:17">
      <c r="A44" s="307">
        <f>A41+1</f>
        <v>20</v>
      </c>
      <c r="B44" s="245"/>
      <c r="C44" s="245" t="s">
        <v>1161</v>
      </c>
      <c r="D44" s="229" t="s">
        <v>680</v>
      </c>
      <c r="E44" s="761">
        <v>0</v>
      </c>
      <c r="F44" s="761">
        <v>0</v>
      </c>
      <c r="G44" s="232"/>
      <c r="H44" s="232"/>
      <c r="I44" s="299"/>
      <c r="J44" s="232"/>
      <c r="K44" s="235">
        <f>+K81/8</f>
        <v>1529992.0550813235</v>
      </c>
      <c r="L44" s="238"/>
      <c r="M44" s="236"/>
      <c r="N44" s="238"/>
      <c r="O44" s="1406"/>
      <c r="P44" s="230"/>
      <c r="Q44" s="233"/>
    </row>
    <row r="45" spans="1:17">
      <c r="A45" s="307">
        <f>A44+1</f>
        <v>21</v>
      </c>
      <c r="B45" s="245"/>
      <c r="C45" s="245" t="s">
        <v>679</v>
      </c>
      <c r="D45" s="1420" t="str">
        <f>"(Act. Gross Rev Req, p.1, line "&amp;'Actual Gross Rev Req'!B53&amp;")"</f>
        <v>(Act. Gross Rev Req, p.1, line 30)</v>
      </c>
      <c r="E45" s="491">
        <f>'Actual Gross Rev Req'!F53</f>
        <v>997887</v>
      </c>
      <c r="F45" s="276">
        <f>E45</f>
        <v>997887</v>
      </c>
      <c r="G45" s="232"/>
      <c r="H45" s="232" t="s">
        <v>55</v>
      </c>
      <c r="I45" s="557">
        <f>tp</f>
        <v>0.80124875802051276</v>
      </c>
      <c r="J45" s="232"/>
      <c r="K45" s="380">
        <f>+I45*F45</f>
        <v>799555.71939481539</v>
      </c>
      <c r="L45" s="230" t="s">
        <v>49</v>
      </c>
      <c r="M45" s="236"/>
      <c r="N45" s="238"/>
      <c r="O45" s="1406"/>
      <c r="P45" s="230"/>
      <c r="Q45" s="233"/>
    </row>
    <row r="46" spans="1:17">
      <c r="A46" s="307">
        <f>A45+1</f>
        <v>22</v>
      </c>
      <c r="B46" s="245"/>
      <c r="C46" s="245" t="s">
        <v>968</v>
      </c>
      <c r="D46" s="1420" t="str">
        <f>"(Act. Gross Rev Req, p.1, line "&amp;'Actual Gross Rev Req'!B54&amp;")"</f>
        <v>(Act. Gross Rev Req, p.1, line 31)</v>
      </c>
      <c r="E46" s="491">
        <f>'Actual Gross Rev Req'!F54</f>
        <v>13618680.5</v>
      </c>
      <c r="F46" s="276">
        <f>E46</f>
        <v>13618680.5</v>
      </c>
      <c r="G46" s="232"/>
      <c r="H46" s="232" t="s">
        <v>1425</v>
      </c>
      <c r="I46" s="244">
        <f>WS</f>
        <v>1.898472513614197E-2</v>
      </c>
      <c r="J46" s="232"/>
      <c r="K46" s="380">
        <f>+I46*F46</f>
        <v>258546.9060094365</v>
      </c>
      <c r="L46" s="230"/>
      <c r="M46" s="236"/>
      <c r="N46" s="238"/>
      <c r="O46" s="1406"/>
      <c r="P46" s="230"/>
      <c r="Q46" s="233"/>
    </row>
    <row r="47" spans="1:17" ht="15.75" thickBot="1">
      <c r="A47" s="307">
        <f>A46+1</f>
        <v>23</v>
      </c>
      <c r="B47" s="245"/>
      <c r="C47" s="245" t="s">
        <v>472</v>
      </c>
      <c r="D47" s="1420" t="str">
        <f>"(Act. Gross Rev Req, p.1, line "&amp;'Actual Gross Rev Req'!B55&amp;")"</f>
        <v>(Act. Gross Rev Req, p.1, line 32)</v>
      </c>
      <c r="E47" s="243">
        <f>+'Actual Gross Rev Req'!F55</f>
        <v>11112175</v>
      </c>
      <c r="F47" s="243">
        <f>E47</f>
        <v>11112175</v>
      </c>
      <c r="G47" s="232" t="s">
        <v>49</v>
      </c>
      <c r="H47" s="15" t="s">
        <v>1425</v>
      </c>
      <c r="I47" s="557">
        <f>WS</f>
        <v>1.898472513614197E-2</v>
      </c>
      <c r="J47" s="232"/>
      <c r="K47" s="234">
        <f>I47*F47</f>
        <v>210961.58803970841</v>
      </c>
      <c r="L47" s="230"/>
      <c r="M47" s="236"/>
      <c r="N47" s="238"/>
      <c r="O47" s="1406"/>
      <c r="P47" s="230"/>
      <c r="Q47" s="233"/>
    </row>
    <row r="48" spans="1:17">
      <c r="A48" s="307">
        <f>A47+1</f>
        <v>24</v>
      </c>
      <c r="B48" s="245"/>
      <c r="C48" s="245" t="s">
        <v>1764</v>
      </c>
      <c r="D48" s="1020" t="str">
        <f>"(sum Line "&amp;A45&amp;" to Line "&amp;A47&amp;")"</f>
        <v>(sum Line 21 to Line 23)</v>
      </c>
      <c r="E48" s="235">
        <f>SUM(E44:E47)</f>
        <v>25728742.5</v>
      </c>
      <c r="F48" s="235">
        <f>SUM(F44:F47)</f>
        <v>25728742.5</v>
      </c>
      <c r="G48" s="372"/>
      <c r="H48" s="372"/>
      <c r="I48" s="372"/>
      <c r="J48" s="372"/>
      <c r="K48" s="235">
        <f>SUM(K44:K47)</f>
        <v>2799056.2685252838</v>
      </c>
      <c r="L48" s="238"/>
      <c r="M48" s="301"/>
      <c r="N48" s="238"/>
      <c r="O48" s="1407"/>
      <c r="P48" s="230"/>
      <c r="Q48" s="233"/>
    </row>
    <row r="49" spans="1:17">
      <c r="A49" s="307"/>
      <c r="B49" s="245"/>
      <c r="C49" s="245"/>
      <c r="D49" s="372"/>
      <c r="E49" s="232"/>
      <c r="F49" s="232"/>
      <c r="G49" s="372"/>
      <c r="H49" s="372"/>
      <c r="I49" s="372"/>
      <c r="J49" s="372"/>
      <c r="K49" s="232"/>
      <c r="L49" s="238"/>
      <c r="M49" s="238"/>
      <c r="N49" s="238"/>
      <c r="O49" s="1407"/>
      <c r="P49" s="230"/>
      <c r="Q49" s="233"/>
    </row>
    <row r="50" spans="1:17">
      <c r="A50" s="307"/>
      <c r="B50" s="245"/>
      <c r="C50" s="229"/>
      <c r="D50" s="372"/>
      <c r="E50" s="232"/>
      <c r="F50" s="232"/>
      <c r="G50" s="372"/>
      <c r="H50" s="372"/>
      <c r="I50" s="372"/>
      <c r="J50" s="372"/>
      <c r="K50" s="232"/>
      <c r="L50" s="238"/>
      <c r="M50" s="238"/>
      <c r="N50" s="238"/>
      <c r="O50" s="1407"/>
      <c r="P50" s="230"/>
      <c r="Q50" s="233"/>
    </row>
    <row r="51" spans="1:17">
      <c r="A51" s="292">
        <f>A48+1</f>
        <v>25</v>
      </c>
      <c r="B51" s="233"/>
      <c r="C51" s="245" t="s">
        <v>1578</v>
      </c>
      <c r="D51" s="812" t="str">
        <f>"(sum Line "&amp;A31&amp;", "&amp;A39&amp;" , "&amp;A41&amp;" &amp; "&amp;A48&amp;")"</f>
        <v>(sum Line 12, 18 , 19 &amp; 24)</v>
      </c>
      <c r="E51" s="230"/>
      <c r="F51" s="246"/>
      <c r="G51" s="238"/>
      <c r="H51" s="238"/>
      <c r="I51" s="238"/>
      <c r="J51" s="238"/>
      <c r="K51" s="247">
        <f>K31+K39+K41+K48</f>
        <v>154548179.0209263</v>
      </c>
      <c r="L51" s="238"/>
      <c r="M51" s="238"/>
      <c r="N51" s="238"/>
      <c r="O51" s="1407"/>
      <c r="P51" s="230"/>
      <c r="Q51" s="233"/>
    </row>
    <row r="52" spans="1:17">
      <c r="A52" s="292"/>
      <c r="B52" s="233"/>
      <c r="C52" s="233"/>
      <c r="D52" s="238"/>
      <c r="E52" s="230"/>
      <c r="F52" s="230"/>
      <c r="G52" s="238"/>
      <c r="H52" s="238"/>
      <c r="I52" s="238"/>
      <c r="J52" s="238"/>
      <c r="K52" s="230"/>
      <c r="L52" s="238"/>
      <c r="M52" s="238"/>
      <c r="N52" s="238"/>
      <c r="O52" s="1407"/>
      <c r="P52" s="230"/>
      <c r="Q52" s="233"/>
    </row>
    <row r="53" spans="1:17" ht="15.75">
      <c r="A53" s="292"/>
      <c r="C53" s="233"/>
      <c r="D53" s="2161" t="str">
        <f>+D1</f>
        <v xml:space="preserve">     Rate Formula Template</v>
      </c>
      <c r="E53" s="2161"/>
      <c r="F53" s="2154"/>
      <c r="G53" s="2154"/>
      <c r="H53" s="230"/>
      <c r="K53" s="1098"/>
      <c r="L53" s="230"/>
      <c r="N53" s="230"/>
      <c r="O53" s="310"/>
      <c r="P53" s="230"/>
      <c r="Q53" s="233"/>
    </row>
    <row r="54" spans="1:17" ht="15.75">
      <c r="A54" s="292"/>
      <c r="C54" s="233"/>
      <c r="D54" s="2161" t="str">
        <f>D2</f>
        <v xml:space="preserve"> Utilizing FERC Form 1 Data</v>
      </c>
      <c r="E54" s="2161"/>
      <c r="F54" s="2154"/>
      <c r="G54" s="2154"/>
      <c r="H54" s="230"/>
      <c r="I54" s="230"/>
      <c r="J54" s="2193" t="s">
        <v>201</v>
      </c>
      <c r="K54" s="2193"/>
      <c r="L54" s="230"/>
      <c r="N54" s="230"/>
      <c r="O54" s="310"/>
      <c r="P54" s="230"/>
      <c r="Q54" s="233"/>
    </row>
    <row r="55" spans="1:17">
      <c r="A55" s="292"/>
      <c r="C55" s="233"/>
      <c r="D55" s="2161" t="str">
        <f>D3</f>
        <v>Projected Gross Revenue Requirements</v>
      </c>
      <c r="E55" s="2161"/>
      <c r="F55" s="2154"/>
      <c r="G55" s="2154"/>
      <c r="H55" s="230"/>
      <c r="I55" s="230"/>
      <c r="L55" s="230"/>
      <c r="M55" s="303"/>
      <c r="N55" s="230"/>
      <c r="O55" s="310"/>
      <c r="P55" s="230"/>
      <c r="Q55" s="233"/>
    </row>
    <row r="56" spans="1:17">
      <c r="A56" s="292"/>
      <c r="D56" s="2161" t="str">
        <f>D4</f>
        <v>For the 12 months ended - December 31, 2014</v>
      </c>
      <c r="E56" s="2161"/>
      <c r="F56" s="2154"/>
      <c r="G56" s="2154"/>
      <c r="H56" s="230"/>
      <c r="I56" s="230"/>
      <c r="J56" s="230"/>
      <c r="K56" s="304" t="str">
        <f>K$5</f>
        <v>Projected</v>
      </c>
      <c r="L56" s="230"/>
      <c r="N56" s="230"/>
      <c r="O56" s="310"/>
      <c r="P56" s="230"/>
      <c r="Q56" s="233"/>
    </row>
    <row r="57" spans="1:17">
      <c r="A57" s="292"/>
      <c r="D57" s="230"/>
      <c r="E57" s="230"/>
      <c r="F57" s="263"/>
      <c r="G57" s="230"/>
      <c r="H57" s="230"/>
      <c r="I57" s="230"/>
      <c r="J57" s="230"/>
      <c r="K57" s="385" t="s">
        <v>1121</v>
      </c>
      <c r="L57" s="230"/>
      <c r="M57" s="230"/>
      <c r="N57" s="230"/>
      <c r="O57" s="310"/>
      <c r="P57" s="230"/>
      <c r="Q57" s="233"/>
    </row>
    <row r="58" spans="1:17">
      <c r="A58" s="292"/>
      <c r="D58" s="2153" t="str">
        <f>+D$6</f>
        <v>Kansas City Power &amp; Light Company</v>
      </c>
      <c r="E58" s="2153"/>
      <c r="F58" s="2154"/>
      <c r="G58" s="2154"/>
      <c r="J58" s="230"/>
      <c r="L58" s="230"/>
      <c r="M58" s="230"/>
      <c r="N58" s="230"/>
      <c r="O58" s="310"/>
      <c r="P58" s="230"/>
      <c r="Q58" s="233"/>
    </row>
    <row r="59" spans="1:17">
      <c r="A59" s="292"/>
      <c r="D59" s="2155" t="str">
        <f>D7</f>
        <v>(KCP&amp;L)</v>
      </c>
      <c r="E59" s="2155"/>
      <c r="F59" s="2156"/>
      <c r="G59" s="2156"/>
      <c r="J59" s="230"/>
      <c r="K59" s="230"/>
      <c r="L59" s="230"/>
      <c r="M59" s="230"/>
      <c r="N59" s="230"/>
      <c r="O59" s="310"/>
      <c r="P59" s="230"/>
      <c r="Q59" s="233"/>
    </row>
    <row r="60" spans="1:17">
      <c r="A60" s="307"/>
      <c r="B60" s="229"/>
      <c r="C60" s="1663" t="s">
        <v>916</v>
      </c>
      <c r="D60" s="1663" t="s">
        <v>917</v>
      </c>
      <c r="E60" s="1663" t="s">
        <v>924</v>
      </c>
      <c r="F60" s="1643" t="s">
        <v>925</v>
      </c>
      <c r="G60" s="1643" t="s">
        <v>926</v>
      </c>
      <c r="H60" s="22"/>
      <c r="I60" s="1664" t="s">
        <v>694</v>
      </c>
      <c r="J60" s="15"/>
      <c r="K60" s="1664" t="s">
        <v>695</v>
      </c>
      <c r="L60" s="230"/>
      <c r="M60" s="230"/>
      <c r="N60" s="230"/>
      <c r="O60" s="1408"/>
      <c r="P60" s="230"/>
      <c r="Q60" s="233"/>
    </row>
    <row r="61" spans="1:17" ht="15.75">
      <c r="A61" s="307"/>
      <c r="B61" s="229"/>
      <c r="C61" s="1381"/>
      <c r="D61" s="376"/>
      <c r="E61" s="229"/>
      <c r="F61" s="232"/>
      <c r="G61" s="232"/>
      <c r="H61" s="232"/>
      <c r="I61" s="307"/>
      <c r="J61" s="232"/>
      <c r="K61" s="229"/>
      <c r="L61" s="262"/>
      <c r="M61" s="14"/>
      <c r="N61" s="262"/>
      <c r="O61" s="1409"/>
      <c r="P61" s="230"/>
      <c r="Q61" s="233"/>
    </row>
    <row r="62" spans="1:17" ht="15.75">
      <c r="A62" s="307" t="s">
        <v>50</v>
      </c>
      <c r="B62" s="229"/>
      <c r="C62" s="245"/>
      <c r="D62" s="73"/>
      <c r="E62" s="73"/>
      <c r="F62" s="229"/>
      <c r="G62" s="1665"/>
      <c r="H62" s="1337"/>
      <c r="I62" s="229"/>
      <c r="J62" s="1665"/>
      <c r="K62" s="1337"/>
      <c r="L62" s="230"/>
      <c r="M62" s="14"/>
      <c r="N62" s="230"/>
      <c r="O62" s="1410"/>
      <c r="P62" s="230"/>
      <c r="Q62" s="233"/>
    </row>
    <row r="63" spans="1:17" ht="16.5" thickBot="1">
      <c r="A63" s="582" t="s">
        <v>51</v>
      </c>
      <c r="B63" s="1666"/>
      <c r="C63" s="1845"/>
      <c r="D63" s="161" t="s">
        <v>1053</v>
      </c>
      <c r="E63" s="160" t="str">
        <f>E13</f>
        <v>KCP&amp;L</v>
      </c>
      <c r="F63" s="1668" t="str">
        <f>F13</f>
        <v>KCP&amp;L Total</v>
      </c>
      <c r="G63" s="390"/>
      <c r="H63" s="1668" t="s">
        <v>454</v>
      </c>
      <c r="I63" s="390"/>
      <c r="J63" s="390"/>
      <c r="K63" s="1668" t="s">
        <v>452</v>
      </c>
      <c r="L63" s="230"/>
      <c r="M63" s="14"/>
      <c r="N63" s="19"/>
      <c r="O63" s="1411"/>
      <c r="P63" s="230"/>
      <c r="Q63" s="233"/>
    </row>
    <row r="64" spans="1:17" ht="15.75">
      <c r="A64" s="229"/>
      <c r="B64" s="229"/>
      <c r="C64" s="245"/>
      <c r="D64" s="232"/>
      <c r="E64" s="232"/>
      <c r="F64" s="1846"/>
      <c r="G64" s="1847"/>
      <c r="H64" s="1153"/>
      <c r="I64" s="229"/>
      <c r="J64" s="1847"/>
      <c r="K64" s="1153" t="s">
        <v>870</v>
      </c>
      <c r="L64" s="230"/>
      <c r="M64" s="230"/>
      <c r="N64" s="230"/>
      <c r="O64" s="310"/>
      <c r="P64" s="230"/>
      <c r="Q64" s="233"/>
    </row>
    <row r="65" spans="1:17" ht="15.75">
      <c r="A65" s="307"/>
      <c r="B65" s="229"/>
      <c r="C65" s="23" t="s">
        <v>477</v>
      </c>
      <c r="D65" s="229"/>
      <c r="E65" s="584"/>
      <c r="F65" s="232"/>
      <c r="G65" s="232"/>
      <c r="H65" s="232"/>
      <c r="I65" s="232"/>
      <c r="J65" s="232"/>
      <c r="K65" s="232"/>
      <c r="L65" s="230"/>
      <c r="M65" s="230"/>
      <c r="N65" s="230"/>
      <c r="O65" s="310"/>
      <c r="P65" s="230"/>
      <c r="Q65" s="233"/>
    </row>
    <row r="66" spans="1:17">
      <c r="A66" s="307">
        <v>1</v>
      </c>
      <c r="B66" s="229"/>
      <c r="C66" s="245" t="s">
        <v>1057</v>
      </c>
      <c r="D66" s="1020" t="str">
        <f>"(Wksht P-2, Line "&amp;'P-2 (Exp. &amp; Rev. Credits)'!A15&amp;")"</f>
        <v>(Wksht P-2, Line 3)</v>
      </c>
      <c r="E66" s="235">
        <f>'P-2 (Exp. &amp; Rev. Credits)'!F15</f>
        <v>42116095.27409748</v>
      </c>
      <c r="F66" s="235">
        <f>E66</f>
        <v>42116095.27409748</v>
      </c>
      <c r="G66" s="232" t="s">
        <v>49</v>
      </c>
      <c r="H66" s="232"/>
      <c r="I66" s="244"/>
      <c r="J66" s="232"/>
      <c r="K66" s="235"/>
      <c r="L66" s="238"/>
      <c r="M66" s="230"/>
      <c r="N66" s="230"/>
      <c r="O66" s="310"/>
      <c r="P66" s="293"/>
      <c r="Q66" s="230"/>
    </row>
    <row r="67" spans="1:17">
      <c r="A67" s="307">
        <f>A66+1</f>
        <v>2</v>
      </c>
      <c r="B67" s="229"/>
      <c r="C67" s="245" t="s">
        <v>809</v>
      </c>
      <c r="D67" s="1020" t="str">
        <f>"(Wksht P-2, Line "&amp;'P-2 (Exp. &amp; Rev. Credits)'!A16&amp;")"</f>
        <v>(Wksht P-2, Line 4)</v>
      </c>
      <c r="E67" s="276">
        <f>'P-2 (Exp. &amp; Rev. Credits)'!F16</f>
        <v>6961614.4756309409</v>
      </c>
      <c r="F67" s="276">
        <f>E67</f>
        <v>6961614.4756309409</v>
      </c>
      <c r="G67" s="232"/>
      <c r="H67" s="232"/>
      <c r="I67" s="244"/>
      <c r="J67" s="232"/>
      <c r="K67" s="276"/>
      <c r="L67" s="238"/>
      <c r="M67" s="230"/>
      <c r="N67" s="230"/>
      <c r="O67" s="310"/>
      <c r="P67" s="293"/>
      <c r="Q67" s="230"/>
    </row>
    <row r="68" spans="1:17">
      <c r="A68" s="307">
        <f>A67+1</f>
        <v>3</v>
      </c>
      <c r="B68" s="229"/>
      <c r="C68" s="245" t="s">
        <v>1114</v>
      </c>
      <c r="D68" s="1020" t="str">
        <f>"(Wksht P-2, Line "&amp;'P-2 (Exp. &amp; Rev. Credits)'!A17&amp;")"</f>
        <v>(Wksht P-2, Line 5)</v>
      </c>
      <c r="E68" s="310">
        <f>'P-2 (Exp. &amp; Rev. Credits)'!F17</f>
        <v>24530328.013167579</v>
      </c>
      <c r="F68" s="310">
        <f>E68</f>
        <v>24530328.013167579</v>
      </c>
      <c r="G68" s="232" t="s">
        <v>49</v>
      </c>
      <c r="H68" s="232"/>
      <c r="I68" s="244"/>
      <c r="J68" s="232"/>
      <c r="K68" s="276"/>
      <c r="L68" s="238"/>
      <c r="M68" s="230"/>
      <c r="N68" s="230"/>
      <c r="O68" s="310"/>
      <c r="P68" s="293"/>
      <c r="Q68" s="230"/>
    </row>
    <row r="69" spans="1:17">
      <c r="A69" s="307" t="s">
        <v>1105</v>
      </c>
      <c r="B69" s="229"/>
      <c r="C69" s="245" t="s">
        <v>93</v>
      </c>
      <c r="D69" s="1020" t="str">
        <f>"(Wksht P-2, Line "&amp;'P-2 (Exp. &amp; Rev. Credits)'!A18&amp;")"</f>
        <v>(Wksht P-2, Line 5a)</v>
      </c>
      <c r="E69" s="478">
        <f>'P-2 (Exp. &amp; Rev. Credits)'!F18</f>
        <v>2358786</v>
      </c>
      <c r="F69" s="478">
        <f>E69</f>
        <v>2358786</v>
      </c>
      <c r="G69" s="232"/>
      <c r="H69" s="232"/>
      <c r="I69" s="244"/>
      <c r="J69" s="232"/>
      <c r="K69" s="276"/>
      <c r="L69" s="238"/>
      <c r="M69" s="230"/>
      <c r="N69" s="230"/>
      <c r="O69" s="310"/>
      <c r="P69" s="293"/>
      <c r="Q69" s="230"/>
    </row>
    <row r="70" spans="1:17">
      <c r="A70" s="307">
        <f>A68+1</f>
        <v>4</v>
      </c>
      <c r="B70" s="229"/>
      <c r="C70" s="245" t="s">
        <v>1439</v>
      </c>
      <c r="D70" s="1020" t="str">
        <f>"( Line "&amp;A66&amp;" less  Line "&amp;A67&amp;" , "&amp;A68&amp;" &amp; "&amp;A69&amp;")"</f>
        <v>( Line 1 less  Line 2 , 3 &amp; 3a)</v>
      </c>
      <c r="E70" s="276">
        <f>E66-E67-E68-E69</f>
        <v>8265366.7852989621</v>
      </c>
      <c r="F70" s="276">
        <f>F66-F67-F68-F69</f>
        <v>8265366.7852989621</v>
      </c>
      <c r="G70" s="232"/>
      <c r="H70" s="232" t="s">
        <v>55</v>
      </c>
      <c r="I70" s="244">
        <f>tp</f>
        <v>0.80124875802051276</v>
      </c>
      <c r="J70" s="232"/>
      <c r="K70" s="579">
        <f>F70*I70</f>
        <v>6622614.8713047914</v>
      </c>
      <c r="L70" s="238"/>
      <c r="M70" s="230"/>
      <c r="N70" s="230"/>
      <c r="O70" s="310"/>
      <c r="P70" s="293"/>
      <c r="Q70" s="230"/>
    </row>
    <row r="71" spans="1:17">
      <c r="A71" s="307"/>
      <c r="B71" s="229"/>
      <c r="C71" s="245"/>
      <c r="D71" s="232"/>
      <c r="E71" s="276"/>
      <c r="F71" s="310"/>
      <c r="G71" s="232"/>
      <c r="H71" s="232"/>
      <c r="I71" s="244"/>
      <c r="J71" s="232"/>
      <c r="K71" s="579"/>
      <c r="L71" s="238"/>
      <c r="M71" s="230"/>
      <c r="N71" s="230"/>
      <c r="O71" s="310"/>
      <c r="P71" s="293"/>
      <c r="Q71" s="230"/>
    </row>
    <row r="72" spans="1:17">
      <c r="A72" s="307">
        <f>A70+1</f>
        <v>5</v>
      </c>
      <c r="B72" s="229"/>
      <c r="C72" s="245" t="s">
        <v>989</v>
      </c>
      <c r="D72" s="1020" t="str">
        <f>"(Wksht P-2, Line "&amp;'P-2 (Exp. &amp; Rev. Credits)'!A19&amp;")"</f>
        <v>(Wksht P-2, Line 6)</v>
      </c>
      <c r="E72" s="579">
        <f>'P-2 (Exp. &amp; Rev. Credits)'!F19</f>
        <v>131277118.54943351</v>
      </c>
      <c r="F72" s="579">
        <f t="shared" ref="F72:F80" si="0">E72</f>
        <v>131277118.54943351</v>
      </c>
      <c r="G72" s="232"/>
      <c r="H72" s="232" t="s">
        <v>1425</v>
      </c>
      <c r="I72" s="244">
        <f>WS</f>
        <v>1.898472513614197E-2</v>
      </c>
      <c r="J72" s="232"/>
      <c r="K72" s="579">
        <f t="shared" ref="K72:K79" si="1">F72*I72</f>
        <v>2492260.0123257199</v>
      </c>
      <c r="L72" s="230"/>
      <c r="M72" s="230" t="s">
        <v>49</v>
      </c>
      <c r="N72" s="230"/>
      <c r="O72" s="273"/>
      <c r="P72" s="293"/>
      <c r="Q72" s="233"/>
    </row>
    <row r="73" spans="1:17">
      <c r="A73" s="307" t="s">
        <v>1641</v>
      </c>
      <c r="B73" s="229"/>
      <c r="C73" s="24" t="s">
        <v>966</v>
      </c>
      <c r="D73" s="22" t="s">
        <v>648</v>
      </c>
      <c r="E73" s="276">
        <f>'A-10 (Act. A&amp;G)'!F18</f>
        <v>8086621</v>
      </c>
      <c r="F73" s="276">
        <f t="shared" si="0"/>
        <v>8086621</v>
      </c>
      <c r="G73" s="232"/>
      <c r="H73" s="232" t="s">
        <v>1425</v>
      </c>
      <c r="I73" s="244">
        <f>WS</f>
        <v>1.898472513614197E-2</v>
      </c>
      <c r="J73" s="232"/>
      <c r="K73" s="276">
        <f t="shared" si="1"/>
        <v>153522.27696515352</v>
      </c>
      <c r="L73" s="230"/>
      <c r="M73" s="230"/>
      <c r="N73" s="230"/>
      <c r="O73" s="273"/>
      <c r="P73" s="293"/>
      <c r="Q73" s="233"/>
    </row>
    <row r="74" spans="1:17">
      <c r="A74" s="307" t="s">
        <v>1081</v>
      </c>
      <c r="B74" s="229"/>
      <c r="C74" s="24" t="s">
        <v>400</v>
      </c>
      <c r="D74" s="15" t="s">
        <v>401</v>
      </c>
      <c r="E74" s="310">
        <f>'Actual Gross Rev Req'!F280</f>
        <v>8598615</v>
      </c>
      <c r="F74" s="310">
        <f t="shared" si="0"/>
        <v>8598615</v>
      </c>
      <c r="G74" s="232"/>
      <c r="H74" s="232" t="s">
        <v>1425</v>
      </c>
      <c r="I74" s="244">
        <f>WS</f>
        <v>1.898472513614197E-2</v>
      </c>
      <c r="J74" s="232"/>
      <c r="K74" s="276">
        <f t="shared" si="1"/>
        <v>163242.34232650738</v>
      </c>
      <c r="L74" s="230"/>
      <c r="M74" s="230"/>
      <c r="N74" s="230"/>
      <c r="O74" s="273"/>
      <c r="P74" s="293"/>
      <c r="Q74" s="233"/>
    </row>
    <row r="75" spans="1:17">
      <c r="A75" s="307" t="s">
        <v>1082</v>
      </c>
      <c r="B75" s="229"/>
      <c r="C75" s="24" t="s">
        <v>701</v>
      </c>
      <c r="D75" s="1020" t="str">
        <f>"(Wksht P-2, Line "&amp;'P-2 (Exp. &amp; Rev. Credits)'!A20&amp;")"</f>
        <v>(Wksht P-2, Line 6a)</v>
      </c>
      <c r="E75" s="276">
        <f>'P-2 (Exp. &amp; Rev. Credits)'!F20</f>
        <v>0</v>
      </c>
      <c r="F75" s="310">
        <f t="shared" si="0"/>
        <v>0</v>
      </c>
      <c r="G75" s="339"/>
      <c r="H75" s="232" t="s">
        <v>1425</v>
      </c>
      <c r="I75" s="557">
        <f>WS</f>
        <v>1.898472513614197E-2</v>
      </c>
      <c r="J75" s="232"/>
      <c r="K75" s="276">
        <f>F75*I75</f>
        <v>0</v>
      </c>
      <c r="L75" s="230"/>
      <c r="M75" s="230"/>
      <c r="N75" s="230"/>
      <c r="O75" s="273"/>
      <c r="P75" s="293"/>
      <c r="Q75" s="233"/>
    </row>
    <row r="76" spans="1:17" ht="15.75">
      <c r="A76" s="307" t="s">
        <v>1083</v>
      </c>
      <c r="B76" s="229"/>
      <c r="C76" s="24" t="s">
        <v>1074</v>
      </c>
      <c r="D76" s="1020" t="str">
        <f>"(Wksht P-2, Line "&amp;'P-2 (Exp. &amp; Rev. Credits)'!A21&amp;")"</f>
        <v>(Wksht P-2, Line 6b)</v>
      </c>
      <c r="E76" s="276">
        <f>'P-2 (Exp. &amp; Rev. Credits)'!F21</f>
        <v>0</v>
      </c>
      <c r="F76" s="310">
        <f t="shared" si="0"/>
        <v>0</v>
      </c>
      <c r="G76" s="339"/>
      <c r="H76" s="829" t="s">
        <v>1385</v>
      </c>
      <c r="I76" s="557">
        <v>1</v>
      </c>
      <c r="J76" s="232"/>
      <c r="K76" s="276">
        <f t="shared" si="1"/>
        <v>0</v>
      </c>
      <c r="L76" s="230"/>
      <c r="M76" s="1372"/>
      <c r="N76" s="230"/>
      <c r="O76" s="273"/>
      <c r="P76" s="293"/>
      <c r="Q76" s="233"/>
    </row>
    <row r="77" spans="1:17">
      <c r="A77" s="307" t="s">
        <v>1084</v>
      </c>
      <c r="B77" s="229"/>
      <c r="C77" s="24" t="s">
        <v>1075</v>
      </c>
      <c r="D77" s="1020" t="str">
        <f>"(Wksht P-2, Line "&amp;'P-2 (Exp. &amp; Rev. Credits)'!A22&amp;")"</f>
        <v>(Wksht P-2, Line 6c)</v>
      </c>
      <c r="E77" s="310">
        <f>'P-2 (Exp. &amp; Rev. Credits)'!F22</f>
        <v>684240.40117815731</v>
      </c>
      <c r="F77" s="310">
        <f t="shared" si="0"/>
        <v>684240.40117815731</v>
      </c>
      <c r="G77" s="339"/>
      <c r="H77" s="829" t="s">
        <v>1385</v>
      </c>
      <c r="I77" s="557">
        <v>1</v>
      </c>
      <c r="J77" s="232"/>
      <c r="K77" s="276">
        <f t="shared" si="1"/>
        <v>684240.40117815731</v>
      </c>
      <c r="L77" s="230"/>
      <c r="M77" s="230"/>
      <c r="N77" s="230"/>
      <c r="O77" s="273"/>
      <c r="P77" s="293"/>
      <c r="Q77" s="233"/>
    </row>
    <row r="78" spans="1:17">
      <c r="A78" s="307" t="s">
        <v>1085</v>
      </c>
      <c r="B78" s="229"/>
      <c r="C78" s="24" t="s">
        <v>1076</v>
      </c>
      <c r="D78" s="1020" t="str">
        <f>"(Wksht P-2, Line "&amp;'P-2 (Exp. &amp; Rev. Credits)'!A23&amp;")"</f>
        <v>(Wksht P-2, Line 6d)</v>
      </c>
      <c r="E78" s="310">
        <f>'P-2 (Exp. &amp; Rev. Credits)'!F23</f>
        <v>69413.959540823373</v>
      </c>
      <c r="F78" s="310">
        <f t="shared" si="0"/>
        <v>69413.959540823373</v>
      </c>
      <c r="G78" s="232"/>
      <c r="H78" s="829" t="s">
        <v>1385</v>
      </c>
      <c r="I78" s="557">
        <v>1</v>
      </c>
      <c r="J78" s="232"/>
      <c r="K78" s="276">
        <f t="shared" si="1"/>
        <v>69413.959540823373</v>
      </c>
      <c r="L78" s="230"/>
      <c r="M78" s="230"/>
      <c r="N78" s="230"/>
      <c r="O78" s="273"/>
      <c r="P78" s="293"/>
      <c r="Q78" s="233"/>
    </row>
    <row r="79" spans="1:17">
      <c r="A79" s="1061" t="s">
        <v>110</v>
      </c>
      <c r="B79" s="229"/>
      <c r="C79" s="24" t="s">
        <v>1077</v>
      </c>
      <c r="D79" s="1020" t="str">
        <f>"(Wksht P-2, Line "&amp;'P-2 (Exp. &amp; Rev. Credits)'!A24&amp;")"</f>
        <v>(Wksht P-2, Line 6e)</v>
      </c>
      <c r="E79" s="310">
        <f>'P-2 (Exp. &amp; Rev. Credits)'!F24</f>
        <v>152813.95537407801</v>
      </c>
      <c r="F79" s="310">
        <f t="shared" si="0"/>
        <v>152813.95537407801</v>
      </c>
      <c r="G79" s="232"/>
      <c r="H79" s="232" t="s">
        <v>1425</v>
      </c>
      <c r="I79" s="557">
        <f>WS</f>
        <v>1.898472513614197E-2</v>
      </c>
      <c r="J79" s="232"/>
      <c r="K79" s="276">
        <f t="shared" si="1"/>
        <v>2901.1309397435361</v>
      </c>
      <c r="L79" s="230"/>
      <c r="M79" s="230"/>
      <c r="N79" s="230"/>
      <c r="O79" s="273"/>
      <c r="P79" s="293"/>
      <c r="Q79" s="233"/>
    </row>
    <row r="80" spans="1:17" ht="15.75" thickBot="1">
      <c r="A80" s="307">
        <f>A72+1</f>
        <v>6</v>
      </c>
      <c r="B80" s="307"/>
      <c r="C80" s="245" t="s">
        <v>467</v>
      </c>
      <c r="D80" s="1020" t="str">
        <f>"(Wksht P-2, Line "&amp;'P-2 (Exp. &amp; Rev. Credits)'!A25&amp;")"</f>
        <v>(Wksht P-2, Line 7)</v>
      </c>
      <c r="E80" s="243">
        <f>'P-2 (Exp. &amp; Rev. Credits)'!F25</f>
        <v>2358786</v>
      </c>
      <c r="F80" s="243">
        <f t="shared" si="0"/>
        <v>2358786</v>
      </c>
      <c r="G80" s="232"/>
      <c r="H80" s="232" t="s">
        <v>1385</v>
      </c>
      <c r="I80" s="244">
        <v>1</v>
      </c>
      <c r="J80" s="232"/>
      <c r="K80" s="243">
        <f>+I80*F80</f>
        <v>2358786</v>
      </c>
      <c r="L80" s="230"/>
      <c r="M80" s="230"/>
      <c r="N80" s="230"/>
      <c r="O80" s="310"/>
      <c r="P80" s="293"/>
      <c r="Q80" s="233"/>
    </row>
    <row r="81" spans="1:17">
      <c r="A81" s="307">
        <f>A80+1</f>
        <v>7</v>
      </c>
      <c r="B81" s="307"/>
      <c r="C81" s="245" t="s">
        <v>539</v>
      </c>
      <c r="D81" s="1020" t="str">
        <f>"( Sum Lines "&amp;A70&amp;", "&amp;A72&amp;" &amp; "&amp;A74&amp;" thru "&amp;A80&amp;", less "&amp;A73&amp;")"</f>
        <v>( Sum Lines 4, 5 &amp; 5b thru 6, less 5a)</v>
      </c>
      <c r="E81" s="235">
        <f>E70+E72-E73+E74+E75+E76+E77+E78+E79+E80</f>
        <v>143319733.65082553</v>
      </c>
      <c r="F81" s="235">
        <f>F70+F72-F73+F74+F75+F76+F77+F78+F79+F80</f>
        <v>143319733.65082553</v>
      </c>
      <c r="G81" s="232"/>
      <c r="H81" s="232"/>
      <c r="I81" s="232"/>
      <c r="J81" s="232"/>
      <c r="K81" s="235">
        <f>K70+K72-K73+K74+K75+K76+K77+K78+K79+K80</f>
        <v>12239936.440650588</v>
      </c>
      <c r="L81" s="230"/>
      <c r="M81" s="230"/>
      <c r="N81" s="230"/>
      <c r="O81" s="1407"/>
      <c r="P81" s="230"/>
      <c r="Q81" s="233"/>
    </row>
    <row r="82" spans="1:17">
      <c r="A82" s="307"/>
      <c r="B82" s="307"/>
      <c r="C82" s="229"/>
      <c r="D82" s="232"/>
      <c r="E82" s="232"/>
      <c r="F82" s="229"/>
      <c r="G82" s="232"/>
      <c r="H82" s="232"/>
      <c r="I82" s="232"/>
      <c r="J82" s="232"/>
      <c r="K82" s="229"/>
      <c r="L82" s="230"/>
      <c r="M82" s="230"/>
      <c r="N82" s="230"/>
      <c r="O82" s="310"/>
      <c r="P82" s="230"/>
      <c r="Q82" s="233"/>
    </row>
    <row r="83" spans="1:17" ht="15.75">
      <c r="A83" s="307"/>
      <c r="B83" s="307"/>
      <c r="C83" s="23" t="s">
        <v>478</v>
      </c>
      <c r="D83" s="232"/>
      <c r="E83" s="584"/>
      <c r="F83" s="232"/>
      <c r="G83" s="232"/>
      <c r="H83" s="232"/>
      <c r="I83" s="232"/>
      <c r="J83" s="232"/>
      <c r="K83" s="232"/>
      <c r="L83" s="230"/>
      <c r="M83" s="230"/>
      <c r="N83" s="230"/>
      <c r="O83" s="310"/>
      <c r="P83" s="230"/>
      <c r="Q83" s="233"/>
    </row>
    <row r="84" spans="1:17">
      <c r="A84" s="307">
        <f>A81+1</f>
        <v>8</v>
      </c>
      <c r="B84" s="307"/>
      <c r="C84" s="245" t="s">
        <v>458</v>
      </c>
      <c r="D84" s="1020" t="str">
        <f>"(Wksht P-1, p.2  Line "&amp;'P-1 (Trans Plant)'!A90&amp;")"</f>
        <v>(Wksht P-1, p.2  Line 28)</v>
      </c>
      <c r="E84" s="235">
        <f>'P-1 (Trans Plant)'!E90</f>
        <v>7564594.0694839992</v>
      </c>
      <c r="F84" s="235">
        <f>E84</f>
        <v>7564594.0694839992</v>
      </c>
      <c r="G84" s="232"/>
      <c r="H84" s="232" t="s">
        <v>55</v>
      </c>
      <c r="I84" s="244">
        <f>tp</f>
        <v>0.80124875802051276</v>
      </c>
      <c r="J84" s="232"/>
      <c r="K84" s="235">
        <f>+I84*E84</f>
        <v>6061121.6031033909</v>
      </c>
      <c r="L84" s="230"/>
      <c r="M84" s="236"/>
      <c r="N84" s="230"/>
      <c r="O84" s="310"/>
      <c r="P84" s="293"/>
      <c r="Q84" s="230"/>
    </row>
    <row r="85" spans="1:17">
      <c r="A85" s="307">
        <f>A84+1</f>
        <v>9</v>
      </c>
      <c r="B85" s="307"/>
      <c r="C85" s="245" t="s">
        <v>997</v>
      </c>
      <c r="D85" s="1420" t="str">
        <f>"(Act. Gross Rev Req, p.2, line "&amp;'Actual Gross Rev Req'!B93&amp;")"</f>
        <v>(Act. Gross Rev Req, p.2, line 9)</v>
      </c>
      <c r="E85" s="276">
        <f>'Actual Gross Rev Req'!F93</f>
        <v>10625484</v>
      </c>
      <c r="F85" s="276">
        <f>E85</f>
        <v>10625484</v>
      </c>
      <c r="G85" s="232"/>
      <c r="H85" s="232" t="s">
        <v>1425</v>
      </c>
      <c r="I85" s="244">
        <f>WS</f>
        <v>1.898472513614197E-2</v>
      </c>
      <c r="J85" s="232"/>
      <c r="K85" s="276">
        <f>+I85*F85</f>
        <v>201721.89317847433</v>
      </c>
      <c r="L85" s="230"/>
      <c r="M85" s="236"/>
      <c r="N85" s="230"/>
      <c r="O85" s="310"/>
      <c r="P85" s="293"/>
      <c r="Q85" s="230"/>
    </row>
    <row r="86" spans="1:17">
      <c r="A86" s="307">
        <f>A85+1</f>
        <v>10</v>
      </c>
      <c r="B86" s="307"/>
      <c r="C86" s="295" t="s">
        <v>1156</v>
      </c>
      <c r="D86" s="1420" t="str">
        <f>"(Act. Gross Rev Req, p.2, line "&amp;'Actual Gross Rev Req'!B94&amp;")"</f>
        <v>(Act. Gross Rev Req, p.2, line 10)</v>
      </c>
      <c r="E86" s="276">
        <f>'Actual Gross Rev Req'!F94</f>
        <v>13221825</v>
      </c>
      <c r="F86" s="276">
        <f>E86</f>
        <v>13221825</v>
      </c>
      <c r="G86" s="232"/>
      <c r="H86" s="232" t="s">
        <v>1425</v>
      </c>
      <c r="I86" s="244">
        <f>WS</f>
        <v>1.898472513614197E-2</v>
      </c>
      <c r="J86" s="232"/>
      <c r="K86" s="276">
        <f>+I86*F86</f>
        <v>251012.71342317029</v>
      </c>
      <c r="L86" s="230"/>
      <c r="M86" s="236"/>
      <c r="N86" s="230"/>
      <c r="O86" s="310"/>
      <c r="P86" s="293"/>
      <c r="Q86" s="230"/>
    </row>
    <row r="87" spans="1:17" ht="15.75" thickBot="1">
      <c r="A87" s="1549">
        <f>A86+1</f>
        <v>11</v>
      </c>
      <c r="B87" s="1549"/>
      <c r="C87" s="1848" t="s">
        <v>136</v>
      </c>
      <c r="D87" s="1420" t="str">
        <f>"(Act. Gross Rev Req, p.2, line "&amp;'Actual Gross Rev Req'!B95&amp;")"</f>
        <v>(Act. Gross Rev Req, p.2, line 11)</v>
      </c>
      <c r="E87" s="1849">
        <f>'Actual Gross Rev Req'!F95</f>
        <v>0</v>
      </c>
      <c r="F87" s="243">
        <f>E87</f>
        <v>0</v>
      </c>
      <c r="G87" s="1850"/>
      <c r="H87" s="829" t="s">
        <v>1385</v>
      </c>
      <c r="I87" s="557">
        <v>1</v>
      </c>
      <c r="J87" s="1850"/>
      <c r="K87" s="243">
        <f>+I87*F87</f>
        <v>0</v>
      </c>
      <c r="L87" s="230"/>
      <c r="M87" s="236"/>
      <c r="N87" s="230"/>
      <c r="O87" s="310"/>
      <c r="P87" s="293"/>
      <c r="Q87" s="230"/>
    </row>
    <row r="88" spans="1:17">
      <c r="A88" s="307">
        <f>A87+1</f>
        <v>12</v>
      </c>
      <c r="B88" s="307"/>
      <c r="C88" s="245" t="s">
        <v>540</v>
      </c>
      <c r="D88" s="1020" t="str">
        <f>"(Sum Line "&amp;A84&amp;" to Line "&amp;A87&amp;")"</f>
        <v>(Sum Line 8 to Line 11)</v>
      </c>
      <c r="E88" s="235">
        <f>SUM(E84:E87)</f>
        <v>31411903.069483999</v>
      </c>
      <c r="F88" s="235">
        <f>SUM(F84:F87)</f>
        <v>31411903.069483999</v>
      </c>
      <c r="G88" s="232"/>
      <c r="H88" s="232"/>
      <c r="I88" s="232"/>
      <c r="J88" s="232"/>
      <c r="K88" s="235">
        <f>SUM(K84:K87)</f>
        <v>6513856.2097050352</v>
      </c>
      <c r="L88" s="230"/>
      <c r="M88" s="230"/>
      <c r="N88" s="230"/>
      <c r="O88" s="310"/>
      <c r="P88" s="230"/>
      <c r="Q88" s="233"/>
    </row>
    <row r="89" spans="1:17">
      <c r="A89" s="307"/>
      <c r="B89" s="307"/>
      <c r="C89" s="245"/>
      <c r="D89" s="232"/>
      <c r="E89" s="232"/>
      <c r="F89" s="232"/>
      <c r="G89" s="232"/>
      <c r="H89" s="232"/>
      <c r="I89" s="232"/>
      <c r="J89" s="232"/>
      <c r="K89" s="232"/>
      <c r="L89" s="230"/>
      <c r="M89" s="230"/>
      <c r="N89" s="230"/>
      <c r="O89" s="310"/>
      <c r="P89" s="230"/>
      <c r="Q89" s="233"/>
    </row>
    <row r="90" spans="1:17" ht="15.75">
      <c r="A90" s="307" t="s">
        <v>49</v>
      </c>
      <c r="B90" s="307"/>
      <c r="C90" s="23" t="s">
        <v>1631</v>
      </c>
      <c r="D90" s="229"/>
      <c r="E90" s="229"/>
      <c r="F90" s="232"/>
      <c r="G90" s="232"/>
      <c r="H90" s="232"/>
      <c r="I90" s="232"/>
      <c r="J90" s="232"/>
      <c r="K90" s="232"/>
      <c r="L90" s="230"/>
      <c r="M90" s="230"/>
      <c r="N90" s="230"/>
      <c r="O90" s="310"/>
      <c r="P90" s="230"/>
      <c r="Q90" s="233"/>
    </row>
    <row r="91" spans="1:17" ht="15.75">
      <c r="A91" s="307"/>
      <c r="B91" s="307"/>
      <c r="C91" s="245" t="s">
        <v>479</v>
      </c>
      <c r="D91" s="580"/>
      <c r="E91" s="580"/>
      <c r="F91" s="229"/>
      <c r="G91" s="232"/>
      <c r="H91" s="232"/>
      <c r="I91" s="229"/>
      <c r="J91" s="232"/>
      <c r="K91" s="229"/>
      <c r="L91" s="230"/>
      <c r="M91" s="236"/>
      <c r="N91" s="230"/>
      <c r="O91" s="1406"/>
      <c r="P91" s="293"/>
      <c r="Q91" s="233"/>
    </row>
    <row r="92" spans="1:17">
      <c r="A92" s="307">
        <f>A88+1</f>
        <v>13</v>
      </c>
      <c r="B92" s="307"/>
      <c r="C92" s="245" t="s">
        <v>480</v>
      </c>
      <c r="D92" s="1020" t="str">
        <f>"(Wksht P-2,   Line "&amp;'P-2 (Exp. &amp; Rev. Credits)'!A30&amp;")"</f>
        <v>(Wksht P-2,   Line 9)</v>
      </c>
      <c r="E92" s="235">
        <f>'P-2 (Exp. &amp; Rev. Credits)'!F30</f>
        <v>12621896.865322283</v>
      </c>
      <c r="F92" s="235">
        <f>E92</f>
        <v>12621896.865322283</v>
      </c>
      <c r="G92" s="232"/>
      <c r="H92" s="232" t="s">
        <v>1425</v>
      </c>
      <c r="I92" s="313">
        <f>+I85</f>
        <v>1.898472513614197E-2</v>
      </c>
      <c r="J92" s="232"/>
      <c r="K92" s="235">
        <f>+I92*F92</f>
        <v>239623.24268487547</v>
      </c>
      <c r="L92" s="230"/>
      <c r="M92" s="236"/>
      <c r="N92" s="230"/>
      <c r="O92" s="1406"/>
      <c r="P92" s="293"/>
      <c r="Q92" s="233"/>
    </row>
    <row r="93" spans="1:17">
      <c r="A93" s="307">
        <f>A92+1</f>
        <v>14</v>
      </c>
      <c r="B93" s="307"/>
      <c r="C93" s="245" t="s">
        <v>481</v>
      </c>
      <c r="D93" s="1020" t="str">
        <f>"(Wksht P-2,   Line "&amp;'P-2 (Exp. &amp; Rev. Credits)'!A31&amp;")"</f>
        <v>(Wksht P-2,   Line 10)</v>
      </c>
      <c r="E93" s="501">
        <f>'P-2 (Exp. &amp; Rev. Credits)'!F31</f>
        <v>0</v>
      </c>
      <c r="F93" s="501">
        <f>E93</f>
        <v>0</v>
      </c>
      <c r="G93" s="232"/>
      <c r="H93" s="232" t="str">
        <f>+H92</f>
        <v>W/S</v>
      </c>
      <c r="I93" s="313">
        <f>+I92</f>
        <v>1.898472513614197E-2</v>
      </c>
      <c r="J93" s="232"/>
      <c r="K93" s="276">
        <f>+I93*F93</f>
        <v>0</v>
      </c>
      <c r="L93" s="230"/>
      <c r="M93" s="236"/>
      <c r="N93" s="230"/>
      <c r="O93" s="1406"/>
      <c r="P93" s="293"/>
      <c r="Q93" s="233"/>
    </row>
    <row r="94" spans="1:17">
      <c r="A94" s="307"/>
      <c r="B94" s="307"/>
      <c r="C94" s="245" t="s">
        <v>482</v>
      </c>
      <c r="D94" s="232" t="s">
        <v>49</v>
      </c>
      <c r="E94" s="276"/>
      <c r="F94" s="276"/>
      <c r="G94" s="232"/>
      <c r="H94" s="232"/>
      <c r="I94" s="229"/>
      <c r="J94" s="232"/>
      <c r="K94" s="276"/>
      <c r="L94" s="230"/>
      <c r="M94" s="236"/>
      <c r="N94" s="230"/>
      <c r="O94" s="1406"/>
      <c r="P94" s="293"/>
      <c r="Q94" s="233"/>
    </row>
    <row r="95" spans="1:17">
      <c r="A95" s="307">
        <f>A93+1</f>
        <v>15</v>
      </c>
      <c r="B95" s="307"/>
      <c r="C95" s="245" t="s">
        <v>1056</v>
      </c>
      <c r="D95" s="1020" t="str">
        <f>"(Wksht P-2,   Line "&amp;'P-2 (Exp. &amp; Rev. Credits)'!A33&amp;")"</f>
        <v>(Wksht P-2,   Line 11)</v>
      </c>
      <c r="E95" s="276">
        <f>'P-2 (Exp. &amp; Rev. Credits)'!F33</f>
        <v>78002444.845981121</v>
      </c>
      <c r="F95" s="276">
        <f>E95</f>
        <v>78002444.845981121</v>
      </c>
      <c r="G95" s="312"/>
      <c r="H95" s="232" t="s">
        <v>476</v>
      </c>
      <c r="I95" s="313">
        <f>I147</f>
        <v>4.3009977362261462E-2</v>
      </c>
      <c r="J95" s="232"/>
      <c r="K95" s="276">
        <f>+I95*F95</f>
        <v>3354883.3870266965</v>
      </c>
      <c r="L95" s="230"/>
      <c r="M95" s="236"/>
      <c r="N95" s="230"/>
      <c r="O95" s="1406"/>
      <c r="P95" s="293"/>
      <c r="Q95" s="233"/>
    </row>
    <row r="96" spans="1:17">
      <c r="A96" s="307">
        <f>A95+1</f>
        <v>16</v>
      </c>
      <c r="B96" s="307"/>
      <c r="C96" s="245" t="s">
        <v>483</v>
      </c>
      <c r="D96" s="1020" t="str">
        <f>"(Wksht P-2,   Line "&amp;'P-2 (Exp. &amp; Rev. Credits)'!A34&amp;")"</f>
        <v>(Wksht P-2,   Line 12)</v>
      </c>
      <c r="E96" s="276">
        <f>'P-2 (Exp. &amp; Rev. Credits)'!F34</f>
        <v>57915338.065224238</v>
      </c>
      <c r="F96" s="276">
        <f>E96</f>
        <v>57915338.065224238</v>
      </c>
      <c r="G96" s="232"/>
      <c r="H96" s="232" t="s">
        <v>457</v>
      </c>
      <c r="I96" s="314"/>
      <c r="J96" s="232"/>
      <c r="K96" s="276">
        <v>0</v>
      </c>
      <c r="L96" s="230"/>
      <c r="M96" s="236"/>
      <c r="N96" s="230"/>
      <c r="O96" s="1406"/>
      <c r="P96" s="293"/>
      <c r="Q96" s="233"/>
    </row>
    <row r="97" spans="1:18" ht="15.75" thickBot="1">
      <c r="A97" s="307">
        <f>A96+1</f>
        <v>17</v>
      </c>
      <c r="B97" s="307"/>
      <c r="C97" s="245" t="s">
        <v>1127</v>
      </c>
      <c r="D97" s="1020" t="str">
        <f>"(Wksht P-2,   Line "&amp;'P-2 (Exp. &amp; Rev. Credits)'!A35&amp;")"</f>
        <v>(Wksht P-2,   Line 13)</v>
      </c>
      <c r="E97" s="243">
        <f>'P-2 (Exp. &amp; Rev. Credits)'!F35</f>
        <v>0</v>
      </c>
      <c r="F97" s="243">
        <f>E97</f>
        <v>0</v>
      </c>
      <c r="G97" s="232"/>
      <c r="H97" s="232" t="s">
        <v>476</v>
      </c>
      <c r="I97" s="313">
        <f>I147</f>
        <v>4.3009977362261462E-2</v>
      </c>
      <c r="J97" s="232"/>
      <c r="K97" s="243">
        <f>+I97*F97</f>
        <v>0</v>
      </c>
      <c r="L97" s="230"/>
      <c r="M97" s="236"/>
      <c r="N97" s="230"/>
      <c r="O97" s="1406"/>
      <c r="P97" s="293"/>
      <c r="Q97" s="233"/>
    </row>
    <row r="98" spans="1:18">
      <c r="A98" s="307">
        <f>A97+1</f>
        <v>18</v>
      </c>
      <c r="B98" s="307"/>
      <c r="C98" s="245" t="s">
        <v>996</v>
      </c>
      <c r="D98" s="1020" t="str">
        <f>"(Sum Line "&amp;A92&amp;" to Line "&amp;A97&amp;")"</f>
        <v>(Sum Line 13 to Line 17)</v>
      </c>
      <c r="E98" s="235">
        <f>SUM(E92:E97)</f>
        <v>148539679.77652764</v>
      </c>
      <c r="F98" s="235">
        <f>SUM(F92:F97)</f>
        <v>148539679.77652764</v>
      </c>
      <c r="G98" s="232"/>
      <c r="H98" s="232"/>
      <c r="I98" s="313"/>
      <c r="J98" s="232"/>
      <c r="K98" s="235">
        <f>SUM(K92:K97)</f>
        <v>3594506.6297115721</v>
      </c>
      <c r="L98" s="230"/>
      <c r="M98" s="230"/>
      <c r="N98" s="230"/>
      <c r="O98" s="1407"/>
      <c r="P98" s="230"/>
      <c r="Q98" s="233"/>
    </row>
    <row r="99" spans="1:18">
      <c r="A99" s="307"/>
      <c r="B99" s="307"/>
      <c r="C99" s="245"/>
      <c r="D99" s="232"/>
      <c r="E99" s="232"/>
      <c r="F99" s="232"/>
      <c r="G99" s="232"/>
      <c r="H99" s="232"/>
      <c r="I99" s="313"/>
      <c r="J99" s="232"/>
      <c r="K99" s="232"/>
      <c r="L99" s="230"/>
      <c r="M99" s="230"/>
      <c r="N99" s="230"/>
      <c r="O99" s="1407"/>
      <c r="P99" s="230"/>
      <c r="Q99" s="233"/>
    </row>
    <row r="100" spans="1:18" ht="15.75">
      <c r="A100" s="307" t="s">
        <v>49</v>
      </c>
      <c r="B100" s="307"/>
      <c r="C100" s="23" t="s">
        <v>484</v>
      </c>
      <c r="D100" s="232"/>
      <c r="E100" s="232"/>
      <c r="F100" s="232"/>
      <c r="G100" s="232"/>
      <c r="H100" s="229"/>
      <c r="I100" s="589"/>
      <c r="J100" s="232"/>
      <c r="K100" s="229"/>
      <c r="L100" s="230"/>
      <c r="N100" s="230"/>
      <c r="O100" s="310"/>
      <c r="P100" s="293"/>
      <c r="Q100" s="230"/>
    </row>
    <row r="101" spans="1:18">
      <c r="A101" s="307">
        <f>A98+1</f>
        <v>19</v>
      </c>
      <c r="B101" s="307"/>
      <c r="C101" s="541" t="s">
        <v>332</v>
      </c>
      <c r="D101" s="245" t="s">
        <v>133</v>
      </c>
      <c r="E101" s="232"/>
      <c r="F101" s="316">
        <f>IF(E257&gt;0,1-(((1-E258)*(1-E257))/(1-E258*E257*E259)),0)</f>
        <v>0.38816540430430824</v>
      </c>
      <c r="G101" s="232"/>
      <c r="H101" s="229"/>
      <c r="I101" s="589"/>
      <c r="J101" s="232"/>
      <c r="K101" s="229"/>
      <c r="L101" s="230"/>
      <c r="N101" s="230"/>
      <c r="O101" s="310"/>
      <c r="P101" s="293"/>
      <c r="Q101" s="230"/>
    </row>
    <row r="102" spans="1:18">
      <c r="A102" s="307">
        <f>A101+1</f>
        <v>20</v>
      </c>
      <c r="B102" s="307"/>
      <c r="C102" s="542" t="s">
        <v>333</v>
      </c>
      <c r="D102" s="245" t="s">
        <v>134</v>
      </c>
      <c r="E102" s="232"/>
      <c r="F102" s="316">
        <f>IF(E257&gt;0,(F101/(1-F101))*(1-K207/K210),0)</f>
        <v>0.38239946345762427</v>
      </c>
      <c r="G102" s="232"/>
      <c r="H102" s="229"/>
      <c r="I102" s="589"/>
      <c r="J102" s="232"/>
      <c r="K102" s="229"/>
      <c r="L102" s="230"/>
      <c r="N102" s="230"/>
      <c r="O102" s="310"/>
      <c r="P102" s="293"/>
      <c r="Q102" s="230"/>
    </row>
    <row r="103" spans="1:18" ht="15.75">
      <c r="A103" s="307">
        <f>A102+1</f>
        <v>21</v>
      </c>
      <c r="B103" s="307"/>
      <c r="C103" s="583" t="s">
        <v>334</v>
      </c>
      <c r="D103" s="584"/>
      <c r="E103" s="584"/>
      <c r="F103" s="318">
        <f>IF(F101&gt;0,1/(1-F101),0)</f>
        <v>1.6344286626403357</v>
      </c>
      <c r="G103" s="232"/>
      <c r="H103" s="229"/>
      <c r="I103" s="589"/>
      <c r="J103" s="232"/>
      <c r="K103" s="229"/>
      <c r="L103" s="230"/>
      <c r="M103" s="425"/>
      <c r="N103" s="381"/>
      <c r="O103" s="310"/>
      <c r="P103" s="1107"/>
      <c r="Q103" s="230"/>
    </row>
    <row r="104" spans="1:18">
      <c r="A104" s="307">
        <f>A103+1</f>
        <v>22</v>
      </c>
      <c r="B104" s="307"/>
      <c r="C104" s="245" t="s">
        <v>1710</v>
      </c>
      <c r="D104" s="1420" t="str">
        <f>"(Act. Gross Rev Req, p.2, line "&amp;'Actual Gross Rev Req'!B112&amp;")"</f>
        <v>(Act. Gross Rev Req, p.2, line 22)</v>
      </c>
      <c r="E104" s="235">
        <f>+'Actual Gross Rev Req'!F112</f>
        <v>-1769868</v>
      </c>
      <c r="F104" s="235">
        <f>E104</f>
        <v>-1769868</v>
      </c>
      <c r="G104" s="232"/>
      <c r="H104" s="229"/>
      <c r="I104" s="589"/>
      <c r="J104" s="232"/>
      <c r="K104" s="229"/>
      <c r="L104" s="230"/>
      <c r="M104" s="425"/>
      <c r="N104" s="381"/>
      <c r="O104" s="310"/>
      <c r="P104" s="1107"/>
      <c r="Q104" s="230"/>
    </row>
    <row r="105" spans="1:18">
      <c r="A105" s="307"/>
      <c r="B105" s="307"/>
      <c r="C105" s="245"/>
      <c r="D105" s="232"/>
      <c r="E105" s="235"/>
      <c r="F105" s="232"/>
      <c r="G105" s="232"/>
      <c r="H105" s="229"/>
      <c r="I105" s="589"/>
      <c r="J105" s="232"/>
      <c r="K105" s="229"/>
      <c r="L105" s="230"/>
      <c r="M105" s="425"/>
      <c r="N105" s="381"/>
      <c r="O105" s="310"/>
      <c r="P105" s="1107"/>
      <c r="Q105" s="230"/>
    </row>
    <row r="106" spans="1:18">
      <c r="A106" s="307">
        <f>A104+1</f>
        <v>23</v>
      </c>
      <c r="B106" s="307"/>
      <c r="C106" s="583" t="s">
        <v>1328</v>
      </c>
      <c r="D106" s="1020" t="str">
        <f>"(Line "&amp;A102&amp;"*(Line "&amp;A51&amp;" of Page 1)*( Line "&amp;A210&amp;" of Page 4)+Line "&amp;A218&amp;" of page 4 )"</f>
        <v>(Line 20*(Line 25 of Page 1)*( Line 21 of Page 4)+Line 26 of page 4 )</v>
      </c>
      <c r="E106" s="764"/>
      <c r="F106" s="235"/>
      <c r="G106" s="232"/>
      <c r="H106" s="232" t="s">
        <v>457</v>
      </c>
      <c r="I106" s="313"/>
      <c r="J106" s="232"/>
      <c r="K106" s="70">
        <f>(F102*(K210*K51))+F218</f>
        <v>5362126.8420566227</v>
      </c>
      <c r="L106" s="230"/>
      <c r="M106" s="284"/>
      <c r="N106" s="381"/>
      <c r="O106" s="113"/>
      <c r="P106" s="381"/>
      <c r="Q106" s="233"/>
    </row>
    <row r="107" spans="1:18" ht="15.75" thickBot="1">
      <c r="A107" s="307">
        <f>A106+1</f>
        <v>24</v>
      </c>
      <c r="B107" s="307"/>
      <c r="C107" s="229" t="s">
        <v>1329</v>
      </c>
      <c r="D107" s="1020" t="str">
        <f>"( Line "&amp;A103&amp;" X Line "&amp;A104&amp;")"</f>
        <v>( Line 21 X Line 22)</v>
      </c>
      <c r="E107" s="764"/>
      <c r="F107" s="243">
        <f>F103*F104</f>
        <v>-2892722.9882899257</v>
      </c>
      <c r="G107" s="232"/>
      <c r="H107" s="232" t="s">
        <v>471</v>
      </c>
      <c r="I107" s="314">
        <f>I163</f>
        <v>4.0108085406211039E-2</v>
      </c>
      <c r="J107" s="232"/>
      <c r="K107" s="243">
        <f>F107*I107</f>
        <v>-116021.58067084236</v>
      </c>
      <c r="L107" s="230"/>
      <c r="M107" s="310"/>
      <c r="N107" s="381"/>
      <c r="O107" s="310"/>
      <c r="P107" s="381"/>
      <c r="Q107" s="233"/>
    </row>
    <row r="108" spans="1:18">
      <c r="A108" s="307">
        <f>A107+1</f>
        <v>25</v>
      </c>
      <c r="B108" s="307"/>
      <c r="C108" s="1851" t="s">
        <v>811</v>
      </c>
      <c r="D108" s="1020" t="str">
        <f>"(Sum Line "&amp;A106&amp;" &amp; "&amp;A107&amp;")"</f>
        <v>(Sum Line 23 &amp; 24)</v>
      </c>
      <c r="E108" s="229"/>
      <c r="F108" s="321">
        <f>+F106+F107</f>
        <v>-2892722.9882899257</v>
      </c>
      <c r="G108" s="232"/>
      <c r="H108" s="232" t="s">
        <v>49</v>
      </c>
      <c r="I108" s="313" t="s">
        <v>49</v>
      </c>
      <c r="J108" s="232"/>
      <c r="K108" s="321">
        <f>+K106+K107</f>
        <v>5246105.2613857808</v>
      </c>
      <c r="L108" s="230"/>
      <c r="M108" s="1105"/>
      <c r="N108" s="381"/>
      <c r="O108" s="1105"/>
      <c r="P108" s="381"/>
      <c r="Q108" s="233"/>
    </row>
    <row r="109" spans="1:18">
      <c r="A109" s="307" t="s">
        <v>49</v>
      </c>
      <c r="B109" s="307"/>
      <c r="C109" s="229"/>
      <c r="D109" s="1688"/>
      <c r="E109" s="1688"/>
      <c r="F109" s="232"/>
      <c r="G109" s="232"/>
      <c r="H109" s="232"/>
      <c r="I109" s="313"/>
      <c r="J109" s="232"/>
      <c r="K109" s="232"/>
      <c r="L109" s="230"/>
      <c r="M109" s="381"/>
      <c r="N109" s="381"/>
      <c r="O109" s="339"/>
      <c r="P109" s="381"/>
      <c r="Q109" s="233"/>
    </row>
    <row r="110" spans="1:18" ht="15.75">
      <c r="A110" s="307">
        <f>A108+1</f>
        <v>26</v>
      </c>
      <c r="B110" s="307"/>
      <c r="C110" s="23" t="s">
        <v>485</v>
      </c>
      <c r="D110" s="1020" t="str">
        <f>"((Line "&amp;A51&amp;" of Page 1)*( Line "&amp;A210&amp;" of Page 4 ) + (Line "&amp;A217&amp;" - Line "&amp;A218&amp;") of page 4 )"</f>
        <v>((Line 25 of Page 1)*( Line 21 of Page 4 ) + (Line 25 - Line 26) of page 4 )</v>
      </c>
      <c r="E110" s="299"/>
      <c r="F110" s="235"/>
      <c r="G110" s="232"/>
      <c r="H110" s="232" t="s">
        <v>457</v>
      </c>
      <c r="I110" s="589"/>
      <c r="J110" s="232"/>
      <c r="K110" s="70">
        <f>+$K210*K51+(I217-F218)</f>
        <v>14022317.901737403</v>
      </c>
      <c r="L110" s="230"/>
      <c r="M110" s="113"/>
      <c r="N110" s="381"/>
      <c r="O110" s="113"/>
      <c r="P110" s="1106"/>
      <c r="Q110" s="237"/>
      <c r="R110" s="230"/>
    </row>
    <row r="111" spans="1:18">
      <c r="A111" s="307"/>
      <c r="B111" s="307"/>
      <c r="C111" s="1851"/>
      <c r="D111" s="229"/>
      <c r="E111" s="229"/>
      <c r="F111" s="232"/>
      <c r="G111" s="232"/>
      <c r="H111" s="232"/>
      <c r="I111" s="589"/>
      <c r="J111" s="232"/>
      <c r="K111" s="507"/>
      <c r="L111" s="230"/>
      <c r="M111" s="381"/>
      <c r="N111" s="381"/>
      <c r="O111" s="339"/>
      <c r="P111" s="1107"/>
      <c r="Q111" s="230"/>
      <c r="R111" s="1064"/>
    </row>
    <row r="112" spans="1:18" ht="15.75">
      <c r="A112" s="59">
        <f>A110+1</f>
        <v>27</v>
      </c>
      <c r="B112" s="59"/>
      <c r="C112" s="23" t="s">
        <v>341</v>
      </c>
      <c r="D112" s="1020" t="str">
        <f>"(Sum line "&amp;A81&amp;", "&amp;A88&amp;", "&amp;A98&amp;", "&amp;A108&amp;" &amp; "&amp;A110&amp;" )"</f>
        <v>(Sum line 7, 12, 18, 25 &amp; 26 )</v>
      </c>
      <c r="E112" s="15"/>
      <c r="F112" s="113"/>
      <c r="G112" s="829"/>
      <c r="H112" s="829"/>
      <c r="I112" s="829"/>
      <c r="J112" s="829"/>
      <c r="K112" s="284">
        <f>K81+K88+K98+K108+K110</f>
        <v>41616722.443190381</v>
      </c>
      <c r="L112" s="230"/>
      <c r="M112" s="246"/>
      <c r="N112" s="381"/>
      <c r="O112" s="284"/>
      <c r="P112" s="1108"/>
      <c r="Q112" s="230"/>
    </row>
    <row r="113" spans="1:17">
      <c r="A113" s="59">
        <f>A112+1</f>
        <v>28</v>
      </c>
      <c r="B113" s="59"/>
      <c r="C113" s="24" t="s">
        <v>342</v>
      </c>
      <c r="D113" s="1020" t="str">
        <f>"( Line "&amp;A239&amp;"  of page 4 )"</f>
        <v>( Line 40  of page 4 )</v>
      </c>
      <c r="E113" s="15"/>
      <c r="F113" s="113"/>
      <c r="G113" s="829"/>
      <c r="H113" s="829"/>
      <c r="I113" s="829"/>
      <c r="J113" s="829"/>
      <c r="K113" s="836">
        <f>K229</f>
        <v>0</v>
      </c>
      <c r="L113" s="230"/>
      <c r="M113" s="1109"/>
      <c r="N113" s="381"/>
      <c r="O113" s="828"/>
      <c r="P113" s="1108"/>
      <c r="Q113" s="230"/>
    </row>
    <row r="114" spans="1:17" ht="15.75">
      <c r="A114" s="59"/>
      <c r="B114" s="59"/>
      <c r="C114" s="23"/>
      <c r="D114" s="1020"/>
      <c r="E114" s="15"/>
      <c r="F114" s="113"/>
      <c r="G114" s="829"/>
      <c r="H114" s="829"/>
      <c r="I114" s="829"/>
      <c r="J114" s="829"/>
      <c r="K114" s="828"/>
      <c r="L114" s="230"/>
      <c r="M114" s="1109"/>
      <c r="N114" s="381"/>
      <c r="O114" s="828"/>
      <c r="P114" s="1107"/>
      <c r="Q114" s="230"/>
    </row>
    <row r="115" spans="1:17" ht="16.5" thickBot="1">
      <c r="A115" s="59">
        <f>A113+1</f>
        <v>29</v>
      </c>
      <c r="B115" s="59"/>
      <c r="C115" s="23" t="s">
        <v>343</v>
      </c>
      <c r="D115" s="1020" t="str">
        <f>"( Line "&amp;A112&amp;" less Line "&amp;A113&amp;")"</f>
        <v>( Line 27 less Line 28)</v>
      </c>
      <c r="E115" s="15"/>
      <c r="F115" s="113"/>
      <c r="G115" s="15"/>
      <c r="H115" s="15"/>
      <c r="I115" s="15"/>
      <c r="J115" s="15"/>
      <c r="K115" s="1021">
        <f>K112-K113</f>
        <v>41616722.443190381</v>
      </c>
      <c r="L115" s="230"/>
      <c r="M115" s="236"/>
      <c r="N115" s="230"/>
      <c r="O115" s="113"/>
      <c r="P115" s="293"/>
      <c r="Q115" s="230"/>
    </row>
    <row r="116" spans="1:17" ht="15.75" thickTop="1">
      <c r="A116" s="292"/>
      <c r="B116" s="292"/>
      <c r="C116" s="320"/>
      <c r="D116" s="230"/>
      <c r="E116" s="230"/>
      <c r="F116" s="579"/>
      <c r="G116" s="232"/>
      <c r="H116" s="232"/>
      <c r="I116" s="314"/>
      <c r="J116" s="232"/>
      <c r="K116" s="579"/>
      <c r="L116" s="230"/>
      <c r="M116" s="236"/>
      <c r="N116" s="230"/>
      <c r="O116" s="310"/>
      <c r="P116" s="293"/>
      <c r="Q116" s="230"/>
    </row>
    <row r="117" spans="1:17">
      <c r="A117" s="292"/>
      <c r="B117" s="292"/>
      <c r="C117" s="233"/>
      <c r="F117" s="381"/>
      <c r="G117" s="230"/>
      <c r="H117" s="230"/>
      <c r="I117" s="315"/>
      <c r="J117" s="230"/>
      <c r="K117" s="381"/>
      <c r="L117" s="230"/>
      <c r="M117" s="236"/>
      <c r="N117" s="230"/>
      <c r="P117" s="293"/>
      <c r="Q117" s="230"/>
    </row>
    <row r="118" spans="1:17" ht="15.75">
      <c r="A118" s="292"/>
      <c r="C118" s="233"/>
      <c r="D118" s="2153" t="str">
        <f>+D1</f>
        <v xml:space="preserve">     Rate Formula Template</v>
      </c>
      <c r="E118" s="2153"/>
      <c r="F118" s="2153"/>
      <c r="G118" s="2153"/>
      <c r="J118" s="2193" t="s">
        <v>202</v>
      </c>
      <c r="K118" s="2193"/>
      <c r="L118" s="230"/>
      <c r="N118" s="230"/>
      <c r="P118" s="230"/>
      <c r="Q118" s="233"/>
    </row>
    <row r="119" spans="1:17" ht="15.75">
      <c r="A119" s="292"/>
      <c r="C119" s="233"/>
      <c r="D119" s="2153" t="str">
        <f>+D2</f>
        <v xml:space="preserve"> Utilizing FERC Form 1 Data</v>
      </c>
      <c r="E119" s="2153"/>
      <c r="F119" s="2154"/>
      <c r="G119" s="2154"/>
      <c r="K119" s="1099"/>
      <c r="L119" s="230"/>
      <c r="N119" s="230"/>
      <c r="P119" s="230"/>
      <c r="Q119" s="233"/>
    </row>
    <row r="120" spans="1:17">
      <c r="A120" s="292"/>
      <c r="C120" s="233"/>
      <c r="D120" s="2153" t="str">
        <f>+D3</f>
        <v>Projected Gross Revenue Requirements</v>
      </c>
      <c r="E120" s="2153"/>
      <c r="F120" s="2154"/>
      <c r="G120" s="2154"/>
      <c r="L120" s="230"/>
      <c r="M120" s="302"/>
      <c r="N120" s="230"/>
      <c r="P120" s="230"/>
      <c r="Q120" s="233"/>
    </row>
    <row r="121" spans="1:17">
      <c r="A121" s="292"/>
      <c r="D121" s="2153" t="str">
        <f>+D4</f>
        <v>For the 12 months ended - December 31, 2014</v>
      </c>
      <c r="E121" s="2153"/>
      <c r="F121" s="2154"/>
      <c r="G121" s="2154"/>
      <c r="L121" s="230"/>
      <c r="N121" s="230"/>
      <c r="P121" s="230"/>
      <c r="Q121" s="233"/>
    </row>
    <row r="122" spans="1:17">
      <c r="A122" s="292"/>
      <c r="F122" s="304"/>
      <c r="K122" s="304" t="str">
        <f>K$5</f>
        <v>Projected</v>
      </c>
      <c r="L122" s="230"/>
      <c r="M122" s="230"/>
      <c r="N122" s="230"/>
      <c r="P122" s="230"/>
      <c r="Q122" s="233"/>
    </row>
    <row r="123" spans="1:17">
      <c r="A123" s="292"/>
      <c r="D123" s="2155" t="str">
        <f>+D$6</f>
        <v>Kansas City Power &amp; Light Company</v>
      </c>
      <c r="E123" s="2155"/>
      <c r="F123" s="2156"/>
      <c r="G123" s="2156"/>
      <c r="K123" s="304" t="s">
        <v>1122</v>
      </c>
      <c r="L123" s="230"/>
      <c r="M123" s="230"/>
      <c r="N123" s="230"/>
      <c r="P123" s="230"/>
      <c r="Q123" s="233"/>
    </row>
    <row r="124" spans="1:17">
      <c r="A124" s="292"/>
      <c r="D124" s="2155" t="str">
        <f>D59</f>
        <v>(KCP&amp;L)</v>
      </c>
      <c r="E124" s="2155"/>
      <c r="F124" s="2156"/>
      <c r="G124" s="2156"/>
      <c r="H124" s="233"/>
      <c r="I124" s="233"/>
      <c r="J124" s="233"/>
      <c r="K124" s="233"/>
      <c r="L124" s="233"/>
      <c r="M124" s="233"/>
      <c r="N124" s="233"/>
      <c r="P124" s="233"/>
      <c r="Q124" s="233"/>
    </row>
    <row r="125" spans="1:17">
      <c r="A125" s="292"/>
      <c r="D125" s="290"/>
      <c r="E125" s="290"/>
      <c r="F125" s="291"/>
      <c r="G125" s="291"/>
      <c r="H125" s="233"/>
      <c r="I125" s="233"/>
      <c r="J125" s="233"/>
      <c r="K125" s="233"/>
      <c r="L125" s="233"/>
      <c r="M125" s="233"/>
      <c r="N125" s="233"/>
      <c r="P125" s="233"/>
      <c r="Q125" s="233"/>
    </row>
    <row r="126" spans="1:17" ht="15.75">
      <c r="A126" s="292"/>
      <c r="D126" s="2157" t="s">
        <v>473</v>
      </c>
      <c r="E126" s="2157"/>
      <c r="F126" s="2153"/>
      <c r="G126" s="2153"/>
      <c r="H126" s="382"/>
      <c r="I126" s="238"/>
      <c r="J126" s="238"/>
      <c r="K126" s="238"/>
      <c r="L126" s="230"/>
      <c r="M126" s="230"/>
      <c r="N126" s="233"/>
      <c r="P126" s="233"/>
      <c r="Q126" s="233"/>
    </row>
    <row r="127" spans="1:17">
      <c r="A127" s="307"/>
      <c r="B127" s="229"/>
      <c r="C127" s="1663" t="s">
        <v>916</v>
      </c>
      <c r="D127" s="1663" t="s">
        <v>917</v>
      </c>
      <c r="E127" s="1663" t="s">
        <v>924</v>
      </c>
      <c r="F127" s="1643" t="s">
        <v>925</v>
      </c>
      <c r="G127" s="1643" t="s">
        <v>926</v>
      </c>
      <c r="H127" s="22"/>
      <c r="I127" s="1664" t="s">
        <v>694</v>
      </c>
      <c r="J127" s="15"/>
      <c r="K127" s="1664" t="s">
        <v>695</v>
      </c>
      <c r="L127" s="230"/>
      <c r="M127" s="230"/>
      <c r="N127" s="233"/>
      <c r="P127" s="233"/>
      <c r="Q127" s="233"/>
    </row>
    <row r="128" spans="1:17" ht="15.75">
      <c r="A128" s="307"/>
      <c r="B128" s="229"/>
      <c r="C128" s="1381"/>
      <c r="D128" s="376"/>
      <c r="E128" s="229"/>
      <c r="F128" s="232"/>
      <c r="G128" s="232"/>
      <c r="H128" s="232"/>
      <c r="I128" s="307"/>
      <c r="J128" s="232"/>
      <c r="K128" s="229"/>
      <c r="L128" s="262"/>
      <c r="M128" s="14"/>
      <c r="N128" s="230"/>
      <c r="O128" s="575"/>
      <c r="P128" s="230"/>
      <c r="Q128" s="233"/>
    </row>
    <row r="129" spans="1:17" ht="15.75">
      <c r="A129" s="307" t="s">
        <v>50</v>
      </c>
      <c r="B129" s="229"/>
      <c r="C129" s="245"/>
      <c r="D129" s="73" t="s">
        <v>927</v>
      </c>
      <c r="E129" s="73"/>
      <c r="F129" s="229"/>
      <c r="G129" s="1665"/>
      <c r="H129" s="1337"/>
      <c r="I129" s="229"/>
      <c r="J129" s="1665"/>
      <c r="K129" s="1337"/>
      <c r="L129" s="230"/>
      <c r="M129" s="14"/>
      <c r="N129" s="230"/>
      <c r="O129" s="575"/>
      <c r="P129" s="230"/>
      <c r="Q129" s="233"/>
    </row>
    <row r="130" spans="1:17" ht="16.5" thickBot="1">
      <c r="A130" s="582" t="s">
        <v>51</v>
      </c>
      <c r="B130" s="1666"/>
      <c r="C130" s="1845"/>
      <c r="D130" s="161" t="s">
        <v>453</v>
      </c>
      <c r="E130" s="160" t="str">
        <f>E63</f>
        <v>KCP&amp;L</v>
      </c>
      <c r="F130" s="1668" t="str">
        <f>F63</f>
        <v>KCP&amp;L Total</v>
      </c>
      <c r="G130" s="390"/>
      <c r="H130" s="1668" t="s">
        <v>454</v>
      </c>
      <c r="I130" s="390"/>
      <c r="J130" s="390"/>
      <c r="K130" s="1668" t="s">
        <v>452</v>
      </c>
      <c r="L130" s="230"/>
      <c r="M130" s="14"/>
      <c r="N130" s="230"/>
      <c r="O130" s="575"/>
      <c r="P130" s="230"/>
      <c r="Q130" s="233"/>
    </row>
    <row r="131" spans="1:17" ht="15.75">
      <c r="A131" s="307"/>
      <c r="B131" s="229"/>
      <c r="C131" s="229"/>
      <c r="D131" s="372"/>
      <c r="E131" s="245"/>
      <c r="F131" s="1061"/>
      <c r="G131" s="245"/>
      <c r="H131" s="245"/>
      <c r="I131" s="245"/>
      <c r="J131" s="245"/>
      <c r="K131" s="1153" t="s">
        <v>870</v>
      </c>
      <c r="L131" s="233"/>
      <c r="M131" s="233"/>
      <c r="N131" s="230"/>
      <c r="O131" s="575"/>
      <c r="P131" s="230"/>
      <c r="Q131" s="233"/>
    </row>
    <row r="132" spans="1:17" ht="15.75">
      <c r="A132" s="307"/>
      <c r="B132" s="229"/>
      <c r="C132" s="57" t="s">
        <v>1163</v>
      </c>
      <c r="D132" s="372"/>
      <c r="E132" s="73"/>
      <c r="F132" s="1337"/>
      <c r="G132" s="372"/>
      <c r="H132" s="372"/>
      <c r="I132" s="372"/>
      <c r="J132" s="229"/>
      <c r="K132" s="229"/>
      <c r="L132" s="233"/>
      <c r="M132" s="233"/>
      <c r="N132" s="230"/>
      <c r="O132" s="575"/>
      <c r="P132" s="230"/>
      <c r="Q132" s="233"/>
    </row>
    <row r="133" spans="1:17">
      <c r="A133" s="307">
        <v>1</v>
      </c>
      <c r="B133" s="229"/>
      <c r="C133" s="376" t="s">
        <v>689</v>
      </c>
      <c r="D133" s="1020" t="str">
        <f>"(Page 3,  Line "&amp;A143&amp;" )"</f>
        <v>(Page 3,  Line 7 )</v>
      </c>
      <c r="E133" s="765">
        <f>E143</f>
        <v>411519710</v>
      </c>
      <c r="F133" s="579">
        <f>F143</f>
        <v>411519710</v>
      </c>
      <c r="G133" s="232"/>
      <c r="H133" s="232"/>
      <c r="I133" s="232"/>
      <c r="J133" s="232"/>
      <c r="K133" s="235">
        <f>F143</f>
        <v>411519710</v>
      </c>
      <c r="L133" s="233"/>
      <c r="M133" s="233"/>
      <c r="N133" s="230"/>
      <c r="O133" s="575"/>
      <c r="P133" s="230"/>
      <c r="Q133" s="233"/>
    </row>
    <row r="134" spans="1:17">
      <c r="A134" s="307">
        <v>2</v>
      </c>
      <c r="B134" s="229"/>
      <c r="C134" s="20" t="s">
        <v>1109</v>
      </c>
      <c r="D134" s="1420" t="str">
        <f>"(Act. Gross Rev Req, p.3, line "&amp;'Actual Gross Rev Req'!B144&amp;")"</f>
        <v>(Act. Gross Rev Req, p.3, line 2)</v>
      </c>
      <c r="E134" s="501">
        <f>+'Actual Gross Rev Req'!F144</f>
        <v>78885781.461538464</v>
      </c>
      <c r="F134" s="501">
        <f>E134</f>
        <v>78885781.461538464</v>
      </c>
      <c r="G134" s="229"/>
      <c r="H134" s="229"/>
      <c r="I134" s="229"/>
      <c r="J134" s="229"/>
      <c r="K134" s="276">
        <f>F134</f>
        <v>78885781.461538464</v>
      </c>
      <c r="L134" s="233"/>
      <c r="M134" s="233"/>
      <c r="N134" s="230"/>
      <c r="O134" s="575"/>
      <c r="P134" s="230"/>
      <c r="Q134" s="233"/>
    </row>
    <row r="135" spans="1:17" ht="15.75" thickBot="1">
      <c r="A135" s="307">
        <v>3</v>
      </c>
      <c r="B135" s="229"/>
      <c r="C135" s="1852" t="s">
        <v>1110</v>
      </c>
      <c r="D135" s="1420" t="str">
        <f>"(Act. Gross Rev Req, p.3, line "&amp;'Actual Gross Rev Req'!B145&amp;")"</f>
        <v>(Act. Gross Rev Req, p.3, line 3)</v>
      </c>
      <c r="E135" s="502">
        <f>+'Actual Gross Rev Req'!F145</f>
        <v>2904272</v>
      </c>
      <c r="F135" s="502">
        <f>E135</f>
        <v>2904272</v>
      </c>
      <c r="G135" s="339"/>
      <c r="H135" s="232"/>
      <c r="I135" s="385"/>
      <c r="J135" s="232"/>
      <c r="K135" s="243">
        <f>F135</f>
        <v>2904272</v>
      </c>
      <c r="L135" s="233"/>
      <c r="M135" s="233"/>
      <c r="N135" s="230"/>
      <c r="O135" s="575"/>
      <c r="P135" s="230"/>
      <c r="Q135" s="233"/>
    </row>
    <row r="136" spans="1:17">
      <c r="A136" s="307">
        <v>4</v>
      </c>
      <c r="B136" s="229"/>
      <c r="C136" s="376" t="s">
        <v>87</v>
      </c>
      <c r="D136" s="1020" t="str">
        <f>"( Line "&amp;A133&amp;" less  Line "&amp;A134&amp;" &amp; "&amp;A135&amp;")"</f>
        <v>( Line 1 less  Line 2 &amp; 3)</v>
      </c>
      <c r="E136" s="765">
        <f>E133-E134-E135</f>
        <v>329729656.53846157</v>
      </c>
      <c r="F136" s="765">
        <f>F133-F134-F135</f>
        <v>329729656.53846157</v>
      </c>
      <c r="G136" s="339"/>
      <c r="H136" s="232"/>
      <c r="I136" s="385"/>
      <c r="J136" s="232"/>
      <c r="K136" s="235">
        <f>K133-K134-K135</f>
        <v>329729656.53846157</v>
      </c>
      <c r="L136" s="233"/>
      <c r="M136" s="233"/>
      <c r="N136" s="230"/>
      <c r="O136" s="575"/>
      <c r="P136" s="230"/>
      <c r="Q136" s="233"/>
    </row>
    <row r="137" spans="1:17">
      <c r="A137" s="307"/>
      <c r="B137" s="229"/>
      <c r="C137" s="229"/>
      <c r="D137" s="372"/>
      <c r="E137" s="372"/>
      <c r="F137" s="232"/>
      <c r="G137" s="339"/>
      <c r="H137" s="232"/>
      <c r="I137" s="385"/>
      <c r="J137" s="232"/>
      <c r="K137" s="229"/>
      <c r="L137" s="233"/>
      <c r="M137" s="233"/>
      <c r="N137" s="230"/>
      <c r="O137" s="575"/>
      <c r="P137" s="230"/>
      <c r="Q137" s="233"/>
    </row>
    <row r="138" spans="1:17">
      <c r="A138" s="307">
        <v>5</v>
      </c>
      <c r="B138" s="229"/>
      <c r="C138" s="376" t="s">
        <v>688</v>
      </c>
      <c r="D138" s="386" t="s">
        <v>247</v>
      </c>
      <c r="E138" s="386"/>
      <c r="F138" s="387"/>
      <c r="G138" s="388"/>
      <c r="H138" s="232" t="s">
        <v>486</v>
      </c>
      <c r="I138" s="389">
        <f>IF(K133&gt;0,K136/K133,0)</f>
        <v>0.80124875802051276</v>
      </c>
      <c r="J138" s="229"/>
      <c r="K138" s="229"/>
      <c r="L138" s="233"/>
      <c r="M138" s="233"/>
      <c r="N138" s="230"/>
      <c r="O138" s="575"/>
      <c r="P138" s="230"/>
      <c r="Q138" s="233"/>
    </row>
    <row r="139" spans="1:17">
      <c r="A139" s="307"/>
      <c r="B139" s="229"/>
      <c r="C139" s="376"/>
      <c r="D139" s="372"/>
      <c r="E139" s="372"/>
      <c r="F139" s="372"/>
      <c r="G139" s="372"/>
      <c r="H139" s="372"/>
      <c r="I139" s="372"/>
      <c r="J139" s="372"/>
      <c r="K139" s="314"/>
      <c r="N139" s="230"/>
      <c r="P139" s="230"/>
      <c r="Q139" s="233"/>
    </row>
    <row r="140" spans="1:17" ht="15.75">
      <c r="A140" s="307"/>
      <c r="B140" s="229"/>
      <c r="C140" s="950" t="s">
        <v>1022</v>
      </c>
      <c r="D140" s="232"/>
      <c r="E140" s="245"/>
      <c r="F140" s="1061"/>
      <c r="G140" s="245"/>
      <c r="H140" s="245"/>
      <c r="I140" s="245"/>
      <c r="J140" s="245"/>
      <c r="K140" s="245"/>
      <c r="L140" s="233"/>
      <c r="M140" s="233"/>
      <c r="N140" s="230"/>
      <c r="O140" s="575"/>
      <c r="P140" s="230"/>
      <c r="Q140" s="233"/>
    </row>
    <row r="141" spans="1:17" ht="15.75">
      <c r="A141" s="307"/>
      <c r="B141" s="229"/>
      <c r="C141" s="245" t="s">
        <v>258</v>
      </c>
      <c r="D141" s="245" t="s">
        <v>1723</v>
      </c>
      <c r="E141" s="584"/>
      <c r="F141" s="232"/>
      <c r="G141" s="232"/>
      <c r="H141" s="232"/>
      <c r="I141" s="232"/>
      <c r="J141" s="232"/>
      <c r="K141" s="232"/>
      <c r="L141" s="233"/>
      <c r="M141" s="233"/>
      <c r="N141" s="230"/>
      <c r="O141" s="575"/>
      <c r="P141" s="230"/>
      <c r="Q141" s="233"/>
    </row>
    <row r="142" spans="1:17">
      <c r="A142" s="307">
        <f>A138+1</f>
        <v>6</v>
      </c>
      <c r="B142" s="229"/>
      <c r="C142" s="245" t="s">
        <v>456</v>
      </c>
      <c r="D142" s="1420" t="str">
        <f>"(Act. Gross Rev Req, p.3, line "&amp;'Actual Gross Rev Req'!B151&amp;")"</f>
        <v>(Act. Gross Rev Req, p.3, line 6)</v>
      </c>
      <c r="E142" s="260">
        <f>+'Actual Gross Rev Req'!F151</f>
        <v>5107508887</v>
      </c>
      <c r="F142" s="235">
        <f>E142</f>
        <v>5107508887</v>
      </c>
      <c r="G142" s="232"/>
      <c r="H142" s="232" t="s">
        <v>457</v>
      </c>
      <c r="I142" s="244"/>
      <c r="J142" s="232"/>
      <c r="K142" s="245"/>
      <c r="L142" s="233"/>
      <c r="M142" s="233"/>
      <c r="N142" s="230"/>
      <c r="O142" s="575"/>
      <c r="P142" s="230"/>
      <c r="Q142" s="233"/>
    </row>
    <row r="143" spans="1:17">
      <c r="A143" s="307">
        <f>A142+1</f>
        <v>7</v>
      </c>
      <c r="B143" s="229"/>
      <c r="C143" s="245" t="s">
        <v>458</v>
      </c>
      <c r="D143" s="1420" t="str">
        <f>"(Act. Gross Rev Req, p.3, line "&amp;'Actual Gross Rev Req'!B152&amp;")"</f>
        <v>(Act. Gross Rev Req, p.3, line 7)</v>
      </c>
      <c r="E143" s="276">
        <f>'Actual Gross Rev Req'!F152</f>
        <v>411519710</v>
      </c>
      <c r="F143" s="501">
        <f>E143</f>
        <v>411519710</v>
      </c>
      <c r="G143" s="232"/>
      <c r="H143" s="339" t="s">
        <v>1385</v>
      </c>
      <c r="I143" s="477">
        <v>1</v>
      </c>
      <c r="J143" s="232"/>
      <c r="K143" s="579">
        <f>+I143*F143</f>
        <v>411519710</v>
      </c>
      <c r="L143" s="233"/>
      <c r="M143" s="233"/>
      <c r="N143" s="230"/>
      <c r="O143" s="575"/>
      <c r="P143" s="230"/>
      <c r="Q143" s="233"/>
    </row>
    <row r="144" spans="1:17">
      <c r="A144" s="307">
        <f>A143+1</f>
        <v>8</v>
      </c>
      <c r="B144" s="229"/>
      <c r="C144" s="245" t="s">
        <v>1418</v>
      </c>
      <c r="D144" s="1420" t="str">
        <f>"(Act. Gross Rev Req, p.3, line "&amp;'Actual Gross Rev Req'!B153&amp;")"</f>
        <v>(Act. Gross Rev Req, p.3, line 8)</v>
      </c>
      <c r="E144" s="426"/>
      <c r="F144" s="426"/>
      <c r="G144" s="232"/>
      <c r="H144" s="339"/>
      <c r="I144" s="477"/>
      <c r="J144" s="229"/>
      <c r="K144" s="68">
        <f>'Actual Gross Rev Req'!M153</f>
        <v>81790053.461538464</v>
      </c>
      <c r="M144" s="233"/>
      <c r="N144" s="230"/>
      <c r="O144" s="575"/>
      <c r="P144" s="230"/>
      <c r="Q144" s="233"/>
    </row>
    <row r="145" spans="1:17">
      <c r="A145" s="307">
        <f>A144+1</f>
        <v>9</v>
      </c>
      <c r="B145" s="229"/>
      <c r="C145" s="245" t="s">
        <v>1423</v>
      </c>
      <c r="D145" s="1420" t="str">
        <f>"(Act. Gross Rev Req, p.3, line "&amp;'Actual Gross Rev Req'!B154&amp;")"</f>
        <v>(Act. Gross Rev Req, p.3, line 9)</v>
      </c>
      <c r="E145" s="276">
        <f>+'Actual Gross Rev Req'!F154</f>
        <v>1864288462</v>
      </c>
      <c r="F145" s="501">
        <f>E145</f>
        <v>1864288462</v>
      </c>
      <c r="G145" s="232"/>
      <c r="H145" s="232" t="s">
        <v>457</v>
      </c>
      <c r="I145" s="244"/>
      <c r="J145" s="232"/>
      <c r="K145" s="276"/>
      <c r="L145" s="233"/>
      <c r="M145" s="233"/>
      <c r="N145" s="230"/>
      <c r="O145" s="575"/>
      <c r="P145" s="230"/>
      <c r="Q145" s="233"/>
    </row>
    <row r="146" spans="1:17" ht="15.75" thickBot="1">
      <c r="A146" s="307">
        <f>A145+1</f>
        <v>10</v>
      </c>
      <c r="B146" s="229"/>
      <c r="C146" s="295" t="s">
        <v>1424</v>
      </c>
      <c r="D146" s="1420" t="str">
        <f>"(Act. Gross Rev Req, p.3, line "&amp;'Actual Gross Rev Req'!B155&amp;")"</f>
        <v>(Act. Gross Rev Req, p.3, line 10)</v>
      </c>
      <c r="E146" s="1690">
        <f>+'Actual Gross Rev Req'!F155</f>
        <v>506690080</v>
      </c>
      <c r="F146" s="502">
        <f>E146</f>
        <v>506690080</v>
      </c>
      <c r="G146" s="232"/>
      <c r="H146" s="232" t="s">
        <v>1425</v>
      </c>
      <c r="I146" s="244">
        <f>I182</f>
        <v>1.898472513614197E-2</v>
      </c>
      <c r="J146" s="232"/>
      <c r="K146" s="243">
        <f>+I146*F146</f>
        <v>9619371.8980097864</v>
      </c>
      <c r="L146" s="233"/>
      <c r="M146" s="233"/>
      <c r="N146" s="230"/>
      <c r="O146" s="575"/>
      <c r="P146" s="230"/>
      <c r="Q146" s="233"/>
    </row>
    <row r="147" spans="1:17">
      <c r="A147" s="307">
        <f>A146+1</f>
        <v>11</v>
      </c>
      <c r="B147" s="229"/>
      <c r="C147" s="297" t="s">
        <v>1086</v>
      </c>
      <c r="D147" s="1020" t="str">
        <f>"(sum Line "&amp;A142&amp;", "&amp;A143&amp;", "&amp;A145&amp;" &amp; "&amp;A146&amp;" less line "&amp;A144&amp;")"</f>
        <v>(sum Line 6, 7, 9 &amp; 10 less line 8)</v>
      </c>
      <c r="E147" s="235">
        <f>E142+E143-E144+E145+E146</f>
        <v>7890007139</v>
      </c>
      <c r="F147" s="235">
        <f>F142+F143-F144+F145+F146</f>
        <v>7890007139</v>
      </c>
      <c r="G147" s="232"/>
      <c r="H147" s="232" t="s">
        <v>470</v>
      </c>
      <c r="I147" s="314">
        <f>IF(K147&gt;0,K147/(F147),0)</f>
        <v>4.3009977362261462E-2</v>
      </c>
      <c r="J147" s="232"/>
      <c r="K147" s="235">
        <f>K142+K143-K144+K145+K146</f>
        <v>339349028.43647134</v>
      </c>
      <c r="L147" s="233"/>
      <c r="M147" s="233"/>
      <c r="N147" s="230"/>
      <c r="O147" s="575"/>
      <c r="P147" s="230"/>
      <c r="Q147" s="233"/>
    </row>
    <row r="148" spans="1:17">
      <c r="A148" s="229"/>
      <c r="B148" s="229"/>
      <c r="C148" s="245"/>
      <c r="D148" s="232"/>
      <c r="E148" s="232"/>
      <c r="F148" s="232"/>
      <c r="G148" s="232"/>
      <c r="H148" s="232"/>
      <c r="I148" s="299"/>
      <c r="J148" s="232"/>
      <c r="K148" s="232"/>
      <c r="L148" s="233"/>
      <c r="M148" s="233"/>
      <c r="N148" s="230"/>
      <c r="O148" s="575"/>
      <c r="P148" s="230"/>
      <c r="Q148" s="233"/>
    </row>
    <row r="149" spans="1:17">
      <c r="A149" s="229"/>
      <c r="B149" s="229"/>
      <c r="C149" s="245" t="s">
        <v>1330</v>
      </c>
      <c r="D149" s="245" t="s">
        <v>1723</v>
      </c>
      <c r="E149" s="232"/>
      <c r="F149" s="232"/>
      <c r="G149" s="232"/>
      <c r="H149" s="232"/>
      <c r="I149" s="232"/>
      <c r="J149" s="232"/>
      <c r="K149" s="232"/>
      <c r="L149" s="233"/>
      <c r="M149" s="233"/>
      <c r="N149" s="230"/>
      <c r="O149" s="575"/>
      <c r="P149" s="230"/>
      <c r="Q149" s="233"/>
    </row>
    <row r="150" spans="1:17">
      <c r="A150" s="307">
        <f>A147+1</f>
        <v>12</v>
      </c>
      <c r="B150" s="229"/>
      <c r="C150" s="245" t="str">
        <f>+C142</f>
        <v xml:space="preserve">  Production</v>
      </c>
      <c r="D150" s="1420" t="str">
        <f>"(Act. Gross Rev Req, p.3, line "&amp;'Actual Gross Rev Req'!B159&amp;")"</f>
        <v>(Act. Gross Rev Req, p.3, line 12)</v>
      </c>
      <c r="E150" s="260">
        <f>+'Actual Gross Rev Req'!F159</f>
        <v>2218763800</v>
      </c>
      <c r="F150" s="235">
        <f>E150</f>
        <v>2218763800</v>
      </c>
      <c r="G150" s="232"/>
      <c r="H150" s="232" t="str">
        <f>+H142</f>
        <v>NA</v>
      </c>
      <c r="I150" s="244"/>
      <c r="J150" s="232"/>
      <c r="K150" s="232"/>
      <c r="L150" s="233"/>
      <c r="M150" s="233"/>
      <c r="N150" s="230"/>
      <c r="O150" s="575"/>
      <c r="P150" s="230"/>
      <c r="Q150" s="233"/>
    </row>
    <row r="151" spans="1:17">
      <c r="A151" s="307">
        <f>A150+1</f>
        <v>13</v>
      </c>
      <c r="B151" s="229"/>
      <c r="C151" s="245" t="str">
        <f>+C143</f>
        <v xml:space="preserve">  Transmission</v>
      </c>
      <c r="D151" s="1420" t="str">
        <f>"(Act. Gross Rev Req, p.3, line "&amp;'Actual Gross Rev Req'!B160&amp;")"</f>
        <v>(Act. Gross Rev Req, p.3, line 13)</v>
      </c>
      <c r="E151" s="276">
        <f>'Actual Gross Rev Req'!F160</f>
        <v>181225191</v>
      </c>
      <c r="F151" s="501">
        <f>E151</f>
        <v>181225191</v>
      </c>
      <c r="G151" s="232"/>
      <c r="H151" s="232" t="str">
        <f>+H143</f>
        <v>DA</v>
      </c>
      <c r="I151" s="244">
        <f>+I143</f>
        <v>1</v>
      </c>
      <c r="J151" s="232"/>
      <c r="K151" s="579">
        <f>+I151*F151</f>
        <v>181225191</v>
      </c>
      <c r="L151" s="233"/>
      <c r="M151" s="233"/>
      <c r="N151" s="230"/>
      <c r="O151" s="575"/>
      <c r="P151" s="230"/>
      <c r="Q151" s="233"/>
    </row>
    <row r="152" spans="1:17">
      <c r="A152" s="307">
        <f>A151+1</f>
        <v>14</v>
      </c>
      <c r="B152" s="229"/>
      <c r="C152" s="245" t="s">
        <v>1418</v>
      </c>
      <c r="D152" s="1420" t="str">
        <f>"(Act. Gross Rev Req, p.3, line "&amp;'Actual Gross Rev Req'!B161&amp;")"</f>
        <v>(Act. Gross Rev Req, p.3, line 14)</v>
      </c>
      <c r="E152" s="426"/>
      <c r="F152" s="501"/>
      <c r="G152" s="232"/>
      <c r="H152" s="339"/>
      <c r="I152" s="477"/>
      <c r="J152" s="232"/>
      <c r="K152" s="276">
        <f>'Actual Gross Rev Req'!M161</f>
        <v>29476966</v>
      </c>
      <c r="L152" s="233"/>
      <c r="M152" s="233"/>
      <c r="N152" s="230"/>
      <c r="O152" s="575"/>
      <c r="P152" s="230"/>
      <c r="Q152" s="233"/>
    </row>
    <row r="153" spans="1:17">
      <c r="A153" s="307">
        <f>A152+1</f>
        <v>15</v>
      </c>
      <c r="B153" s="229"/>
      <c r="C153" s="245" t="str">
        <f>+C145</f>
        <v xml:space="preserve">  Distribution</v>
      </c>
      <c r="D153" s="1420" t="str">
        <f>"(Act. Gross Rev Req, p.3, line "&amp;'Actual Gross Rev Req'!B162&amp;")"</f>
        <v>(Act. Gross Rev Req, p.3, line 15)</v>
      </c>
      <c r="E153" s="276">
        <f>+'Actual Gross Rev Req'!F162</f>
        <v>694974946</v>
      </c>
      <c r="F153" s="501">
        <f>E153</f>
        <v>694974946</v>
      </c>
      <c r="G153" s="232"/>
      <c r="H153" s="232" t="str">
        <f>+H145</f>
        <v>NA</v>
      </c>
      <c r="I153" s="244"/>
      <c r="J153" s="232"/>
      <c r="K153" s="276"/>
      <c r="L153" s="233"/>
      <c r="M153" s="233"/>
      <c r="N153" s="230"/>
      <c r="O153" s="575"/>
      <c r="P153" s="230"/>
      <c r="Q153" s="233"/>
    </row>
    <row r="154" spans="1:17" ht="15.75" thickBot="1">
      <c r="A154" s="307">
        <f>A153+1</f>
        <v>16</v>
      </c>
      <c r="B154" s="229"/>
      <c r="C154" s="245" t="str">
        <f>+C146</f>
        <v xml:space="preserve">  General &amp; Intangible</v>
      </c>
      <c r="D154" s="1420" t="str">
        <f>"(Act. Gross Rev Req, p.3, line "&amp;'Actual Gross Rev Req'!B163&amp;")"</f>
        <v>(Act. Gross Rev Req, p.3, line 16)</v>
      </c>
      <c r="E154" s="243">
        <f>+'Actual Gross Rev Req'!F163</f>
        <v>223411369</v>
      </c>
      <c r="F154" s="502">
        <f>E154</f>
        <v>223411369</v>
      </c>
      <c r="G154" s="232"/>
      <c r="H154" s="232" t="str">
        <f>+H146</f>
        <v>W/S</v>
      </c>
      <c r="I154" s="244">
        <f>+I146</f>
        <v>1.898472513614197E-2</v>
      </c>
      <c r="J154" s="232"/>
      <c r="K154" s="243">
        <f>+I154*F154</f>
        <v>4241403.4327541888</v>
      </c>
      <c r="L154" s="233"/>
      <c r="M154" s="233"/>
      <c r="N154" s="230"/>
      <c r="O154" s="575"/>
      <c r="P154" s="230"/>
      <c r="Q154" s="233"/>
    </row>
    <row r="155" spans="1:17">
      <c r="A155" s="307">
        <f>A154+1</f>
        <v>17</v>
      </c>
      <c r="B155" s="229"/>
      <c r="C155" s="245" t="s">
        <v>1766</v>
      </c>
      <c r="D155" s="1020" t="str">
        <f>"(sum Line "&amp;A150&amp;", "&amp;A151&amp;", "&amp;A153&amp;" &amp; "&amp;A154&amp;" less line "&amp;A152&amp;")"</f>
        <v>(sum Line 12, 13, 15 &amp; 16 less line 14)</v>
      </c>
      <c r="E155" s="235">
        <f>E150+E151-E152+E153+E154</f>
        <v>3318375306</v>
      </c>
      <c r="F155" s="235">
        <f>F150+F151-F152+F153+F154</f>
        <v>3318375306</v>
      </c>
      <c r="G155" s="232"/>
      <c r="H155" s="232" t="s">
        <v>1103</v>
      </c>
      <c r="I155" s="314">
        <f>IF(K151&gt;0,(K151-K152)/(K151),0)</f>
        <v>0.83734619984481073</v>
      </c>
      <c r="J155" s="232"/>
      <c r="K155" s="235">
        <f>K150+K151-K152+K153+K154</f>
        <v>155989628.43275419</v>
      </c>
      <c r="L155" s="233"/>
      <c r="M155" s="233"/>
      <c r="N155" s="230"/>
      <c r="O155" s="575"/>
      <c r="P155" s="230"/>
      <c r="Q155" s="233"/>
    </row>
    <row r="156" spans="1:17">
      <c r="A156" s="307"/>
      <c r="B156" s="229"/>
      <c r="C156" s="229"/>
      <c r="D156" s="232" t="s">
        <v>49</v>
      </c>
      <c r="E156" s="229"/>
      <c r="F156" s="229"/>
      <c r="G156" s="232"/>
      <c r="H156" s="232"/>
      <c r="I156" s="299"/>
      <c r="J156" s="232"/>
      <c r="K156" s="229"/>
      <c r="L156" s="230"/>
      <c r="M156" s="230"/>
      <c r="N156" s="230"/>
      <c r="O156" s="575"/>
      <c r="P156" s="230"/>
      <c r="Q156" s="233"/>
    </row>
    <row r="157" spans="1:17">
      <c r="A157" s="307"/>
      <c r="B157" s="229"/>
      <c r="C157" s="245" t="s">
        <v>1332</v>
      </c>
      <c r="D157" s="245" t="s">
        <v>1331</v>
      </c>
      <c r="E157" s="232"/>
      <c r="F157" s="232"/>
      <c r="G157" s="232"/>
      <c r="H157" s="232"/>
      <c r="I157" s="232"/>
      <c r="J157" s="232"/>
      <c r="K157" s="232"/>
      <c r="L157" s="230"/>
      <c r="M157" s="230"/>
      <c r="N157" s="230"/>
      <c r="O157" s="575"/>
      <c r="P157" s="230"/>
      <c r="Q157" s="233"/>
    </row>
    <row r="158" spans="1:17">
      <c r="A158" s="307">
        <f>A155+1</f>
        <v>18</v>
      </c>
      <c r="B158" s="229"/>
      <c r="C158" s="245" t="str">
        <f>+C150</f>
        <v xml:space="preserve">  Production</v>
      </c>
      <c r="D158" s="1020" t="str">
        <f>"( Line "&amp;A142&amp;" less line "&amp;A150&amp;")"</f>
        <v>( Line 6 less line 12)</v>
      </c>
      <c r="E158" s="235">
        <f t="shared" ref="E158:F162" si="2">E142-E150</f>
        <v>2888745087</v>
      </c>
      <c r="F158" s="235">
        <f t="shared" si="2"/>
        <v>2888745087</v>
      </c>
      <c r="G158" s="232"/>
      <c r="H158" s="232"/>
      <c r="I158" s="299"/>
      <c r="J158" s="232"/>
      <c r="K158" s="232"/>
      <c r="L158" s="230"/>
      <c r="M158" s="230"/>
      <c r="N158" s="230"/>
      <c r="O158" s="575"/>
      <c r="P158" s="230"/>
      <c r="Q158" s="233"/>
    </row>
    <row r="159" spans="1:17">
      <c r="A159" s="307">
        <f>A158+1</f>
        <v>19</v>
      </c>
      <c r="B159" s="229"/>
      <c r="C159" s="245" t="str">
        <f>+C151</f>
        <v xml:space="preserve">  Transmission</v>
      </c>
      <c r="D159" s="1020" t="str">
        <f>"( Line "&amp;A143&amp;" less line "&amp;A151&amp;")"</f>
        <v>( Line 7 less line 13)</v>
      </c>
      <c r="E159" s="276">
        <f t="shared" si="2"/>
        <v>230294519</v>
      </c>
      <c r="F159" s="276">
        <f t="shared" si="2"/>
        <v>230294519</v>
      </c>
      <c r="G159" s="232"/>
      <c r="H159" s="232"/>
      <c r="I159" s="244"/>
      <c r="J159" s="232"/>
      <c r="K159" s="579">
        <f>K143-K151</f>
        <v>230294519</v>
      </c>
      <c r="L159" s="230"/>
      <c r="M159" s="230"/>
      <c r="N159" s="230"/>
      <c r="O159" s="575"/>
      <c r="P159" s="230"/>
      <c r="Q159" s="233"/>
    </row>
    <row r="160" spans="1:17">
      <c r="A160" s="307">
        <f>A159+1</f>
        <v>20</v>
      </c>
      <c r="B160" s="229"/>
      <c r="C160" s="245" t="s">
        <v>1418</v>
      </c>
      <c r="D160" s="1020" t="str">
        <f>"( Line "&amp;A144&amp;" less line "&amp;A152&amp;")"</f>
        <v>( Line 8 less line 14)</v>
      </c>
      <c r="E160" s="276">
        <f t="shared" si="2"/>
        <v>0</v>
      </c>
      <c r="F160" s="276">
        <f t="shared" si="2"/>
        <v>0</v>
      </c>
      <c r="G160" s="232"/>
      <c r="H160" s="232"/>
      <c r="I160" s="244"/>
      <c r="J160" s="232"/>
      <c r="K160" s="276">
        <f>K144-K152</f>
        <v>52313087.461538464</v>
      </c>
      <c r="L160" s="230"/>
      <c r="M160" s="230"/>
      <c r="N160" s="230"/>
      <c r="O160" s="575"/>
      <c r="P160" s="230"/>
      <c r="Q160" s="233"/>
    </row>
    <row r="161" spans="1:17">
      <c r="A161" s="307">
        <f>A160+1</f>
        <v>21</v>
      </c>
      <c r="B161" s="229"/>
      <c r="C161" s="245" t="str">
        <f>+C153</f>
        <v xml:space="preserve">  Distribution</v>
      </c>
      <c r="D161" s="1020" t="str">
        <f>"( Line "&amp;A145&amp;" less line "&amp;A153&amp;")"</f>
        <v>( Line 9 less line 15)</v>
      </c>
      <c r="E161" s="276">
        <f t="shared" si="2"/>
        <v>1169313516</v>
      </c>
      <c r="F161" s="276">
        <f t="shared" si="2"/>
        <v>1169313516</v>
      </c>
      <c r="G161" s="232"/>
      <c r="H161" s="232"/>
      <c r="I161" s="299"/>
      <c r="J161" s="232"/>
      <c r="K161" s="276"/>
      <c r="L161" s="230"/>
      <c r="M161" s="230"/>
      <c r="N161" s="230"/>
      <c r="O161" s="575"/>
      <c r="P161" s="230"/>
      <c r="Q161" s="233"/>
    </row>
    <row r="162" spans="1:17" ht="15.75" thickBot="1">
      <c r="A162" s="307">
        <f>A161+1</f>
        <v>22</v>
      </c>
      <c r="B162" s="229"/>
      <c r="C162" s="245" t="str">
        <f>+C154</f>
        <v xml:space="preserve">  General &amp; Intangible</v>
      </c>
      <c r="D162" s="1020" t="str">
        <f>"( Line "&amp;A146&amp;" less line "&amp;A154&amp;")"</f>
        <v>( Line 10 less line 16)</v>
      </c>
      <c r="E162" s="243">
        <f t="shared" si="2"/>
        <v>283278711</v>
      </c>
      <c r="F162" s="243">
        <f t="shared" si="2"/>
        <v>283278711</v>
      </c>
      <c r="G162" s="232"/>
      <c r="H162" s="232"/>
      <c r="I162" s="299"/>
      <c r="J162" s="232"/>
      <c r="K162" s="243">
        <f>K146-K154</f>
        <v>5377968.4652555976</v>
      </c>
      <c r="L162" s="230"/>
      <c r="M162" s="230"/>
      <c r="N162" s="230"/>
      <c r="O162" s="575"/>
      <c r="P162" s="230"/>
      <c r="Q162" s="233"/>
    </row>
    <row r="163" spans="1:17" ht="15.75" thickBot="1">
      <c r="A163" s="307">
        <f>A162+1</f>
        <v>23</v>
      </c>
      <c r="B163" s="229"/>
      <c r="C163" s="245" t="s">
        <v>655</v>
      </c>
      <c r="D163" s="1020" t="str">
        <f>"(sum Line "&amp;A158&amp;", "&amp;A159&amp;", "&amp;A161&amp;" &amp; "&amp;A162&amp;" less line "&amp;A160&amp;")"</f>
        <v>(sum Line 18, 19, 21 &amp; 22 less line 20)</v>
      </c>
      <c r="E163" s="235">
        <f>E158+E159+E161+E162-E160</f>
        <v>4571631833</v>
      </c>
      <c r="F163" s="235">
        <f>F158+F159+F161+F162-F160</f>
        <v>4571631833</v>
      </c>
      <c r="G163" s="232"/>
      <c r="H163" s="232" t="s">
        <v>471</v>
      </c>
      <c r="I163" s="314">
        <f>IF(K163&gt;0,K163/(F163),0)</f>
        <v>4.0108085406211039E-2</v>
      </c>
      <c r="J163" s="232"/>
      <c r="K163" s="300">
        <f>K158+K159+K161+K162-K160</f>
        <v>183359400.00371712</v>
      </c>
      <c r="L163" s="230"/>
      <c r="M163" s="230"/>
      <c r="N163" s="230"/>
      <c r="O163" s="575"/>
      <c r="P163" s="230"/>
      <c r="Q163" s="233"/>
    </row>
    <row r="164" spans="1:17">
      <c r="A164" s="292"/>
      <c r="C164" s="229"/>
      <c r="D164" s="229"/>
      <c r="E164" s="229"/>
      <c r="F164" s="229"/>
      <c r="G164" s="337"/>
      <c r="H164" s="229"/>
      <c r="I164" s="229"/>
      <c r="J164" s="229"/>
      <c r="K164" s="229"/>
      <c r="L164" s="230"/>
      <c r="M164" s="230"/>
      <c r="N164" s="230"/>
      <c r="P164" s="230"/>
      <c r="Q164" s="233"/>
    </row>
    <row r="165" spans="1:17" ht="15.75">
      <c r="A165" s="292"/>
      <c r="C165" s="233"/>
      <c r="D165" s="2153" t="str">
        <f>+D1</f>
        <v xml:space="preserve">     Rate Formula Template</v>
      </c>
      <c r="E165" s="2153"/>
      <c r="F165" s="2153"/>
      <c r="G165" s="2153"/>
      <c r="K165" s="1098"/>
      <c r="L165" s="230"/>
      <c r="N165" s="230"/>
      <c r="P165" s="230"/>
      <c r="Q165" s="233"/>
    </row>
    <row r="166" spans="1:17" ht="15.75">
      <c r="A166" s="292"/>
      <c r="C166" s="233"/>
      <c r="D166" s="2153" t="str">
        <f>+D2</f>
        <v xml:space="preserve"> Utilizing FERC Form 1 Data</v>
      </c>
      <c r="E166" s="2153"/>
      <c r="F166" s="2154"/>
      <c r="G166" s="2154"/>
      <c r="J166" s="2193" t="s">
        <v>203</v>
      </c>
      <c r="K166" s="2193"/>
      <c r="L166" s="230"/>
      <c r="N166" s="230"/>
      <c r="P166" s="230"/>
      <c r="Q166" s="233"/>
    </row>
    <row r="167" spans="1:17">
      <c r="A167" s="292"/>
      <c r="C167" s="233"/>
      <c r="D167" s="2153" t="str">
        <f>+D3</f>
        <v>Projected Gross Revenue Requirements</v>
      </c>
      <c r="E167" s="2153"/>
      <c r="F167" s="2154"/>
      <c r="G167" s="2154"/>
      <c r="L167" s="230"/>
      <c r="M167" s="302"/>
      <c r="N167" s="230"/>
      <c r="P167" s="230"/>
      <c r="Q167" s="233"/>
    </row>
    <row r="168" spans="1:17">
      <c r="A168" s="292"/>
      <c r="D168" s="2153" t="str">
        <f>+D4</f>
        <v>For the 12 months ended - December 31, 2014</v>
      </c>
      <c r="E168" s="2153"/>
      <c r="F168" s="2154"/>
      <c r="G168" s="2154"/>
      <c r="K168" s="304" t="str">
        <f>K$5</f>
        <v>Projected</v>
      </c>
      <c r="L168" s="230"/>
      <c r="N168" s="230"/>
      <c r="P168" s="230"/>
      <c r="Q168" s="233"/>
    </row>
    <row r="169" spans="1:17">
      <c r="A169" s="292"/>
      <c r="F169" s="304"/>
      <c r="K169" s="304" t="s">
        <v>1123</v>
      </c>
      <c r="L169" s="230"/>
      <c r="M169" s="230"/>
      <c r="N169" s="230"/>
      <c r="P169" s="230"/>
      <c r="Q169" s="233"/>
    </row>
    <row r="170" spans="1:17">
      <c r="A170" s="292"/>
      <c r="D170" s="2155" t="str">
        <f>+D$6</f>
        <v>Kansas City Power &amp; Light Company</v>
      </c>
      <c r="E170" s="2155"/>
      <c r="F170" s="2156"/>
      <c r="G170" s="2156"/>
      <c r="L170" s="230"/>
      <c r="M170" s="230"/>
      <c r="N170" s="230"/>
      <c r="P170" s="230"/>
      <c r="Q170" s="233"/>
    </row>
    <row r="171" spans="1:17" ht="15.75">
      <c r="A171" s="292"/>
      <c r="D171" s="2157" t="s">
        <v>473</v>
      </c>
      <c r="E171" s="2157"/>
      <c r="F171" s="2153"/>
      <c r="G171" s="2153"/>
      <c r="H171" s="382"/>
      <c r="I171" s="238"/>
      <c r="J171" s="238"/>
      <c r="K171" s="238"/>
      <c r="L171" s="230"/>
      <c r="M171" s="230"/>
      <c r="N171" s="230"/>
      <c r="P171" s="230"/>
      <c r="Q171" s="233"/>
    </row>
    <row r="172" spans="1:17">
      <c r="A172" s="292"/>
      <c r="C172" s="3" t="s">
        <v>916</v>
      </c>
      <c r="D172" s="3" t="s">
        <v>917</v>
      </c>
      <c r="E172" s="3" t="s">
        <v>924</v>
      </c>
      <c r="F172" s="1643" t="s">
        <v>925</v>
      </c>
      <c r="G172" s="63" t="s">
        <v>926</v>
      </c>
      <c r="H172" s="10"/>
      <c r="I172" s="64" t="s">
        <v>694</v>
      </c>
      <c r="J172" s="4"/>
      <c r="K172" s="64" t="s">
        <v>695</v>
      </c>
      <c r="L172" s="230"/>
      <c r="M172" s="230"/>
      <c r="N172" s="230"/>
      <c r="P172" s="230"/>
      <c r="Q172" s="233"/>
    </row>
    <row r="173" spans="1:17" ht="15.75">
      <c r="A173" s="292" t="s">
        <v>50</v>
      </c>
      <c r="C173" s="233"/>
      <c r="D173" s="12" t="s">
        <v>927</v>
      </c>
      <c r="E173" s="12"/>
      <c r="G173" s="18"/>
      <c r="H173" s="14"/>
      <c r="J173" s="18"/>
      <c r="K173" s="14"/>
      <c r="L173" s="230"/>
      <c r="M173" s="14"/>
      <c r="N173" s="230"/>
      <c r="P173" s="230"/>
      <c r="Q173" s="233"/>
    </row>
    <row r="174" spans="1:17" ht="16.5" thickBot="1">
      <c r="A174" s="264" t="s">
        <v>51</v>
      </c>
      <c r="B174" s="294"/>
      <c r="C174" s="379"/>
      <c r="D174" s="159" t="s">
        <v>453</v>
      </c>
      <c r="E174" s="67" t="str">
        <f>E130</f>
        <v>KCP&amp;L</v>
      </c>
      <c r="F174" s="162" t="str">
        <f>F130</f>
        <v>KCP&amp;L Total</v>
      </c>
      <c r="G174" s="258"/>
      <c r="H174" s="162" t="s">
        <v>454</v>
      </c>
      <c r="I174" s="258"/>
      <c r="J174" s="258"/>
      <c r="K174" s="162" t="s">
        <v>452</v>
      </c>
      <c r="L174" s="230"/>
      <c r="M174" s="14"/>
      <c r="N174" s="230"/>
      <c r="P174" s="230"/>
      <c r="Q174" s="233"/>
    </row>
    <row r="175" spans="1:17" ht="15.75">
      <c r="A175" s="307"/>
      <c r="B175" s="229"/>
      <c r="C175" s="229"/>
      <c r="D175" s="229"/>
      <c r="E175" s="229"/>
      <c r="F175" s="229"/>
      <c r="G175" s="229"/>
      <c r="H175" s="229"/>
      <c r="I175" s="229"/>
      <c r="J175" s="229"/>
      <c r="K175" s="1153" t="s">
        <v>1148</v>
      </c>
      <c r="N175" s="230"/>
      <c r="P175" s="230"/>
      <c r="Q175" s="233"/>
    </row>
    <row r="176" spans="1:17" ht="15.75">
      <c r="A176" s="307" t="s">
        <v>49</v>
      </c>
      <c r="B176" s="229"/>
      <c r="C176" s="23" t="s">
        <v>487</v>
      </c>
      <c r="D176" s="232"/>
      <c r="E176" s="232"/>
      <c r="F176" s="584"/>
      <c r="G176" s="232"/>
      <c r="H176" s="232"/>
      <c r="I176" s="232"/>
      <c r="J176" s="232"/>
      <c r="K176" s="232"/>
      <c r="L176" s="230"/>
      <c r="M176" s="230"/>
      <c r="N176" s="230"/>
      <c r="P176" s="230"/>
      <c r="Q176" s="233"/>
    </row>
    <row r="177" spans="1:17">
      <c r="A177" s="307">
        <v>1</v>
      </c>
      <c r="B177" s="229"/>
      <c r="C177" s="245" t="s">
        <v>456</v>
      </c>
      <c r="D177" s="1420" t="str">
        <f>"(Act. Gross Rev Req, p.4, line "&amp;'Actual Gross Rev Req'!B189&amp;")"</f>
        <v>(Act. Gross Rev Req, p.4, line 1)</v>
      </c>
      <c r="E177" s="232">
        <f>'Actual Gross Rev Req'!F189</f>
        <v>104941079</v>
      </c>
      <c r="F177" s="235">
        <f>E177</f>
        <v>104941079</v>
      </c>
      <c r="G177" s="229"/>
      <c r="H177" s="1853"/>
      <c r="I177" s="313"/>
      <c r="J177" s="232"/>
      <c r="K177" s="232"/>
      <c r="L177" s="230"/>
      <c r="M177" s="230"/>
      <c r="N177" s="230"/>
      <c r="P177" s="230"/>
      <c r="Q177" s="233"/>
    </row>
    <row r="178" spans="1:17">
      <c r="A178" s="307">
        <v>2</v>
      </c>
      <c r="B178" s="229"/>
      <c r="C178" s="245" t="s">
        <v>458</v>
      </c>
      <c r="D178" s="1420" t="str">
        <f>"(Act. Gross Rev Req, p.4, line "&amp;'Actual Gross Rev Req'!B190&amp;")"</f>
        <v>(Act. Gross Rev Req, p.4, line 2)</v>
      </c>
      <c r="E178" s="232">
        <f>'Actual Gross Rev Req'!F190</f>
        <v>3302373</v>
      </c>
      <c r="F178" s="380">
        <f>E178</f>
        <v>3302373</v>
      </c>
      <c r="G178" s="229"/>
      <c r="H178" s="1853" t="s">
        <v>486</v>
      </c>
      <c r="I178" s="313">
        <f>I138</f>
        <v>0.80124875802051276</v>
      </c>
      <c r="J178" s="232"/>
      <c r="K178" s="232">
        <f>F178*I178</f>
        <v>2646022.2647704748</v>
      </c>
      <c r="L178" s="230"/>
      <c r="M178" s="230"/>
      <c r="N178" s="230"/>
      <c r="P178" s="230"/>
      <c r="Q178" s="233"/>
    </row>
    <row r="179" spans="1:17">
      <c r="A179" s="307">
        <v>3</v>
      </c>
      <c r="B179" s="229"/>
      <c r="C179" s="245" t="s">
        <v>1423</v>
      </c>
      <c r="D179" s="1420" t="str">
        <f>"(Act. Gross Rev Req, p.4, line "&amp;'Actual Gross Rev Req'!B191&amp;")"</f>
        <v>(Act. Gross Rev Req, p.4, line 3)</v>
      </c>
      <c r="E179" s="232">
        <f>'Actual Gross Rev Req'!F191</f>
        <v>20345799</v>
      </c>
      <c r="F179" s="380">
        <f>E179</f>
        <v>20345799</v>
      </c>
      <c r="G179" s="229"/>
      <c r="H179" s="1853"/>
      <c r="I179" s="313"/>
      <c r="J179" s="232"/>
      <c r="K179" s="1854"/>
      <c r="L179" s="230"/>
      <c r="M179" s="230"/>
      <c r="N179" s="230" t="s">
        <v>49</v>
      </c>
      <c r="P179" s="230"/>
      <c r="Q179" s="233"/>
    </row>
    <row r="180" spans="1:17">
      <c r="A180" s="307">
        <v>4</v>
      </c>
      <c r="B180" s="229"/>
      <c r="C180" s="245" t="s">
        <v>977</v>
      </c>
      <c r="D180" s="1420" t="str">
        <f>"(Act. Gross Rev Req, p.4, line "&amp;'Actual Gross Rev Req'!B192&amp;")"</f>
        <v>(Act. Gross Rev Req, p.4, line 4)</v>
      </c>
      <c r="E180" s="507">
        <f>'Actual Gross Rev Req'!F192</f>
        <v>10787129</v>
      </c>
      <c r="F180" s="479">
        <f>E180</f>
        <v>10787129</v>
      </c>
      <c r="G180" s="229"/>
      <c r="H180" s="1853"/>
      <c r="I180" s="313"/>
      <c r="J180" s="232"/>
      <c r="K180" s="1855"/>
      <c r="L180" s="230"/>
      <c r="M180" s="230"/>
      <c r="N180" s="230"/>
      <c r="P180" s="230"/>
      <c r="Q180" s="233"/>
    </row>
    <row r="181" spans="1:17">
      <c r="A181" s="307">
        <v>5</v>
      </c>
      <c r="B181" s="229"/>
      <c r="C181" s="245" t="s">
        <v>1333</v>
      </c>
      <c r="D181" s="1020" t="str">
        <f>"(Sum Line "&amp;A177&amp;" to Line "&amp;A180&amp;")"</f>
        <v>(Sum Line 1 to Line 4)</v>
      </c>
      <c r="E181" s="232">
        <f>SUM(E177:E180)</f>
        <v>139376380</v>
      </c>
      <c r="F181" s="235">
        <f>SUM(F177:F180)</f>
        <v>139376380</v>
      </c>
      <c r="G181" s="232"/>
      <c r="H181" s="232"/>
      <c r="I181" s="579"/>
      <c r="J181" s="1381"/>
      <c r="K181" s="579">
        <f>SUM(K178:K180)</f>
        <v>2646022.2647704748</v>
      </c>
      <c r="L181" s="263"/>
      <c r="N181" s="230"/>
      <c r="P181" s="230"/>
      <c r="Q181" s="233"/>
    </row>
    <row r="182" spans="1:17">
      <c r="A182" s="307" t="s">
        <v>1641</v>
      </c>
      <c r="B182" s="229"/>
      <c r="C182" s="245" t="s">
        <v>1660</v>
      </c>
      <c r="D182" s="1020" t="str">
        <f>"(Col 7,  Line "&amp;A181&amp;" divided by Col 4, Line "&amp;A181&amp;")"</f>
        <v>(Col 7,  Line 5 divided by Col 4, Line 5)</v>
      </c>
      <c r="E182" s="232"/>
      <c r="F182" s="229"/>
      <c r="G182" s="232"/>
      <c r="H182" s="385" t="s">
        <v>1662</v>
      </c>
      <c r="I182" s="244">
        <f>IF(K181&gt;0,K181/F181,0)</f>
        <v>1.898472513614197E-2</v>
      </c>
      <c r="J182" s="229"/>
      <c r="K182" s="229"/>
      <c r="M182" s="230"/>
      <c r="N182" s="230"/>
      <c r="P182" s="230"/>
      <c r="Q182" s="233"/>
    </row>
    <row r="183" spans="1:17" ht="15.75" hidden="1" outlineLevel="1">
      <c r="A183" s="307"/>
      <c r="B183" s="229"/>
      <c r="C183" s="23"/>
      <c r="D183" s="232"/>
      <c r="E183" s="232"/>
      <c r="F183" s="73"/>
      <c r="G183" s="232"/>
      <c r="H183" s="232"/>
      <c r="I183" s="385"/>
      <c r="J183" s="589"/>
      <c r="K183" s="299"/>
      <c r="L183" s="229"/>
      <c r="M183" s="229"/>
      <c r="N183" s="230"/>
      <c r="P183" s="230"/>
      <c r="Q183" s="233"/>
    </row>
    <row r="184" spans="1:17" hidden="1" outlineLevel="1">
      <c r="A184" s="307"/>
      <c r="B184" s="229"/>
      <c r="C184" s="245"/>
      <c r="D184" s="232"/>
      <c r="E184" s="761"/>
      <c r="F184" s="761"/>
      <c r="G184" s="232"/>
      <c r="H184" s="229"/>
      <c r="I184" s="307"/>
      <c r="J184" s="1856"/>
      <c r="K184" s="307"/>
      <c r="L184" s="232"/>
      <c r="M184" s="1381"/>
      <c r="N184" s="230"/>
      <c r="P184" s="230"/>
      <c r="Q184" s="233"/>
    </row>
    <row r="185" spans="1:17" hidden="1" outlineLevel="1">
      <c r="A185" s="307"/>
      <c r="B185" s="229"/>
      <c r="C185" s="638"/>
      <c r="D185" s="339"/>
      <c r="E185" s="310"/>
      <c r="F185" s="310"/>
      <c r="G185" s="339"/>
      <c r="H185" s="229"/>
      <c r="I185" s="314"/>
      <c r="J185" s="385"/>
      <c r="K185" s="314"/>
      <c r="L185" s="589"/>
      <c r="M185" s="1382"/>
      <c r="N185" s="230"/>
      <c r="P185" s="230"/>
      <c r="Q185" s="233"/>
    </row>
    <row r="186" spans="1:17" hidden="1" outlineLevel="1">
      <c r="A186" s="307"/>
      <c r="B186" s="229"/>
      <c r="C186" s="638"/>
      <c r="D186" s="339"/>
      <c r="E186" s="310"/>
      <c r="F186" s="310"/>
      <c r="G186" s="339"/>
      <c r="H186" s="232"/>
      <c r="I186" s="232"/>
      <c r="J186" s="232"/>
      <c r="K186" s="232"/>
      <c r="L186" s="232"/>
      <c r="M186" s="232"/>
      <c r="N186" s="230"/>
      <c r="P186" s="230"/>
      <c r="Q186" s="233"/>
    </row>
    <row r="187" spans="1:17" hidden="1" outlineLevel="1">
      <c r="A187" s="307"/>
      <c r="B187" s="229"/>
      <c r="C187" s="638"/>
      <c r="D187" s="1857"/>
      <c r="E187" s="1858"/>
      <c r="F187" s="1858"/>
      <c r="G187" s="339"/>
      <c r="H187" s="232"/>
      <c r="I187" s="232"/>
      <c r="J187" s="232"/>
      <c r="K187" s="232"/>
      <c r="L187" s="232"/>
      <c r="M187" s="232"/>
      <c r="N187" s="230"/>
      <c r="P187" s="230"/>
      <c r="Q187" s="233"/>
    </row>
    <row r="188" spans="1:17" hidden="1" outlineLevel="1">
      <c r="A188" s="307"/>
      <c r="B188" s="229"/>
      <c r="C188" s="638" t="s">
        <v>49</v>
      </c>
      <c r="D188" s="339"/>
      <c r="E188" s="339"/>
      <c r="F188" s="337"/>
      <c r="G188" s="339"/>
      <c r="H188" s="232"/>
      <c r="I188" s="232"/>
      <c r="J188" s="232"/>
      <c r="K188" s="339"/>
      <c r="L188" s="232" t="s">
        <v>49</v>
      </c>
      <c r="M188" s="232"/>
      <c r="N188" s="230"/>
      <c r="P188" s="230"/>
      <c r="Q188" s="233"/>
    </row>
    <row r="189" spans="1:17" ht="15.75" hidden="1" outlineLevel="1">
      <c r="A189" s="307"/>
      <c r="B189" s="376"/>
      <c r="C189" s="57" t="s">
        <v>979</v>
      </c>
      <c r="D189" s="232"/>
      <c r="E189" s="232"/>
      <c r="F189" s="584"/>
      <c r="G189" s="232"/>
      <c r="H189" s="232"/>
      <c r="I189" s="232"/>
      <c r="J189" s="232"/>
      <c r="K189" s="1854"/>
      <c r="L189" s="230"/>
      <c r="M189" s="230"/>
      <c r="N189" s="230"/>
      <c r="P189" s="230"/>
      <c r="Q189" s="233"/>
    </row>
    <row r="190" spans="1:17" collapsed="1">
      <c r="A190" s="307">
        <f>A181+1</f>
        <v>6</v>
      </c>
      <c r="B190" s="376"/>
      <c r="C190" s="297" t="s">
        <v>696</v>
      </c>
      <c r="D190" s="1420" t="str">
        <f>"(Act. Gross Rev Req, p.4, line "&amp;'Actual Gross Rev Req'!B197&amp;")"</f>
        <v>(Act. Gross Rev Req, p.4, line 6)</v>
      </c>
      <c r="E190" s="260">
        <f>'Actual Gross Rev Req'!F197</f>
        <v>229522490</v>
      </c>
      <c r="F190" s="235">
        <f>E190</f>
        <v>229522490</v>
      </c>
      <c r="G190" s="232"/>
      <c r="H190" s="232"/>
      <c r="I190" s="232"/>
      <c r="J190" s="232"/>
      <c r="K190" s="1854"/>
      <c r="L190" s="230"/>
      <c r="M190" s="230"/>
      <c r="N190" s="230"/>
      <c r="P190" s="230"/>
      <c r="Q190" s="233"/>
    </row>
    <row r="191" spans="1:17">
      <c r="A191" s="307">
        <f>A190+1</f>
        <v>7</v>
      </c>
      <c r="B191" s="376"/>
      <c r="C191" s="297" t="s">
        <v>1568</v>
      </c>
      <c r="D191" s="1420" t="str">
        <f>"(Act. Gross Rev Req, p.4, line "&amp;'Actual Gross Rev Req'!B198&amp;")"</f>
        <v>(Act. Gross Rev Req, p.4, line 7)</v>
      </c>
      <c r="E191" s="276">
        <f>+'Actual Gross Rev Req'!F198</f>
        <v>4152236</v>
      </c>
      <c r="F191" s="581">
        <f>E191</f>
        <v>4152236</v>
      </c>
      <c r="G191" s="232"/>
      <c r="H191" s="232"/>
      <c r="I191" s="232"/>
      <c r="J191" s="232"/>
      <c r="K191" s="1854"/>
      <c r="L191" s="230"/>
      <c r="M191" s="230"/>
      <c r="N191" s="230"/>
      <c r="P191" s="230"/>
      <c r="Q191" s="233"/>
    </row>
    <row r="192" spans="1:17">
      <c r="A192" s="307">
        <f>A191+1</f>
        <v>8</v>
      </c>
      <c r="B192" s="376"/>
      <c r="C192" s="297" t="s">
        <v>1510</v>
      </c>
      <c r="D192" s="1420" t="str">
        <f>"(Act. Gross Rev Req, p.4, line "&amp;'Actual Gross Rev Req'!B199&amp;")"</f>
        <v>(Act. Gross Rev Req, p.4, line 8)</v>
      </c>
      <c r="E192" s="276">
        <f>+'Actual Gross Rev Req'!F199</f>
        <v>1727732</v>
      </c>
      <c r="F192" s="581">
        <f>E192</f>
        <v>1727732</v>
      </c>
      <c r="G192" s="232"/>
      <c r="H192" s="232"/>
      <c r="I192" s="232"/>
      <c r="J192" s="232"/>
      <c r="K192" s="1854"/>
      <c r="L192" s="230"/>
      <c r="M192" s="230"/>
      <c r="N192" s="230"/>
      <c r="P192" s="230"/>
      <c r="Q192" s="233"/>
    </row>
    <row r="193" spans="1:17">
      <c r="A193" s="307">
        <f>A192+1</f>
        <v>9</v>
      </c>
      <c r="B193" s="376"/>
      <c r="C193" s="297" t="s">
        <v>1569</v>
      </c>
      <c r="D193" s="1420" t="str">
        <f>"(Act. Gross Rev Req, p.4, line "&amp;'Actual Gross Rev Req'!B200&amp;")"</f>
        <v>(Act. Gross Rev Req, p.4, line 9)</v>
      </c>
      <c r="E193" s="276">
        <f>+'Actual Gross Rev Req'!F200</f>
        <v>0</v>
      </c>
      <c r="F193" s="581">
        <f>E193</f>
        <v>0</v>
      </c>
      <c r="G193" s="232"/>
      <c r="H193" s="232"/>
      <c r="I193" s="232"/>
      <c r="J193" s="232"/>
      <c r="K193" s="1854"/>
      <c r="L193" s="230"/>
      <c r="M193" s="230"/>
      <c r="N193" s="230"/>
      <c r="P193" s="230"/>
      <c r="Q193" s="233"/>
    </row>
    <row r="194" spans="1:17" ht="15.75" thickBot="1">
      <c r="A194" s="307">
        <f>A193+1</f>
        <v>10</v>
      </c>
      <c r="B194" s="376"/>
      <c r="C194" s="297" t="s">
        <v>1458</v>
      </c>
      <c r="D194" s="1859" t="str">
        <f>"(Act. Gross Rev Req, p.4, line "&amp;'Actual Gross Rev Req'!B201&amp;")"</f>
        <v>(Act. Gross Rev Req, p.4, line 10)</v>
      </c>
      <c r="E194" s="243">
        <f>+'Actual Gross Rev Req'!F201</f>
        <v>0</v>
      </c>
      <c r="F194" s="1089">
        <f>E194</f>
        <v>0</v>
      </c>
      <c r="G194" s="390"/>
      <c r="H194" s="232"/>
      <c r="I194" s="232"/>
      <c r="J194" s="232"/>
      <c r="K194" s="1854"/>
      <c r="L194" s="230"/>
      <c r="M194" s="230"/>
      <c r="N194" s="230"/>
      <c r="P194" s="230"/>
      <c r="Q194" s="233"/>
    </row>
    <row r="195" spans="1:17">
      <c r="A195" s="307">
        <f>A194+1</f>
        <v>11</v>
      </c>
      <c r="B195" s="376"/>
      <c r="C195" s="1033" t="s">
        <v>1025</v>
      </c>
      <c r="D195" s="1020" t="str">
        <f>"(Sum Line "&amp;A190&amp;" to "&amp;A192&amp;", less "&amp;A193&amp;" &amp; "&amp;A194&amp;")"</f>
        <v>(Sum Line 6 to 8, less 9 &amp; 10)</v>
      </c>
      <c r="E195" s="235">
        <f>SUM(E190:E192)-E193-E194</f>
        <v>235402458</v>
      </c>
      <c r="F195" s="235">
        <f>SUM(F190:F192)-F193-F194</f>
        <v>235402458</v>
      </c>
      <c r="G195" s="232"/>
      <c r="H195" s="232"/>
      <c r="I195" s="259"/>
      <c r="J195" s="232"/>
      <c r="K195" s="260">
        <f>F195</f>
        <v>235402458</v>
      </c>
      <c r="L195" s="230"/>
      <c r="M195" s="230"/>
      <c r="N195" s="230"/>
      <c r="P195" s="230"/>
      <c r="Q195" s="233"/>
    </row>
    <row r="196" spans="1:17">
      <c r="A196" s="307"/>
      <c r="B196" s="229"/>
      <c r="C196" s="245"/>
      <c r="D196" s="1033"/>
      <c r="E196" s="232"/>
      <c r="F196" s="232"/>
      <c r="G196" s="232"/>
      <c r="H196" s="232"/>
      <c r="I196" s="232"/>
      <c r="J196" s="232"/>
      <c r="K196" s="232"/>
      <c r="L196" s="230"/>
      <c r="M196" s="230"/>
      <c r="N196" s="230"/>
      <c r="P196" s="230"/>
      <c r="Q196" s="233"/>
    </row>
    <row r="197" spans="1:17" ht="15.75">
      <c r="A197" s="307">
        <f>A195+1</f>
        <v>12</v>
      </c>
      <c r="B197" s="376"/>
      <c r="C197" s="1860" t="s">
        <v>959</v>
      </c>
      <c r="D197" s="1420" t="str">
        <f>"(Act. Gross Rev Req, p.4, line "&amp;'Actual Gross Rev Req'!B204&amp;")"</f>
        <v>(Act. Gross Rev Req, p.4, line 12)</v>
      </c>
      <c r="E197" s="760">
        <f>'Actual Gross Rev Req'!F204</f>
        <v>1646000</v>
      </c>
      <c r="F197" s="761">
        <f>E197</f>
        <v>1646000</v>
      </c>
      <c r="G197" s="579"/>
      <c r="H197" s="579"/>
      <c r="I197" s="579"/>
      <c r="J197" s="579"/>
      <c r="K197" s="761">
        <f>F197</f>
        <v>1646000</v>
      </c>
      <c r="L197" s="230"/>
      <c r="M197" s="230"/>
      <c r="N197" s="230"/>
      <c r="P197" s="230"/>
      <c r="Q197" s="233"/>
    </row>
    <row r="198" spans="1:17">
      <c r="A198" s="307"/>
      <c r="B198" s="376"/>
      <c r="C198" s="297"/>
      <c r="D198" s="232"/>
      <c r="E198" s="232"/>
      <c r="F198" s="232"/>
      <c r="G198" s="232"/>
      <c r="H198" s="232"/>
      <c r="I198" s="232"/>
      <c r="J198" s="232"/>
      <c r="K198" s="232"/>
      <c r="L198" s="230"/>
      <c r="M198" s="230"/>
      <c r="N198" s="230"/>
      <c r="P198" s="230"/>
      <c r="Q198" s="233"/>
    </row>
    <row r="199" spans="1:17" ht="15.75">
      <c r="A199" s="307"/>
      <c r="B199" s="376"/>
      <c r="C199" s="57" t="s">
        <v>1254</v>
      </c>
      <c r="D199" s="232"/>
      <c r="E199" s="232"/>
      <c r="F199" s="232"/>
      <c r="G199" s="232"/>
      <c r="H199" s="232"/>
      <c r="I199" s="232"/>
      <c r="J199" s="232"/>
      <c r="K199" s="232"/>
      <c r="L199" s="230"/>
      <c r="M199" s="230"/>
      <c r="N199" s="230"/>
      <c r="P199" s="230"/>
      <c r="Q199" s="233"/>
    </row>
    <row r="200" spans="1:17">
      <c r="A200" s="307">
        <f>A197+1</f>
        <v>13</v>
      </c>
      <c r="B200" s="376"/>
      <c r="C200" s="1033" t="s">
        <v>1115</v>
      </c>
      <c r="D200" s="1420" t="str">
        <f>"(Act. Gross Rev Req, p.4, line "&amp;'Actual Gross Rev Req'!B207&amp;")"</f>
        <v>(Act. Gross Rev Req, p.4, line 13)</v>
      </c>
      <c r="E200" s="235">
        <f>'Actual Gross Rev Req'!F207</f>
        <v>3198666507</v>
      </c>
      <c r="F200" s="235">
        <f>+E200</f>
        <v>3198666507</v>
      </c>
      <c r="G200" s="232"/>
      <c r="H200" s="232"/>
      <c r="I200" s="232"/>
      <c r="J200" s="232"/>
      <c r="K200" s="235">
        <f>F200</f>
        <v>3198666507</v>
      </c>
      <c r="L200" s="230"/>
      <c r="M200" s="230"/>
      <c r="N200" s="230"/>
      <c r="P200" s="230"/>
      <c r="Q200" s="233"/>
    </row>
    <row r="201" spans="1:17">
      <c r="A201" s="307">
        <f>A200+1</f>
        <v>14</v>
      </c>
      <c r="B201" s="376"/>
      <c r="C201" s="1033" t="s">
        <v>1116</v>
      </c>
      <c r="D201" s="1420" t="str">
        <f>"(Act. Gross Rev Req, p.4, line "&amp;'Actual Gross Rev Req'!B208&amp;")"</f>
        <v>(Act. Gross Rev Req, p.4, line 14)</v>
      </c>
      <c r="E201" s="276">
        <f>'Actual Gross Rev Req'!F208</f>
        <v>39000000</v>
      </c>
      <c r="F201" s="276">
        <f>E201</f>
        <v>39000000</v>
      </c>
      <c r="G201" s="232"/>
      <c r="H201" s="232"/>
      <c r="I201" s="232"/>
      <c r="J201" s="232"/>
      <c r="K201" s="261">
        <f>F208</f>
        <v>39000000</v>
      </c>
      <c r="L201" s="230"/>
      <c r="M201" s="230"/>
      <c r="N201" s="230"/>
      <c r="P201" s="230"/>
      <c r="Q201" s="233"/>
    </row>
    <row r="202" spans="1:17">
      <c r="A202" s="307">
        <f>A201+1</f>
        <v>15</v>
      </c>
      <c r="B202" s="376"/>
      <c r="C202" s="232" t="s">
        <v>1703</v>
      </c>
      <c r="D202" s="1420" t="str">
        <f>"(Act. Gross Rev Req, p.4, line "&amp;'Actual Gross Rev Req'!B209&amp;")"</f>
        <v>(Act. Gross Rev Req, p.4, line 15)</v>
      </c>
      <c r="E202" s="276">
        <f>'Actual Gross Rev Req'!F209</f>
        <v>301298</v>
      </c>
      <c r="F202" s="276">
        <f>E202</f>
        <v>301298</v>
      </c>
      <c r="G202" s="232"/>
      <c r="H202" s="232"/>
      <c r="I202" s="232"/>
      <c r="J202" s="232"/>
      <c r="K202" s="261">
        <f>F202</f>
        <v>301298</v>
      </c>
      <c r="L202" s="230"/>
      <c r="M202" s="230"/>
      <c r="N202" s="230"/>
      <c r="P202" s="230"/>
      <c r="Q202" s="233"/>
    </row>
    <row r="203" spans="1:17" ht="15.75" thickBot="1">
      <c r="A203" s="307">
        <f>A202+1</f>
        <v>16</v>
      </c>
      <c r="B203" s="376"/>
      <c r="C203" s="1033" t="s">
        <v>1117</v>
      </c>
      <c r="D203" s="1420" t="str">
        <f>"(Act. Gross Rev Req, p.4, line "&amp;'Actual Gross Rev Req'!B210&amp;")"</f>
        <v>(Act. Gross Rev Req, p.4, line 16)</v>
      </c>
      <c r="E203" s="243">
        <f>'Actual Gross Rev Req'!F210</f>
        <v>-43571746</v>
      </c>
      <c r="F203" s="243">
        <f>E203</f>
        <v>-43571746</v>
      </c>
      <c r="G203" s="232"/>
      <c r="H203" s="232"/>
      <c r="I203" s="232"/>
      <c r="J203" s="232"/>
      <c r="K203" s="243">
        <f>+'Actual Gross Rev Req'!M210</f>
        <v>-43571746</v>
      </c>
      <c r="L203" s="230"/>
      <c r="M203" s="230"/>
      <c r="N203" s="230"/>
      <c r="P203" s="230"/>
      <c r="Q203" s="233"/>
    </row>
    <row r="204" spans="1:17">
      <c r="A204" s="307">
        <f>A203+1</f>
        <v>17</v>
      </c>
      <c r="B204" s="376"/>
      <c r="C204" s="1033" t="s">
        <v>950</v>
      </c>
      <c r="D204" s="1020" t="str">
        <f>" ( Sum Line "&amp;A200&amp;" Less  "&amp;A201&amp;", "&amp;A202&amp;" &amp; "&amp;A203&amp;")"</f>
        <v xml:space="preserve"> ( Sum Line 13 Less  14, 15 &amp; 16)</v>
      </c>
      <c r="E204" s="973">
        <f>E200-(SUM(E201:E203))</f>
        <v>3202936955</v>
      </c>
      <c r="F204" s="973">
        <f>F200-(SUM(F201:F203))</f>
        <v>3202936955</v>
      </c>
      <c r="G204" s="376"/>
      <c r="H204" s="376"/>
      <c r="I204" s="376"/>
      <c r="J204" s="376"/>
      <c r="K204" s="973">
        <f>K200-(SUM(K201:K203))</f>
        <v>3202936955</v>
      </c>
      <c r="L204" s="230"/>
      <c r="M204" s="230"/>
      <c r="N204" s="230"/>
      <c r="P204" s="230"/>
      <c r="Q204" s="233"/>
    </row>
    <row r="205" spans="1:17">
      <c r="A205" s="307"/>
      <c r="B205" s="229"/>
      <c r="C205" s="245"/>
      <c r="D205" s="232"/>
      <c r="E205" s="232"/>
      <c r="F205" s="232"/>
      <c r="G205" s="232"/>
      <c r="H205" s="232"/>
      <c r="I205" s="385" t="s">
        <v>980</v>
      </c>
      <c r="J205" s="232"/>
      <c r="K205" s="232"/>
      <c r="L205" s="230"/>
      <c r="M205" s="381"/>
      <c r="N205" s="230"/>
      <c r="P205" s="230"/>
      <c r="Q205" s="233"/>
    </row>
    <row r="206" spans="1:17" ht="16.5" thickBot="1">
      <c r="A206" s="307"/>
      <c r="B206" s="229"/>
      <c r="C206" s="245"/>
      <c r="D206" s="584"/>
      <c r="E206" s="160" t="str">
        <f>E174</f>
        <v>KCP&amp;L</v>
      </c>
      <c r="F206" s="160" t="str">
        <f>F174</f>
        <v>KCP&amp;L Total</v>
      </c>
      <c r="G206" s="582" t="s">
        <v>981</v>
      </c>
      <c r="H206" s="232"/>
      <c r="I206" s="582" t="s">
        <v>1508</v>
      </c>
      <c r="J206" s="232"/>
      <c r="K206" s="582" t="s">
        <v>982</v>
      </c>
      <c r="L206" s="230"/>
      <c r="M206" s="1110"/>
      <c r="N206" s="230"/>
      <c r="P206" s="230"/>
      <c r="Q206" s="233"/>
    </row>
    <row r="207" spans="1:17">
      <c r="A207" s="307">
        <f>A204+1</f>
        <v>18</v>
      </c>
      <c r="B207" s="376"/>
      <c r="C207" s="297" t="s">
        <v>335</v>
      </c>
      <c r="D207" s="1420" t="str">
        <f>"(Act. Gross Rev Req, p.4, line "&amp;'Actual Gross Rev Req'!B214&amp;")"</f>
        <v>(Act. Gross Rev Req, p.4, line 18)</v>
      </c>
      <c r="E207" s="260">
        <f>'Actual Gross Rev Req'!F214</f>
        <v>3289173263</v>
      </c>
      <c r="F207" s="260">
        <f>SUM(E207:E207)</f>
        <v>3289173263</v>
      </c>
      <c r="G207" s="265">
        <f>IF($F$210&gt;0,F207/$F$210,0)</f>
        <v>0.50361625408416899</v>
      </c>
      <c r="H207" s="266"/>
      <c r="I207" s="267">
        <f>IF(F207&gt;0,K195/F207,0)</f>
        <v>7.1568883478425618E-2</v>
      </c>
      <c r="J207" s="1861" t="s">
        <v>1001</v>
      </c>
      <c r="K207" s="266">
        <f>I207*G207</f>
        <v>3.6043253006391079E-2</v>
      </c>
      <c r="M207" s="1110"/>
      <c r="N207" s="230"/>
      <c r="P207" s="230"/>
      <c r="Q207" s="233"/>
    </row>
    <row r="208" spans="1:17">
      <c r="A208" s="307">
        <f>A207+1</f>
        <v>19</v>
      </c>
      <c r="B208" s="376"/>
      <c r="C208" s="297" t="s">
        <v>336</v>
      </c>
      <c r="D208" s="1420" t="str">
        <f>"(Act. Gross Rev Req, p.4, line "&amp;'Actual Gross Rev Req'!B215&amp;")"</f>
        <v>(Act. Gross Rev Req, p.4, line 19)</v>
      </c>
      <c r="E208" s="276">
        <f>+'Actual Gross Rev Req'!F215</f>
        <v>39000000</v>
      </c>
      <c r="F208" s="276">
        <f>+E208</f>
        <v>39000000</v>
      </c>
      <c r="G208" s="271">
        <f>IF($F$210&gt;0,F208/$F$210,0)</f>
        <v>5.9714196665238391E-3</v>
      </c>
      <c r="H208" s="266"/>
      <c r="I208" s="267">
        <f>IF(F208&gt;0,K197/F208,0)</f>
        <v>4.2205128205128208E-2</v>
      </c>
      <c r="J208" s="1862"/>
      <c r="K208" s="266">
        <f>I208*G208</f>
        <v>2.5202453259226255E-4</v>
      </c>
      <c r="L208" s="230"/>
      <c r="M208" s="1111"/>
      <c r="N208" s="230"/>
      <c r="P208" s="230"/>
      <c r="Q208" s="233"/>
    </row>
    <row r="209" spans="1:17" ht="15.75" thickBot="1">
      <c r="A209" s="307">
        <f>A208+1</f>
        <v>20</v>
      </c>
      <c r="B209" s="376"/>
      <c r="C209" s="297" t="s">
        <v>1041</v>
      </c>
      <c r="D209" s="1020" t="str">
        <f>"( Page 4, Line "&amp;A204&amp;")"</f>
        <v>( Page 4, Line 17)</v>
      </c>
      <c r="E209" s="243">
        <f>+K204</f>
        <v>3202936955</v>
      </c>
      <c r="F209" s="243">
        <f>+E209</f>
        <v>3202936955</v>
      </c>
      <c r="G209" s="274">
        <f>IF($F$210&gt;0,F209/$F$210,0)</f>
        <v>0.4904123262493072</v>
      </c>
      <c r="H209" s="266"/>
      <c r="I209" s="1863">
        <v>0.111</v>
      </c>
      <c r="J209" s="1862"/>
      <c r="K209" s="1864">
        <f>I209*G209</f>
        <v>5.4435768213673102E-2</v>
      </c>
      <c r="L209" s="230"/>
      <c r="M209" s="1110"/>
      <c r="N209" s="230"/>
      <c r="P209" s="230"/>
      <c r="Q209" s="233"/>
    </row>
    <row r="210" spans="1:17">
      <c r="A210" s="307">
        <f>A209+1</f>
        <v>21</v>
      </c>
      <c r="B210" s="376"/>
      <c r="C210" s="245" t="s">
        <v>1042</v>
      </c>
      <c r="D210" s="1020" t="str">
        <f>"(Sum Line "&amp;A207&amp;" thru Line "&amp;A209&amp;")"</f>
        <v>(Sum Line 18 thru Line 20)</v>
      </c>
      <c r="E210" s="235">
        <f>E209+E208+E207</f>
        <v>6531110218</v>
      </c>
      <c r="F210" s="235">
        <f>F209+F208+F207</f>
        <v>6531110218</v>
      </c>
      <c r="G210" s="265">
        <f>SUM(G207:G209)</f>
        <v>1</v>
      </c>
      <c r="H210" s="232"/>
      <c r="I210" s="232"/>
      <c r="J210" s="1865" t="s">
        <v>1000</v>
      </c>
      <c r="K210" s="313">
        <f>SUM(K207:K209)</f>
        <v>9.0731045752656447E-2</v>
      </c>
      <c r="M210" s="1110"/>
      <c r="N210" s="230"/>
      <c r="P210" s="230"/>
      <c r="Q210" s="233"/>
    </row>
    <row r="211" spans="1:17">
      <c r="A211" s="307"/>
      <c r="B211" s="229"/>
      <c r="C211" s="245"/>
      <c r="D211" s="22"/>
      <c r="E211" s="229"/>
      <c r="F211" s="232"/>
      <c r="G211" s="232"/>
      <c r="H211" s="232"/>
      <c r="I211" s="232"/>
      <c r="J211" s="232"/>
      <c r="K211" s="266"/>
      <c r="L211" s="269"/>
      <c r="M211" s="425"/>
      <c r="N211" s="230"/>
      <c r="P211" s="230"/>
      <c r="Q211" s="233"/>
    </row>
    <row r="212" spans="1:17" ht="15.75">
      <c r="A212" s="59"/>
      <c r="B212" s="22"/>
      <c r="C212" s="950" t="s">
        <v>324</v>
      </c>
      <c r="D212" s="22"/>
      <c r="E212" s="22"/>
      <c r="F212" s="15"/>
      <c r="G212" s="15"/>
      <c r="H212" s="15"/>
      <c r="I212" s="15"/>
      <c r="J212" s="15"/>
      <c r="K212" s="967"/>
      <c r="L212" s="269"/>
      <c r="N212" s="230"/>
      <c r="P212" s="230"/>
      <c r="Q212" s="233"/>
    </row>
    <row r="213" spans="1:17" ht="15.75">
      <c r="A213" s="59"/>
      <c r="B213" s="22"/>
      <c r="C213" s="23" t="s">
        <v>1149</v>
      </c>
      <c r="D213" s="22"/>
      <c r="E213" s="22"/>
      <c r="F213" s="15"/>
      <c r="G213" s="15"/>
      <c r="H213" s="15"/>
      <c r="I213" s="15"/>
      <c r="J213" s="15"/>
      <c r="K213" s="967"/>
      <c r="L213" s="269"/>
      <c r="N213" s="230"/>
      <c r="P213" s="230"/>
      <c r="Q213" s="233"/>
    </row>
    <row r="214" spans="1:17">
      <c r="A214" s="59">
        <f>A210+1</f>
        <v>22</v>
      </c>
      <c r="B214" s="22"/>
      <c r="C214" s="24" t="s">
        <v>344</v>
      </c>
      <c r="D214" s="1020" t="str">
        <f>"(Wksht P-1, Page 1, Line "&amp;'P-1 (Trans Plant)'!A44&amp;")"</f>
        <v>(Wksht P-1, Page 1, Line 34)</v>
      </c>
      <c r="E214" s="973">
        <f>'P-1 (Trans Plant)'!D44</f>
        <v>0</v>
      </c>
      <c r="F214" s="762">
        <f>E214</f>
        <v>0</v>
      </c>
      <c r="G214" s="15"/>
      <c r="H214" s="15"/>
      <c r="I214" s="15"/>
      <c r="J214" s="15"/>
      <c r="K214" s="967"/>
      <c r="L214" s="269"/>
      <c r="N214" s="230"/>
      <c r="P214" s="230"/>
      <c r="Q214" s="233"/>
    </row>
    <row r="215" spans="1:17">
      <c r="A215" s="59">
        <f>A214+1</f>
        <v>23</v>
      </c>
      <c r="B215" s="22"/>
      <c r="C215" s="24" t="s">
        <v>345</v>
      </c>
      <c r="D215" s="1020" t="str">
        <f>"(Wksht P-1, Page 1, Line "&amp;'P-1 (Trans Plant)'!A44&amp;")"</f>
        <v>(Wksht P-1, Page 1, Line 34)</v>
      </c>
      <c r="E215" s="938">
        <f>'P-1 (Trans Plant)'!F44</f>
        <v>0</v>
      </c>
      <c r="F215" s="661">
        <f>E215</f>
        <v>0</v>
      </c>
      <c r="G215" s="15"/>
      <c r="H215" s="15"/>
      <c r="I215" s="15"/>
      <c r="J215" s="15"/>
      <c r="K215" s="967"/>
      <c r="L215" s="269"/>
      <c r="N215" s="230"/>
      <c r="P215" s="230"/>
      <c r="Q215" s="233"/>
    </row>
    <row r="216" spans="1:17">
      <c r="A216" s="59">
        <f>A215+1</f>
        <v>24</v>
      </c>
      <c r="B216" s="22"/>
      <c r="C216" s="24" t="s">
        <v>346</v>
      </c>
      <c r="D216" s="1020" t="str">
        <f>"( Line "&amp;A214&amp;" less Line "&amp;A215&amp;")"</f>
        <v>( Line 22 less Line 23)</v>
      </c>
      <c r="E216" s="1035">
        <f>E214-E215</f>
        <v>0</v>
      </c>
      <c r="F216" s="1035">
        <f>F214-F215</f>
        <v>0</v>
      </c>
      <c r="G216" s="15"/>
      <c r="H216" s="15"/>
      <c r="I216" s="15"/>
      <c r="J216" s="15"/>
      <c r="K216" s="967"/>
      <c r="L216" s="269"/>
      <c r="N216" s="230"/>
      <c r="P216" s="230"/>
      <c r="Q216" s="233"/>
    </row>
    <row r="217" spans="1:17" ht="15.75" thickBot="1">
      <c r="A217" s="59">
        <f>A216+1</f>
        <v>25</v>
      </c>
      <c r="B217" s="22"/>
      <c r="C217" s="24" t="s">
        <v>347</v>
      </c>
      <c r="D217" s="1020" t="str">
        <f>"(Wsht P-1, Page 1, Line "&amp;'P-1 (Trans Plant)'!A47&amp;")"</f>
        <v>(Wsht P-1, Page 1, Line 37)</v>
      </c>
      <c r="E217" s="22"/>
      <c r="F217" s="15"/>
      <c r="G217" s="15"/>
      <c r="H217" s="15"/>
      <c r="I217" s="970">
        <f>'P-1 (Trans Plant)'!E47</f>
        <v>0</v>
      </c>
      <c r="J217" s="15"/>
      <c r="K217" s="229"/>
      <c r="L217" s="269"/>
      <c r="N217" s="230"/>
      <c r="P217" s="230"/>
      <c r="Q217" s="233"/>
    </row>
    <row r="218" spans="1:17">
      <c r="A218" s="59">
        <f>A217+1</f>
        <v>26</v>
      </c>
      <c r="B218" s="1250"/>
      <c r="C218" s="24" t="s">
        <v>937</v>
      </c>
      <c r="D218" s="1020" t="str">
        <f>"( Line "&amp;A217&amp;" times  page 2, line "&amp;A101&amp;")"</f>
        <v>( Line 25 times  page 2, line 19)</v>
      </c>
      <c r="E218" s="1250"/>
      <c r="F218" s="762">
        <f>I217*F101</f>
        <v>0</v>
      </c>
      <c r="G218" s="15"/>
      <c r="H218" s="15"/>
      <c r="I218" s="15"/>
      <c r="J218" s="15"/>
      <c r="K218" s="229"/>
      <c r="L218" s="269"/>
      <c r="N218" s="230"/>
      <c r="P218" s="230"/>
      <c r="Q218" s="233"/>
    </row>
    <row r="219" spans="1:17">
      <c r="A219" s="59"/>
      <c r="B219" s="1250"/>
      <c r="C219" s="24"/>
      <c r="D219" s="1250"/>
      <c r="E219" s="1250"/>
      <c r="F219" s="762"/>
      <c r="G219" s="15"/>
      <c r="H219" s="15"/>
      <c r="I219" s="15"/>
      <c r="J219" s="15"/>
      <c r="K219" s="229"/>
      <c r="L219" s="269"/>
      <c r="N219" s="230"/>
      <c r="P219" s="230"/>
      <c r="Q219" s="233"/>
    </row>
    <row r="220" spans="1:17" ht="15.75">
      <c r="A220" s="59"/>
      <c r="B220" s="22"/>
      <c r="C220" s="23" t="s">
        <v>1150</v>
      </c>
      <c r="D220" s="22"/>
      <c r="E220" s="22"/>
      <c r="F220" s="15"/>
      <c r="G220" s="15"/>
      <c r="H220" s="15"/>
      <c r="I220" s="15"/>
      <c r="J220" s="15"/>
      <c r="K220" s="229"/>
      <c r="L220" s="269"/>
      <c r="N220" s="230"/>
      <c r="P220" s="230"/>
      <c r="Q220" s="233"/>
    </row>
    <row r="221" spans="1:17">
      <c r="A221" s="59">
        <f>A218+1</f>
        <v>27</v>
      </c>
      <c r="B221" s="22"/>
      <c r="C221" s="24" t="s">
        <v>348</v>
      </c>
      <c r="D221" s="1020" t="str">
        <f>"(Page 1, Line "&amp;A38&amp;")"</f>
        <v>(Page 1, Line 17)</v>
      </c>
      <c r="E221" s="1035">
        <f>F38</f>
        <v>0</v>
      </c>
      <c r="F221" s="969">
        <f>E221</f>
        <v>0</v>
      </c>
      <c r="G221" s="15"/>
      <c r="H221" s="15"/>
      <c r="I221" s="70"/>
      <c r="J221" s="15"/>
      <c r="K221" s="229"/>
      <c r="L221" s="269"/>
      <c r="N221" s="230"/>
      <c r="P221" s="230"/>
      <c r="Q221" s="233"/>
    </row>
    <row r="222" spans="1:17" ht="15.75" thickBot="1">
      <c r="A222" s="59">
        <f>A221+1</f>
        <v>28</v>
      </c>
      <c r="B222" s="22"/>
      <c r="C222" s="24" t="s">
        <v>347</v>
      </c>
      <c r="D222" s="1020" t="str">
        <f>"(Wksht P-1, Page 1, Line "&amp;'P-1 (Trans Plant)'!A46&amp;")"</f>
        <v>(Wksht P-1, Page 1, Line 36)</v>
      </c>
      <c r="E222" s="22"/>
      <c r="F222" s="15"/>
      <c r="G222" s="15"/>
      <c r="H222" s="15"/>
      <c r="I222" s="970">
        <f>'P-1 (Trans Plant)'!E46</f>
        <v>0</v>
      </c>
      <c r="J222" s="15"/>
      <c r="K222" s="229"/>
      <c r="L222" s="269"/>
      <c r="N222" s="230"/>
      <c r="P222" s="230"/>
      <c r="Q222" s="233"/>
    </row>
    <row r="223" spans="1:17">
      <c r="A223" s="59"/>
      <c r="B223" s="22"/>
      <c r="C223" s="24"/>
      <c r="D223" s="22"/>
      <c r="E223" s="22"/>
      <c r="F223" s="15"/>
      <c r="G223" s="15"/>
      <c r="H223" s="15"/>
      <c r="I223" s="15"/>
      <c r="J223" s="15"/>
      <c r="K223" s="229"/>
      <c r="L223" s="269"/>
      <c r="N223" s="230"/>
      <c r="P223" s="230"/>
      <c r="Q223" s="233"/>
    </row>
    <row r="224" spans="1:17" ht="15.75">
      <c r="A224" s="59"/>
      <c r="B224" s="22"/>
      <c r="C224" s="23" t="s">
        <v>672</v>
      </c>
      <c r="D224" s="22"/>
      <c r="E224" s="22"/>
      <c r="F224" s="15"/>
      <c r="G224" s="15"/>
      <c r="H224" s="15"/>
      <c r="I224" s="15"/>
      <c r="J224" s="15"/>
      <c r="K224" s="229"/>
      <c r="L224" s="269"/>
      <c r="N224" s="230"/>
      <c r="P224" s="230"/>
      <c r="Q224" s="233"/>
    </row>
    <row r="225" spans="1:17">
      <c r="A225" s="59">
        <f>A222+1</f>
        <v>29</v>
      </c>
      <c r="B225" s="22"/>
      <c r="C225" s="24" t="s">
        <v>349</v>
      </c>
      <c r="D225" s="1020" t="str">
        <f>"(Page 1, Line "&amp;A36&amp;")"</f>
        <v>(Page 1, Line 15)</v>
      </c>
      <c r="E225" s="70">
        <f>F36</f>
        <v>0</v>
      </c>
      <c r="F225" s="15"/>
      <c r="G225" s="15"/>
      <c r="H225" s="15"/>
      <c r="I225" s="15"/>
      <c r="J225" s="15"/>
      <c r="K225" s="229"/>
      <c r="L225" s="269"/>
      <c r="N225" s="230"/>
      <c r="P225" s="230"/>
      <c r="Q225" s="233"/>
    </row>
    <row r="226" spans="1:17">
      <c r="A226" s="59">
        <f>A225+1</f>
        <v>30</v>
      </c>
      <c r="B226" s="22"/>
      <c r="C226" s="22" t="s">
        <v>350</v>
      </c>
      <c r="D226" s="1020" t="str">
        <f>"( Line "&amp;A210&amp;"  X  Line "&amp;A225&amp;" X (1 + EIT))"</f>
        <v>( Line 21  X  Line 29 X (1 + EIT))</v>
      </c>
      <c r="E226" s="22"/>
      <c r="F226" s="70">
        <f>E225*K210*(1+F102)</f>
        <v>0</v>
      </c>
      <c r="G226" s="229"/>
      <c r="H226" s="15"/>
      <c r="I226" s="15"/>
      <c r="J226" s="15"/>
      <c r="K226" s="229"/>
      <c r="L226" s="269"/>
      <c r="N226" s="230"/>
      <c r="P226" s="230"/>
      <c r="Q226" s="233"/>
    </row>
    <row r="227" spans="1:17">
      <c r="A227" s="59">
        <f>A226+1</f>
        <v>31</v>
      </c>
      <c r="B227" s="22"/>
      <c r="C227" s="24" t="s">
        <v>351</v>
      </c>
      <c r="D227" s="1020" t="str">
        <f>"(Page 2, Line "&amp;A87&amp;")"</f>
        <v>(Page 2, Line 11)</v>
      </c>
      <c r="E227" s="22"/>
      <c r="F227" s="837">
        <f>F87</f>
        <v>0</v>
      </c>
      <c r="G227" s="229"/>
      <c r="H227" s="15"/>
      <c r="I227" s="15"/>
      <c r="J227" s="15"/>
      <c r="K227" s="229"/>
      <c r="L227" s="269"/>
      <c r="N227" s="230"/>
      <c r="P227" s="230"/>
      <c r="Q227" s="233"/>
    </row>
    <row r="228" spans="1:17" ht="15.75" thickBot="1">
      <c r="A228" s="59">
        <f>A227+1</f>
        <v>32</v>
      </c>
      <c r="B228" s="22"/>
      <c r="C228" s="24" t="s">
        <v>352</v>
      </c>
      <c r="D228" s="1020" t="str">
        <f>"(Sum line "&amp;A226&amp;" thru line "&amp;A227&amp;")"</f>
        <v>(Sum line 30 thru line 31)</v>
      </c>
      <c r="E228" s="22"/>
      <c r="F228" s="15"/>
      <c r="G228" s="15"/>
      <c r="H228" s="15"/>
      <c r="I228" s="970">
        <f>F226+F227</f>
        <v>0</v>
      </c>
      <c r="J228" s="15"/>
      <c r="K228" s="229"/>
      <c r="L228" s="269"/>
      <c r="N228" s="230"/>
      <c r="P228" s="230"/>
      <c r="Q228" s="233"/>
    </row>
    <row r="229" spans="1:17" ht="16.5" thickBot="1">
      <c r="A229" s="59">
        <f>A228+1</f>
        <v>33</v>
      </c>
      <c r="B229" s="22"/>
      <c r="C229" s="23" t="s">
        <v>375</v>
      </c>
      <c r="D229" s="1020" t="str">
        <f>"(Sum line "&amp;A217&amp;" , "&amp;A222&amp;" &amp; "&amp;A228&amp;")"</f>
        <v>(Sum line 25 , 28 &amp; 32)</v>
      </c>
      <c r="E229" s="22"/>
      <c r="F229" s="15"/>
      <c r="G229" s="15"/>
      <c r="H229" s="15"/>
      <c r="I229" s="229"/>
      <c r="J229" s="15"/>
      <c r="K229" s="1034">
        <f>I217+I222+I228</f>
        <v>0</v>
      </c>
      <c r="L229" s="269"/>
      <c r="N229" s="230"/>
      <c r="P229" s="230"/>
      <c r="Q229" s="233"/>
    </row>
    <row r="230" spans="1:17">
      <c r="A230" s="971"/>
      <c r="B230" s="971"/>
      <c r="C230" s="972"/>
      <c r="D230" s="66"/>
      <c r="E230" s="113"/>
      <c r="F230" s="66"/>
      <c r="G230" s="113"/>
      <c r="H230" s="829"/>
      <c r="I230" s="829"/>
      <c r="J230" s="829"/>
      <c r="K230" s="22"/>
      <c r="L230" s="269"/>
      <c r="N230" s="230"/>
      <c r="P230" s="230"/>
      <c r="Q230" s="233"/>
    </row>
    <row r="231" spans="1:17" ht="16.5" thickBot="1">
      <c r="A231" s="307"/>
      <c r="B231" s="229"/>
      <c r="C231" s="23" t="s">
        <v>353</v>
      </c>
      <c r="D231" s="229"/>
      <c r="E231" s="161" t="s">
        <v>1045</v>
      </c>
      <c r="F231" s="161" t="s">
        <v>1155</v>
      </c>
      <c r="G231" s="161" t="s">
        <v>265</v>
      </c>
      <c r="H231" s="232"/>
      <c r="I231" s="232"/>
      <c r="J231" s="232"/>
      <c r="K231" s="229"/>
      <c r="L231" s="269"/>
      <c r="N231" s="230"/>
      <c r="P231" s="230"/>
      <c r="Q231" s="233"/>
    </row>
    <row r="232" spans="1:17">
      <c r="A232" s="59">
        <f>A229+1</f>
        <v>34</v>
      </c>
      <c r="B232" s="59"/>
      <c r="C232" s="24" t="s">
        <v>354</v>
      </c>
      <c r="D232" s="22" t="s">
        <v>415</v>
      </c>
      <c r="E232" s="68">
        <v>0</v>
      </c>
      <c r="F232" s="68">
        <v>0</v>
      </c>
      <c r="G232" s="68">
        <f>E232-F232</f>
        <v>0</v>
      </c>
      <c r="H232" s="232"/>
      <c r="I232" s="232"/>
      <c r="J232" s="232"/>
      <c r="K232" s="229"/>
      <c r="L232" s="269"/>
      <c r="N232" s="230"/>
      <c r="P232" s="230"/>
      <c r="Q232" s="233"/>
    </row>
    <row r="233" spans="1:17">
      <c r="A233" s="59">
        <f>A232+1</f>
        <v>35</v>
      </c>
      <c r="B233" s="59"/>
      <c r="C233" s="24" t="s">
        <v>963</v>
      </c>
      <c r="D233" s="22" t="s">
        <v>415</v>
      </c>
      <c r="E233" s="68">
        <v>0</v>
      </c>
      <c r="F233" s="68">
        <v>0</v>
      </c>
      <c r="G233" s="68">
        <f>E233-F233</f>
        <v>0</v>
      </c>
      <c r="H233" s="232"/>
      <c r="I233" s="232"/>
      <c r="J233" s="232"/>
      <c r="K233" s="229"/>
      <c r="L233" s="269"/>
      <c r="N233" s="230"/>
      <c r="P233" s="230"/>
      <c r="Q233" s="233"/>
    </row>
    <row r="234" spans="1:17">
      <c r="A234" s="59">
        <f>A233+1</f>
        <v>36</v>
      </c>
      <c r="B234" s="59"/>
      <c r="C234" s="24" t="s">
        <v>1326</v>
      </c>
      <c r="D234" s="22" t="s">
        <v>415</v>
      </c>
      <c r="E234" s="68">
        <v>0</v>
      </c>
      <c r="F234" s="68">
        <v>0</v>
      </c>
      <c r="G234" s="68">
        <f>E234-F234</f>
        <v>0</v>
      </c>
      <c r="H234" s="232"/>
      <c r="I234" s="232"/>
      <c r="J234" s="232"/>
      <c r="K234" s="229"/>
      <c r="L234" s="269"/>
      <c r="N234" s="230"/>
      <c r="P234" s="230"/>
      <c r="Q234" s="233"/>
    </row>
    <row r="235" spans="1:17">
      <c r="A235" s="59">
        <f>A234+1</f>
        <v>37</v>
      </c>
      <c r="B235" s="59"/>
      <c r="C235" s="24" t="s">
        <v>1327</v>
      </c>
      <c r="D235" s="22" t="s">
        <v>415</v>
      </c>
      <c r="E235" s="68">
        <v>0</v>
      </c>
      <c r="F235" s="68">
        <v>0</v>
      </c>
      <c r="G235" s="68">
        <f>E235-F235</f>
        <v>0</v>
      </c>
      <c r="H235" s="232"/>
      <c r="I235" s="232"/>
      <c r="J235" s="232"/>
      <c r="K235" s="229"/>
      <c r="L235" s="269"/>
      <c r="N235" s="230"/>
      <c r="P235" s="230"/>
      <c r="Q235" s="233"/>
    </row>
    <row r="236" spans="1:17" ht="15.75" thickBot="1">
      <c r="A236" s="59">
        <f>A235+1</f>
        <v>38</v>
      </c>
      <c r="B236" s="59"/>
      <c r="C236" s="24" t="s">
        <v>848</v>
      </c>
      <c r="D236" s="22" t="s">
        <v>415</v>
      </c>
      <c r="E236" s="506">
        <v>0</v>
      </c>
      <c r="F236" s="506">
        <v>0</v>
      </c>
      <c r="G236" s="506">
        <f>E236-F236</f>
        <v>0</v>
      </c>
      <c r="H236" s="232"/>
      <c r="I236" s="232"/>
      <c r="J236" s="232"/>
      <c r="K236" s="229"/>
      <c r="L236" s="269"/>
      <c r="N236" s="230"/>
      <c r="P236" s="230"/>
      <c r="Q236" s="233"/>
    </row>
    <row r="237" spans="1:17">
      <c r="A237" s="59">
        <f>A236+1</f>
        <v>39</v>
      </c>
      <c r="B237" s="59"/>
      <c r="C237" s="24" t="s">
        <v>651</v>
      </c>
      <c r="D237" s="1020" t="str">
        <f>" (sum Line "&amp;A232&amp;" to Line "&amp;A236&amp;")"</f>
        <v xml:space="preserve"> (sum Line 34 to Line 38)</v>
      </c>
      <c r="E237" s="1092">
        <f>SUM(E232:E236)</f>
        <v>0</v>
      </c>
      <c r="F237" s="1092">
        <f>SUM(F232:F236)</f>
        <v>0</v>
      </c>
      <c r="G237" s="1092">
        <f>SUM(G232:G236)</f>
        <v>0</v>
      </c>
      <c r="H237" s="232"/>
      <c r="I237" s="232"/>
      <c r="J237" s="232"/>
      <c r="K237" s="229"/>
      <c r="L237" s="269"/>
      <c r="N237" s="230"/>
      <c r="P237" s="230"/>
      <c r="Q237" s="233"/>
    </row>
    <row r="238" spans="1:17">
      <c r="A238" s="307"/>
      <c r="B238" s="307"/>
      <c r="C238" s="1866" t="s">
        <v>1008</v>
      </c>
      <c r="D238" s="1250"/>
      <c r="E238" s="1250"/>
      <c r="F238" s="15"/>
      <c r="G238" s="15"/>
      <c r="H238" s="232"/>
      <c r="I238" s="232"/>
      <c r="J238" s="232"/>
      <c r="K238" s="266"/>
      <c r="L238" s="269"/>
      <c r="N238" s="262"/>
      <c r="O238" s="576"/>
      <c r="P238" s="238"/>
      <c r="Q238" s="233"/>
    </row>
    <row r="239" spans="1:17" ht="16.5" thickBot="1">
      <c r="A239" s="307">
        <f>A237+1</f>
        <v>40</v>
      </c>
      <c r="B239" s="307"/>
      <c r="C239" s="23" t="s">
        <v>734</v>
      </c>
      <c r="D239" s="1020" t="str">
        <f>"(Wksht P-1, Page 1, Line "&amp;'P-1 (Trans Plant)'!A47&amp;")"</f>
        <v>(Wksht P-1, Page 1, Line 37)</v>
      </c>
      <c r="E239" s="229"/>
      <c r="F239" s="229"/>
      <c r="G239" s="232"/>
      <c r="H239" s="232"/>
      <c r="I239" s="229"/>
      <c r="J239" s="232"/>
      <c r="K239" s="300">
        <f>'P-1 (Trans Plant)'!E47</f>
        <v>0</v>
      </c>
      <c r="L239" s="269"/>
      <c r="N239" s="262"/>
      <c r="O239" s="576"/>
      <c r="P239" s="238"/>
      <c r="Q239" s="238"/>
    </row>
    <row r="240" spans="1:17" ht="15.75">
      <c r="A240" s="292"/>
      <c r="B240" s="376"/>
      <c r="C240" s="391"/>
      <c r="D240" s="2161" t="str">
        <f>+D1</f>
        <v xml:space="preserve">     Rate Formula Template</v>
      </c>
      <c r="E240" s="2161"/>
      <c r="F240" s="2154"/>
      <c r="G240" s="2154"/>
      <c r="H240" s="230"/>
      <c r="K240" s="1098"/>
      <c r="N240" s="262"/>
      <c r="O240" s="576"/>
      <c r="P240" s="238"/>
      <c r="Q240" s="238"/>
    </row>
    <row r="241" spans="1:17" ht="15.75">
      <c r="A241" s="292"/>
      <c r="B241" s="262"/>
      <c r="C241" s="391"/>
      <c r="D241" s="2161" t="str">
        <f>+D2</f>
        <v xml:space="preserve"> Utilizing FERC Form 1 Data</v>
      </c>
      <c r="E241" s="2161"/>
      <c r="F241" s="2154"/>
      <c r="G241" s="2154"/>
      <c r="H241" s="230"/>
      <c r="I241" s="230"/>
      <c r="J241" s="2193" t="s">
        <v>204</v>
      </c>
      <c r="K241" s="2193"/>
      <c r="N241" s="262"/>
      <c r="O241" s="576"/>
      <c r="P241" s="238"/>
      <c r="Q241" s="238"/>
    </row>
    <row r="242" spans="1:17">
      <c r="A242" s="292"/>
      <c r="B242" s="262"/>
      <c r="C242" s="391"/>
      <c r="D242" s="2161" t="str">
        <f>+D3</f>
        <v>Projected Gross Revenue Requirements</v>
      </c>
      <c r="E242" s="2161"/>
      <c r="F242" s="2154"/>
      <c r="G242" s="2154"/>
      <c r="H242" s="230"/>
      <c r="I242" s="230"/>
      <c r="L242" s="392"/>
      <c r="M242" s="393"/>
      <c r="N242" s="262"/>
      <c r="O242" s="576"/>
      <c r="P242" s="238"/>
      <c r="Q242" s="238"/>
    </row>
    <row r="243" spans="1:17">
      <c r="A243" s="292"/>
      <c r="B243" s="262"/>
      <c r="C243" s="391"/>
      <c r="D243" s="2161" t="str">
        <f>+D4</f>
        <v>For the 12 months ended - December 31, 2014</v>
      </c>
      <c r="E243" s="2161"/>
      <c r="F243" s="2154"/>
      <c r="G243" s="2154"/>
      <c r="H243" s="230"/>
      <c r="I243" s="230"/>
      <c r="J243" s="392"/>
      <c r="K243" s="304" t="str">
        <f>K$5</f>
        <v>Projected</v>
      </c>
      <c r="L243" s="392"/>
      <c r="N243" s="262"/>
      <c r="O243" s="576"/>
      <c r="P243" s="238"/>
      <c r="Q243" s="238"/>
    </row>
    <row r="244" spans="1:17">
      <c r="A244" s="292"/>
      <c r="B244" s="262"/>
      <c r="C244" s="391"/>
      <c r="D244" s="292"/>
      <c r="E244" s="292"/>
      <c r="F244" s="230"/>
      <c r="G244" s="230"/>
      <c r="H244" s="230"/>
      <c r="I244" s="230"/>
      <c r="J244" s="392"/>
      <c r="K244" s="1380" t="s">
        <v>1124</v>
      </c>
      <c r="L244" s="392"/>
      <c r="M244" s="395"/>
      <c r="N244" s="262"/>
      <c r="O244" s="576"/>
      <c r="P244" s="238"/>
      <c r="Q244" s="238"/>
    </row>
    <row r="245" spans="1:17">
      <c r="A245" s="292"/>
      <c r="B245" s="262"/>
      <c r="C245" s="391"/>
      <c r="D245" s="2155" t="str">
        <f>+D$6</f>
        <v>Kansas City Power &amp; Light Company</v>
      </c>
      <c r="E245" s="2155"/>
      <c r="F245" s="2156"/>
      <c r="G245" s="2156"/>
      <c r="H245" s="230"/>
      <c r="I245" s="230"/>
      <c r="J245" s="262"/>
      <c r="L245" s="392"/>
      <c r="M245" s="395"/>
      <c r="N245" s="262"/>
      <c r="O245" s="576"/>
      <c r="P245" s="238"/>
      <c r="Q245" s="238"/>
    </row>
    <row r="246" spans="1:17">
      <c r="A246" s="292"/>
      <c r="B246" s="262"/>
      <c r="C246" s="391"/>
      <c r="D246" s="2155" t="str">
        <f>D124</f>
        <v>(KCP&amp;L)</v>
      </c>
      <c r="E246" s="2155"/>
      <c r="F246" s="2156"/>
      <c r="G246" s="2156"/>
      <c r="H246" s="230"/>
      <c r="I246" s="230"/>
      <c r="J246" s="262"/>
      <c r="K246" s="394"/>
      <c r="L246" s="392"/>
      <c r="M246" s="395"/>
      <c r="N246" s="262"/>
      <c r="O246" s="576"/>
      <c r="P246" s="238"/>
      <c r="Q246" s="238"/>
    </row>
    <row r="247" spans="1:17">
      <c r="A247" s="292"/>
      <c r="B247" s="262"/>
      <c r="C247" s="391"/>
      <c r="D247" s="292"/>
      <c r="E247" s="292"/>
      <c r="F247" s="263"/>
      <c r="G247" s="230"/>
      <c r="H247" s="230"/>
      <c r="I247" s="230"/>
      <c r="J247" s="262"/>
      <c r="K247" s="394"/>
      <c r="L247" s="392"/>
      <c r="M247" s="395"/>
      <c r="N247" s="262"/>
      <c r="O247" s="576"/>
      <c r="P247" s="238"/>
      <c r="Q247" s="238"/>
    </row>
    <row r="248" spans="1:17" ht="15.75">
      <c r="B248" s="262"/>
      <c r="C248" s="391"/>
      <c r="D248" s="2257" t="s">
        <v>1118</v>
      </c>
      <c r="E248" s="2257"/>
      <c r="F248" s="2154"/>
      <c r="G248" s="2154"/>
      <c r="H248" s="230"/>
      <c r="I248" s="230"/>
      <c r="J248" s="262"/>
      <c r="K248" s="394"/>
      <c r="L248" s="392"/>
      <c r="M248" s="395"/>
      <c r="N248" s="262"/>
      <c r="O248" s="576"/>
      <c r="P248" s="238"/>
      <c r="Q248" s="238"/>
    </row>
    <row r="249" spans="1:17" ht="49.5" customHeight="1">
      <c r="A249" s="1404" t="s">
        <v>1393</v>
      </c>
      <c r="B249" s="376"/>
      <c r="C249" s="2168" t="s">
        <v>422</v>
      </c>
      <c r="D249" s="2133"/>
      <c r="E249" s="2133"/>
      <c r="F249" s="2133"/>
      <c r="G249" s="2133"/>
      <c r="H249" s="2133"/>
      <c r="I249" s="2133"/>
      <c r="J249" s="77"/>
      <c r="K249" s="77"/>
      <c r="L249"/>
      <c r="M249"/>
      <c r="N249"/>
      <c r="O249" s="577"/>
      <c r="P249" s="238"/>
      <c r="Q249" s="238"/>
    </row>
    <row r="250" spans="1:17">
      <c r="A250" s="307" t="s">
        <v>1387</v>
      </c>
      <c r="B250" s="376"/>
      <c r="C250" s="376" t="s">
        <v>1200</v>
      </c>
      <c r="D250" s="376"/>
      <c r="E250" s="376"/>
      <c r="F250" s="376"/>
      <c r="G250" s="376"/>
      <c r="H250" s="376"/>
      <c r="I250" s="376"/>
      <c r="J250" s="376"/>
      <c r="K250" s="376"/>
      <c r="L250" s="376"/>
      <c r="M250" s="376"/>
      <c r="N250" s="376"/>
      <c r="O250" s="577"/>
      <c r="P250" s="238"/>
      <c r="Q250" s="238"/>
    </row>
    <row r="251" spans="1:17">
      <c r="A251" s="307" t="s">
        <v>700</v>
      </c>
      <c r="B251" s="376"/>
      <c r="C251" s="376" t="s">
        <v>504</v>
      </c>
      <c r="D251" s="376"/>
      <c r="E251" s="376"/>
      <c r="F251" s="376"/>
      <c r="G251" s="376"/>
      <c r="H251" s="376"/>
      <c r="I251" s="376"/>
      <c r="J251" s="376"/>
      <c r="K251" s="376"/>
      <c r="L251" s="376"/>
      <c r="M251" s="376"/>
      <c r="N251" s="376"/>
      <c r="O251" s="577"/>
      <c r="P251" s="238"/>
      <c r="Q251" s="238"/>
    </row>
    <row r="252" spans="1:17">
      <c r="A252" s="307" t="s">
        <v>1771</v>
      </c>
      <c r="B252" s="376"/>
      <c r="C252" s="376" t="s">
        <v>1200</v>
      </c>
      <c r="D252" s="376"/>
      <c r="E252" s="376"/>
      <c r="F252" s="376"/>
      <c r="G252" s="376"/>
      <c r="H252" s="376"/>
      <c r="I252" s="376"/>
      <c r="J252" s="376"/>
      <c r="K252" s="376"/>
      <c r="L252" s="376"/>
      <c r="M252" s="376"/>
      <c r="N252" s="376"/>
      <c r="O252" s="577"/>
      <c r="P252" s="238"/>
      <c r="Q252" s="238"/>
    </row>
    <row r="253" spans="1:17">
      <c r="A253" s="1061" t="s">
        <v>1769</v>
      </c>
      <c r="B253" s="229"/>
      <c r="C253" s="376" t="s">
        <v>1200</v>
      </c>
      <c r="D253" s="372"/>
      <c r="E253" s="372"/>
      <c r="F253" s="372"/>
      <c r="G253" s="376"/>
      <c r="H253" s="376"/>
      <c r="I253" s="376"/>
      <c r="J253" s="376"/>
      <c r="K253" s="376"/>
      <c r="L253" s="376"/>
      <c r="M253" s="376"/>
      <c r="N253" s="376"/>
      <c r="O253" s="577"/>
      <c r="P253" s="238"/>
      <c r="Q253" s="238"/>
    </row>
    <row r="254" spans="1:17">
      <c r="A254" s="1061" t="s">
        <v>1770</v>
      </c>
      <c r="B254" s="229"/>
      <c r="C254" s="376" t="s">
        <v>1200</v>
      </c>
      <c r="D254" s="372"/>
      <c r="E254" s="372"/>
      <c r="F254" s="372"/>
      <c r="G254" s="372"/>
      <c r="H254" s="372"/>
      <c r="I254" s="372"/>
      <c r="J254" s="372"/>
      <c r="K254" s="372"/>
      <c r="L254" s="372"/>
      <c r="M254" s="376"/>
      <c r="N254" s="376"/>
      <c r="O254" s="577"/>
      <c r="P254" s="238"/>
      <c r="Q254" s="238"/>
    </row>
    <row r="255" spans="1:17">
      <c r="A255" s="307" t="s">
        <v>985</v>
      </c>
      <c r="B255" s="376"/>
      <c r="C255" s="376" t="s">
        <v>1200</v>
      </c>
      <c r="D255" s="376"/>
      <c r="E255" s="376"/>
      <c r="F255" s="376"/>
      <c r="G255" s="376"/>
      <c r="H255" s="376"/>
      <c r="I255" s="376"/>
      <c r="J255" s="376"/>
      <c r="K255" s="376"/>
      <c r="L255" s="376"/>
      <c r="M255" s="376"/>
      <c r="N255" s="376"/>
      <c r="O255" s="577"/>
      <c r="P255" s="372"/>
      <c r="Q255" s="238"/>
    </row>
    <row r="256" spans="1:17" ht="99" customHeight="1">
      <c r="A256" s="1404" t="s">
        <v>986</v>
      </c>
      <c r="B256" s="376"/>
      <c r="C256" s="2168" t="s">
        <v>906</v>
      </c>
      <c r="D256" s="2133"/>
      <c r="E256" s="2133"/>
      <c r="F256" s="2133"/>
      <c r="G256" s="2133"/>
      <c r="H256" s="2133"/>
      <c r="I256" s="2133"/>
      <c r="J256" s="77"/>
      <c r="K256" s="77"/>
      <c r="L256" s="77"/>
      <c r="M256" s="376"/>
      <c r="N256" s="376"/>
      <c r="O256" s="577"/>
      <c r="P256" s="238"/>
      <c r="Q256" s="238"/>
    </row>
    <row r="257" spans="1:17">
      <c r="A257" s="307" t="s">
        <v>49</v>
      </c>
      <c r="B257" s="376"/>
      <c r="C257" s="376" t="s">
        <v>1159</v>
      </c>
      <c r="D257" s="1062" t="s">
        <v>1198</v>
      </c>
      <c r="E257" s="454">
        <v>0.35</v>
      </c>
      <c r="F257" s="20" t="s">
        <v>1098</v>
      </c>
      <c r="G257" s="376"/>
      <c r="H257" s="229"/>
      <c r="I257" s="229"/>
      <c r="J257" s="376"/>
      <c r="K257" s="376"/>
      <c r="L257" s="376"/>
      <c r="M257" s="376"/>
      <c r="N257" s="376"/>
      <c r="O257" s="577"/>
      <c r="P257" s="238"/>
      <c r="Q257" s="238"/>
    </row>
    <row r="258" spans="1:17" ht="20.25" customHeight="1">
      <c r="A258" s="307"/>
      <c r="B258" s="376"/>
      <c r="C258" s="376"/>
      <c r="D258" s="1062" t="s">
        <v>1199</v>
      </c>
      <c r="E258" s="772">
        <f>G265</f>
        <v>6.5829625000000003E-2</v>
      </c>
      <c r="F258" s="2166" t="s">
        <v>1099</v>
      </c>
      <c r="G258" s="2133"/>
      <c r="H258" s="2133"/>
      <c r="I258" s="2133"/>
      <c r="J258" s="376"/>
      <c r="K258" s="376"/>
      <c r="L258" s="376"/>
      <c r="M258" s="376"/>
      <c r="N258" s="376"/>
      <c r="O258" s="577"/>
      <c r="P258" s="238"/>
      <c r="Q258" s="238"/>
    </row>
    <row r="259" spans="1:17" ht="28.5" customHeight="1">
      <c r="A259" s="307"/>
      <c r="B259" s="376"/>
      <c r="C259" s="376"/>
      <c r="D259" s="1062" t="s">
        <v>1158</v>
      </c>
      <c r="E259" s="772">
        <f>K266</f>
        <v>0.32800499999999999</v>
      </c>
      <c r="F259" s="2166" t="s">
        <v>1097</v>
      </c>
      <c r="G259" s="2133"/>
      <c r="H259" s="2133"/>
      <c r="I259" s="2133"/>
      <c r="J259" s="376"/>
      <c r="K259" s="376"/>
      <c r="L259" s="376"/>
      <c r="M259" s="376"/>
      <c r="N259" s="376"/>
      <c r="O259" s="577"/>
      <c r="P259" s="238"/>
      <c r="Q259" s="238"/>
    </row>
    <row r="260" spans="1:17">
      <c r="A260" s="307"/>
      <c r="B260" s="376"/>
      <c r="C260" s="20" t="s">
        <v>383</v>
      </c>
      <c r="D260" s="453"/>
      <c r="E260" s="772"/>
      <c r="F260" s="20"/>
      <c r="G260" s="59" t="s">
        <v>358</v>
      </c>
      <c r="H260" s="20"/>
      <c r="I260" s="59" t="s">
        <v>1497</v>
      </c>
      <c r="J260" s="376"/>
      <c r="K260" s="1250" t="s">
        <v>356</v>
      </c>
      <c r="L260" s="376"/>
      <c r="M260" s="376"/>
      <c r="N260" s="376"/>
      <c r="O260" s="577"/>
      <c r="P260" s="238"/>
      <c r="Q260" s="238"/>
    </row>
    <row r="261" spans="1:17">
      <c r="A261" s="307"/>
      <c r="B261" s="376"/>
      <c r="C261" s="20"/>
      <c r="D261" s="453"/>
      <c r="E261" s="1867" t="s">
        <v>235</v>
      </c>
      <c r="F261" s="1868" t="s">
        <v>1181</v>
      </c>
      <c r="G261" s="1868" t="s">
        <v>795</v>
      </c>
      <c r="H261" s="20"/>
      <c r="I261" s="1869" t="s">
        <v>1498</v>
      </c>
      <c r="J261" s="376"/>
      <c r="K261" s="1698" t="s">
        <v>357</v>
      </c>
      <c r="L261" s="376"/>
      <c r="M261" s="376"/>
      <c r="N261" s="376"/>
      <c r="O261" s="577"/>
      <c r="P261" s="238"/>
      <c r="Q261" s="238"/>
    </row>
    <row r="262" spans="1:17">
      <c r="A262" s="307"/>
      <c r="B262" s="376"/>
      <c r="C262" s="20"/>
      <c r="D262" s="453" t="s">
        <v>709</v>
      </c>
      <c r="E262" s="454">
        <v>0.65600999999999998</v>
      </c>
      <c r="F262" s="454">
        <v>6.25E-2</v>
      </c>
      <c r="G262" s="1699">
        <f>E262*F262</f>
        <v>4.1000624999999999E-2</v>
      </c>
      <c r="H262" s="20"/>
      <c r="I262" s="454">
        <v>0.5</v>
      </c>
      <c r="J262" s="376"/>
      <c r="K262" s="1929">
        <f>E262*I262</f>
        <v>0.32800499999999999</v>
      </c>
      <c r="L262" s="376"/>
      <c r="M262" s="376"/>
      <c r="N262" s="376"/>
      <c r="O262" s="577"/>
      <c r="P262" s="238"/>
      <c r="Q262" s="238"/>
    </row>
    <row r="263" spans="1:17">
      <c r="A263" s="307"/>
      <c r="B263" s="376"/>
      <c r="C263" s="20"/>
      <c r="D263" s="453" t="s">
        <v>710</v>
      </c>
      <c r="E263" s="2080">
        <v>0.35470000000000002</v>
      </c>
      <c r="F263" s="1708">
        <v>7.0000000000000007E-2</v>
      </c>
      <c r="G263" s="1701">
        <f>E263*F263</f>
        <v>2.4829000000000004E-2</v>
      </c>
      <c r="H263" s="1852"/>
      <c r="I263" s="1708">
        <v>0</v>
      </c>
      <c r="J263" s="376"/>
      <c r="K263" s="1929">
        <f>E263*I263</f>
        <v>0</v>
      </c>
      <c r="L263" s="376"/>
      <c r="M263" s="376"/>
      <c r="N263" s="376"/>
      <c r="O263" s="577"/>
      <c r="P263" s="238"/>
      <c r="Q263" s="238"/>
    </row>
    <row r="264" spans="1:17">
      <c r="A264" s="307"/>
      <c r="B264" s="376"/>
      <c r="C264" s="20"/>
      <c r="D264" s="453" t="s">
        <v>1496</v>
      </c>
      <c r="E264" s="1709">
        <v>0</v>
      </c>
      <c r="F264" s="1709">
        <v>0</v>
      </c>
      <c r="G264" s="1703">
        <f>E264*F264</f>
        <v>0</v>
      </c>
      <c r="H264" s="1852"/>
      <c r="I264" s="1708">
        <f>E264*G264</f>
        <v>0</v>
      </c>
      <c r="J264" s="376"/>
      <c r="K264" s="1930">
        <f>E264*I264</f>
        <v>0</v>
      </c>
      <c r="L264" s="376"/>
      <c r="M264" s="376"/>
      <c r="N264" s="376"/>
      <c r="O264" s="577"/>
      <c r="P264" s="238"/>
      <c r="Q264" s="238"/>
    </row>
    <row r="265" spans="1:17" ht="15.75" thickBot="1">
      <c r="A265" s="307"/>
      <c r="B265" s="376"/>
      <c r="C265" s="20"/>
      <c r="D265" s="453"/>
      <c r="E265" s="2258" t="s">
        <v>1194</v>
      </c>
      <c r="F265" s="2258"/>
      <c r="G265" s="1706">
        <f>SUM(G262:G263)</f>
        <v>6.5829625000000003E-2</v>
      </c>
      <c r="H265" s="20"/>
      <c r="I265" s="772"/>
      <c r="J265" s="376"/>
      <c r="K265" s="59"/>
      <c r="L265" s="376"/>
      <c r="M265" s="376"/>
      <c r="N265" s="376"/>
      <c r="O265" s="577"/>
      <c r="P265" s="238"/>
      <c r="Q265" s="238"/>
    </row>
    <row r="266" spans="1:17" ht="15.75" thickBot="1">
      <c r="A266" s="292"/>
      <c r="B266" s="262"/>
      <c r="C266" s="376"/>
      <c r="D266" s="376"/>
      <c r="E266" s="376"/>
      <c r="F266" s="20" t="s">
        <v>1499</v>
      </c>
      <c r="G266" s="20"/>
      <c r="H266" s="20"/>
      <c r="I266" s="20"/>
      <c r="J266" s="376"/>
      <c r="K266" s="1931">
        <f>SUM(K262:K265)</f>
        <v>0.32800499999999999</v>
      </c>
      <c r="L266" s="376"/>
      <c r="M266" s="376"/>
      <c r="N266" s="376"/>
      <c r="O266" s="577"/>
      <c r="P266" s="372"/>
      <c r="Q266" s="238"/>
    </row>
    <row r="267" spans="1:17">
      <c r="A267" s="292" t="s">
        <v>50</v>
      </c>
      <c r="B267" s="10"/>
      <c r="C267" s="2259" t="s">
        <v>1233</v>
      </c>
      <c r="D267" s="2259"/>
      <c r="E267" s="2259"/>
      <c r="F267" s="2259"/>
      <c r="G267" s="2259"/>
      <c r="H267" s="2259"/>
      <c r="I267" s="2259"/>
      <c r="J267" s="2259"/>
      <c r="K267" s="376"/>
      <c r="L267" s="376"/>
      <c r="M267" s="376"/>
      <c r="N267" s="376"/>
      <c r="O267" s="577"/>
      <c r="P267" s="372"/>
      <c r="Q267" s="238"/>
    </row>
    <row r="268" spans="1:17" ht="15.75" thickBot="1">
      <c r="A268" s="264" t="s">
        <v>51</v>
      </c>
      <c r="B268" s="490"/>
      <c r="C268" s="1112" t="s">
        <v>1234</v>
      </c>
      <c r="D268" s="2260" t="s">
        <v>1633</v>
      </c>
      <c r="E268" s="2260"/>
      <c r="F268" s="2260"/>
      <c r="G268" s="490" t="s">
        <v>1235</v>
      </c>
      <c r="H268" s="490"/>
      <c r="I268" s="490"/>
      <c r="J268" s="490"/>
      <c r="K268" s="383"/>
      <c r="L268" s="376"/>
      <c r="M268" s="376"/>
      <c r="N268" s="376"/>
      <c r="O268" s="577"/>
      <c r="P268" s="238"/>
      <c r="Q268" s="238"/>
    </row>
    <row r="269" spans="1:17" ht="15.75">
      <c r="A269" s="10"/>
      <c r="B269" s="22"/>
      <c r="C269" s="868"/>
      <c r="D269" s="868"/>
      <c r="E269" s="54"/>
      <c r="F269" s="66"/>
      <c r="G269" s="54"/>
      <c r="H269" s="54"/>
      <c r="I269" s="10"/>
      <c r="J269" s="10"/>
      <c r="K269" s="376"/>
      <c r="L269" s="376"/>
      <c r="M269" s="376"/>
      <c r="N269" s="376"/>
      <c r="O269" s="577"/>
      <c r="P269" s="238"/>
      <c r="Q269" s="238"/>
    </row>
    <row r="270" spans="1:17" ht="15.75" customHeight="1">
      <c r="A270" s="59">
        <v>1</v>
      </c>
      <c r="B270" s="22"/>
      <c r="C270" s="62" t="s">
        <v>55</v>
      </c>
      <c r="D270" s="20" t="s">
        <v>1112</v>
      </c>
      <c r="E270" s="22"/>
      <c r="F270" s="22"/>
      <c r="G270" s="66" t="s">
        <v>1661</v>
      </c>
      <c r="H270" s="66"/>
      <c r="I270" s="22"/>
      <c r="J270" s="22"/>
      <c r="K270" s="376"/>
      <c r="L270" s="376"/>
      <c r="M270" s="376"/>
      <c r="N270" s="376"/>
      <c r="O270" s="577"/>
      <c r="P270" s="238"/>
      <c r="Q270" s="238"/>
    </row>
    <row r="271" spans="1:17" ht="15.75" customHeight="1">
      <c r="A271" s="59">
        <f t="shared" ref="A271:A276" si="3">A270+1</f>
        <v>2</v>
      </c>
      <c r="B271" s="22"/>
      <c r="C271" s="62" t="s">
        <v>1425</v>
      </c>
      <c r="D271" s="66" t="s">
        <v>1236</v>
      </c>
      <c r="E271" s="66"/>
      <c r="F271" s="22"/>
      <c r="G271" s="66" t="s">
        <v>1100</v>
      </c>
      <c r="H271" s="66"/>
      <c r="I271" s="22"/>
      <c r="J271" s="22"/>
      <c r="K271" s="376"/>
      <c r="L271" s="376"/>
      <c r="M271" s="376"/>
      <c r="N271" s="376"/>
      <c r="O271" s="577"/>
      <c r="P271" s="238"/>
      <c r="Q271" s="238"/>
    </row>
    <row r="272" spans="1:17" ht="15.75" customHeight="1">
      <c r="A272" s="59">
        <f t="shared" si="3"/>
        <v>3</v>
      </c>
      <c r="B272" s="22"/>
      <c r="C272" s="62" t="s">
        <v>1385</v>
      </c>
      <c r="D272" s="22" t="s">
        <v>1237</v>
      </c>
      <c r="E272" s="22"/>
      <c r="F272" s="22"/>
      <c r="G272" s="22" t="s">
        <v>1663</v>
      </c>
      <c r="H272" s="22"/>
      <c r="I272" s="22"/>
      <c r="J272" s="22"/>
      <c r="K272" s="376"/>
      <c r="L272" s="376"/>
      <c r="M272" s="376"/>
      <c r="N272" s="376"/>
      <c r="O272" s="577"/>
      <c r="P272" s="238"/>
      <c r="Q272" s="238"/>
    </row>
    <row r="273" spans="1:17" ht="15.75" customHeight="1">
      <c r="A273" s="59">
        <f t="shared" si="3"/>
        <v>4</v>
      </c>
      <c r="B273" s="22"/>
      <c r="C273" s="62" t="s">
        <v>476</v>
      </c>
      <c r="D273" s="22" t="s">
        <v>1657</v>
      </c>
      <c r="E273" s="22"/>
      <c r="F273" s="22"/>
      <c r="G273" s="66" t="s">
        <v>1101</v>
      </c>
      <c r="H273" s="22"/>
      <c r="I273" s="22"/>
      <c r="J273" s="22"/>
      <c r="K273" s="376"/>
      <c r="L273" s="376"/>
      <c r="M273" s="376"/>
      <c r="N273" s="238"/>
      <c r="O273" s="575"/>
      <c r="P273" s="238"/>
      <c r="Q273" s="238"/>
    </row>
    <row r="274" spans="1:17" ht="15.75" customHeight="1">
      <c r="A274" s="59">
        <f t="shared" si="3"/>
        <v>5</v>
      </c>
      <c r="B274" s="22"/>
      <c r="C274" s="62" t="s">
        <v>457</v>
      </c>
      <c r="D274" s="22" t="s">
        <v>737</v>
      </c>
      <c r="E274" s="22"/>
      <c r="F274" s="22"/>
      <c r="G274" s="22" t="s">
        <v>500</v>
      </c>
      <c r="H274" s="22"/>
      <c r="I274" s="22"/>
      <c r="J274" s="22"/>
      <c r="K274" s="376"/>
      <c r="L274" s="376"/>
      <c r="M274" s="376"/>
      <c r="N274" s="238"/>
      <c r="O274" s="575"/>
      <c r="P274" s="238"/>
      <c r="Q274" s="238"/>
    </row>
    <row r="275" spans="1:17" ht="15.75" customHeight="1">
      <c r="A275" s="59">
        <f t="shared" si="3"/>
        <v>6</v>
      </c>
      <c r="B275" s="22"/>
      <c r="C275" s="62" t="s">
        <v>738</v>
      </c>
      <c r="D275" s="22" t="s">
        <v>1658</v>
      </c>
      <c r="E275" s="22"/>
      <c r="F275" s="22"/>
      <c r="G275" s="66" t="s">
        <v>1102</v>
      </c>
      <c r="H275" s="22"/>
      <c r="I275" s="22"/>
      <c r="J275" s="22"/>
      <c r="K275" s="376"/>
      <c r="L275" s="376"/>
      <c r="M275" s="376"/>
      <c r="N275" s="238"/>
      <c r="O275" s="575"/>
      <c r="P275" s="238"/>
      <c r="Q275" s="238"/>
    </row>
    <row r="276" spans="1:17" ht="15.75" customHeight="1">
      <c r="A276" s="59">
        <f t="shared" si="3"/>
        <v>7</v>
      </c>
      <c r="B276" s="22"/>
      <c r="C276" s="62" t="s">
        <v>402</v>
      </c>
      <c r="D276" s="22" t="s">
        <v>403</v>
      </c>
      <c r="E276" s="22"/>
      <c r="F276" s="22"/>
      <c r="G276" s="229" t="s">
        <v>248</v>
      </c>
      <c r="H276" s="22"/>
      <c r="I276" s="22"/>
      <c r="J276" s="229"/>
      <c r="K276" s="376"/>
      <c r="L276" s="376"/>
      <c r="M276" s="376"/>
    </row>
    <row r="277" spans="1:17">
      <c r="C277" s="376"/>
      <c r="G277" s="1020"/>
      <c r="H277" s="229"/>
      <c r="I277" s="229"/>
      <c r="J277" s="229"/>
      <c r="K277" s="229"/>
      <c r="L277" s="229"/>
      <c r="M277" s="372"/>
    </row>
    <row r="278" spans="1:17">
      <c r="A278" s="396"/>
      <c r="C278" s="322"/>
      <c r="D278" s="322"/>
      <c r="E278" s="322"/>
      <c r="F278" s="322"/>
      <c r="G278" s="322"/>
      <c r="I278" s="229"/>
      <c r="J278" s="229"/>
      <c r="K278" s="229"/>
      <c r="L278" s="229"/>
      <c r="M278" s="372"/>
    </row>
    <row r="279" spans="1:17">
      <c r="A279" s="397"/>
      <c r="C279" s="397"/>
      <c r="D279" s="397"/>
      <c r="E279" s="397"/>
      <c r="F279" s="398"/>
      <c r="G279" s="322"/>
      <c r="I279" s="229"/>
      <c r="J279" s="229"/>
      <c r="K279" s="229"/>
      <c r="L279" s="229"/>
      <c r="M279" s="372"/>
    </row>
    <row r="280" spans="1:17" s="10" customFormat="1">
      <c r="A280" s="397"/>
      <c r="B280" s="228"/>
      <c r="C280" s="399"/>
      <c r="D280" s="399"/>
      <c r="E280" s="399"/>
      <c r="F280" s="2256"/>
      <c r="G280" s="2256"/>
      <c r="H280" s="54"/>
      <c r="I280" s="22"/>
      <c r="J280" s="22"/>
      <c r="K280" s="22"/>
      <c r="L280" s="22"/>
      <c r="M280" s="21"/>
      <c r="O280" s="558"/>
    </row>
    <row r="281" spans="1:17" s="10" customFormat="1">
      <c r="A281" s="400"/>
      <c r="C281" s="285"/>
      <c r="D281" s="66"/>
      <c r="E281" s="54"/>
      <c r="F281" s="286"/>
      <c r="G281" s="286"/>
      <c r="H281" s="54"/>
      <c r="I281" s="22"/>
      <c r="J281" s="22"/>
      <c r="K281" s="22"/>
      <c r="L281" s="22"/>
      <c r="M281" s="21"/>
      <c r="O281" s="558"/>
    </row>
    <row r="282" spans="1:17" s="10" customFormat="1">
      <c r="A282" s="400"/>
      <c r="C282" s="400"/>
      <c r="F282" s="65"/>
      <c r="G282" s="39"/>
      <c r="I282" s="22"/>
      <c r="J282" s="22"/>
      <c r="K282" s="22"/>
      <c r="L282" s="22"/>
      <c r="M282" s="22"/>
      <c r="O282" s="558"/>
    </row>
    <row r="283" spans="1:17" ht="15.75">
      <c r="A283" s="400"/>
      <c r="B283" s="10"/>
      <c r="C283" s="401"/>
      <c r="D283" s="10"/>
      <c r="E283" s="10"/>
      <c r="F283" s="79"/>
      <c r="G283" s="56"/>
    </row>
    <row r="284" spans="1:17" ht="15.75">
      <c r="A284" s="397"/>
      <c r="C284" s="397"/>
      <c r="F284" s="403"/>
      <c r="G284" s="56"/>
    </row>
    <row r="285" spans="1:17">
      <c r="A285" s="397"/>
      <c r="C285" s="404"/>
      <c r="F285" s="403"/>
      <c r="G285" s="405"/>
    </row>
    <row r="286" spans="1:17">
      <c r="A286" s="397"/>
      <c r="C286" s="404"/>
      <c r="F286" s="403"/>
      <c r="G286" s="405"/>
    </row>
    <row r="287" spans="1:17">
      <c r="A287" s="397"/>
      <c r="C287" s="404"/>
      <c r="F287" s="403"/>
      <c r="G287" s="405"/>
    </row>
    <row r="288" spans="1:17">
      <c r="A288" s="397"/>
      <c r="C288" s="404"/>
      <c r="F288" s="403"/>
      <c r="G288" s="406"/>
    </row>
    <row r="289" spans="1:7">
      <c r="A289" s="322"/>
      <c r="C289" s="407"/>
      <c r="F289" s="403"/>
      <c r="G289" s="406"/>
    </row>
    <row r="290" spans="1:7">
      <c r="A290" s="322"/>
      <c r="C290" s="407"/>
      <c r="F290" s="403"/>
      <c r="G290" s="406"/>
    </row>
    <row r="291" spans="1:7">
      <c r="A291" s="322"/>
      <c r="C291" s="407"/>
      <c r="F291" s="403"/>
      <c r="G291" s="406"/>
    </row>
    <row r="292" spans="1:7">
      <c r="A292" s="322"/>
      <c r="C292" s="407"/>
      <c r="F292" s="403"/>
      <c r="G292" s="406"/>
    </row>
    <row r="293" spans="1:7">
      <c r="A293" s="304"/>
      <c r="C293" s="322"/>
      <c r="D293" s="322"/>
      <c r="E293" s="322"/>
      <c r="F293" s="322"/>
      <c r="G293" s="322"/>
    </row>
    <row r="294" spans="1:7">
      <c r="C294" s="322"/>
      <c r="D294" s="322"/>
      <c r="E294" s="322"/>
      <c r="F294" s="322"/>
      <c r="G294" s="322"/>
    </row>
  </sheetData>
  <customSheetViews>
    <customSheetView guid="{FAA8FFD9-C96B-4A1B-8B9E-B863FD90DDBA}" scale="75" showRuler="0" topLeftCell="A121">
      <selection activeCell="D106" sqref="D106:D107"/>
      <rowBreaks count="4" manualBreakCount="4">
        <brk id="51" max="12" man="1"/>
        <brk id="117" max="12" man="1"/>
        <brk id="171" max="13" man="1"/>
        <brk id="248" max="13" man="1"/>
      </rowBreaks>
      <pageMargins left="0.56999999999999995" right="0.3" top="0.2" bottom="0" header="0" footer="0"/>
      <printOptions gridLines="1"/>
      <pageSetup scale="45" fitToHeight="26" orientation="landscape" r:id="rId1"/>
      <headerFooter alignWithMargins="0"/>
    </customSheetView>
  </customSheetViews>
  <mergeCells count="46">
    <mergeCell ref="D121:G121"/>
    <mergeCell ref="D123:G123"/>
    <mergeCell ref="D120:G120"/>
    <mergeCell ref="D241:G241"/>
    <mergeCell ref="D126:G126"/>
    <mergeCell ref="D165:G165"/>
    <mergeCell ref="D166:G166"/>
    <mergeCell ref="D171:G171"/>
    <mergeCell ref="D124:G124"/>
    <mergeCell ref="D240:G240"/>
    <mergeCell ref="D168:G168"/>
    <mergeCell ref="D170:G170"/>
    <mergeCell ref="D1:G1"/>
    <mergeCell ref="D2:G2"/>
    <mergeCell ref="D4:G4"/>
    <mergeCell ref="D56:G56"/>
    <mergeCell ref="D53:G53"/>
    <mergeCell ref="D54:G54"/>
    <mergeCell ref="D7:H7"/>
    <mergeCell ref="F280:G280"/>
    <mergeCell ref="D245:G245"/>
    <mergeCell ref="D246:G246"/>
    <mergeCell ref="D248:G248"/>
    <mergeCell ref="E265:F265"/>
    <mergeCell ref="F259:I259"/>
    <mergeCell ref="F258:I258"/>
    <mergeCell ref="C256:I256"/>
    <mergeCell ref="C249:I249"/>
    <mergeCell ref="C267:J267"/>
    <mergeCell ref="D268:F268"/>
    <mergeCell ref="J2:K2"/>
    <mergeCell ref="J54:K54"/>
    <mergeCell ref="J118:K118"/>
    <mergeCell ref="D167:G167"/>
    <mergeCell ref="D243:G243"/>
    <mergeCell ref="D242:G242"/>
    <mergeCell ref="J166:K166"/>
    <mergeCell ref="J241:K241"/>
    <mergeCell ref="K3:L3"/>
    <mergeCell ref="D6:H6"/>
    <mergeCell ref="D3:G3"/>
    <mergeCell ref="D55:G55"/>
    <mergeCell ref="D58:G58"/>
    <mergeCell ref="D59:G59"/>
    <mergeCell ref="D118:G118"/>
    <mergeCell ref="D119:G119"/>
  </mergeCells>
  <phoneticPr fontId="0" type="noConversion"/>
  <printOptions horizontalCentered="1" gridLines="1"/>
  <pageMargins left="0.5" right="0.5" top="0.5" bottom="0.35" header="0" footer="0"/>
  <pageSetup scale="50" fitToHeight="26" orientation="landscape" r:id="rId2"/>
  <headerFooter alignWithMargins="0"/>
  <rowBreaks count="4" manualBreakCount="4">
    <brk id="52" max="10" man="1"/>
    <brk id="115" max="10" man="1"/>
    <brk id="164" max="10" man="1"/>
    <brk id="239" max="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pageSetUpPr fitToPage="1"/>
  </sheetPr>
  <dimension ref="A1:T966"/>
  <sheetViews>
    <sheetView view="pageBreakPreview" topLeftCell="A13" zoomScale="75" zoomScaleNormal="75" zoomScaleSheetLayoutView="75" workbookViewId="0">
      <selection activeCell="I52" sqref="I52"/>
    </sheetView>
  </sheetViews>
  <sheetFormatPr defaultRowHeight="15"/>
  <cols>
    <col min="1" max="1" width="2.88671875" style="551" customWidth="1"/>
    <col min="2" max="2" width="4.5546875" style="556" bestFit="1" customWidth="1"/>
    <col min="3" max="3" width="0.33203125" style="551" customWidth="1"/>
    <col min="4" max="4" width="41.21875" style="551" customWidth="1"/>
    <col min="5" max="5" width="49" style="551" customWidth="1"/>
    <col min="6" max="6" width="2" style="551" customWidth="1"/>
    <col min="7" max="7" width="11.6640625" style="551" customWidth="1"/>
    <col min="8" max="8" width="1.44140625" style="551" customWidth="1"/>
    <col min="9" max="9" width="18" style="551" customWidth="1"/>
    <col min="10" max="10" width="4.77734375" style="551" customWidth="1"/>
    <col min="11" max="12" width="8.88671875" style="551" customWidth="1"/>
    <col min="13" max="13" width="14.109375" style="551" customWidth="1"/>
    <col min="14" max="15" width="8.88671875" style="551" customWidth="1"/>
    <col min="16" max="16" width="15.44140625" style="551" customWidth="1"/>
    <col min="17" max="17" width="12.77734375" style="551" customWidth="1"/>
    <col min="18" max="16384" width="8.88671875" style="551"/>
  </cols>
  <sheetData>
    <row r="1" spans="1:17" ht="15.75">
      <c r="I1" s="1098"/>
    </row>
    <row r="2" spans="1:17" ht="15.75">
      <c r="G2" s="2193" t="s">
        <v>205</v>
      </c>
      <c r="H2" s="2193"/>
      <c r="I2" s="1099"/>
    </row>
    <row r="3" spans="1:17" ht="18">
      <c r="A3" s="485"/>
      <c r="B3" s="485"/>
      <c r="C3" s="485"/>
      <c r="D3" s="2151" t="s">
        <v>469</v>
      </c>
      <c r="E3" s="2152"/>
      <c r="F3" s="2152"/>
      <c r="G3" s="2152"/>
      <c r="H3" s="2152"/>
      <c r="I3" s="806"/>
      <c r="J3" s="820"/>
    </row>
    <row r="4" spans="1:17" ht="18">
      <c r="B4" s="803"/>
      <c r="C4" s="804"/>
      <c r="D4" s="2151" t="s">
        <v>1457</v>
      </c>
      <c r="E4" s="2152"/>
      <c r="F4" s="2152"/>
      <c r="G4" s="2152"/>
      <c r="H4" s="2152"/>
      <c r="I4" s="806" t="s">
        <v>1119</v>
      </c>
    </row>
    <row r="5" spans="1:17" ht="18">
      <c r="B5" s="803"/>
      <c r="C5" s="804"/>
      <c r="D5" s="2151" t="s">
        <v>143</v>
      </c>
      <c r="E5" s="2151"/>
      <c r="F5" s="2151"/>
      <c r="G5" s="2151"/>
      <c r="H5" s="2151"/>
    </row>
    <row r="6" spans="1:17" ht="18">
      <c r="B6" s="803"/>
      <c r="C6" s="804"/>
      <c r="D6" s="2265" t="str">
        <f>'Projected Gross Rev Req'!D56:G56</f>
        <v>For the 12 months ended - December 31, 2014</v>
      </c>
      <c r="E6" s="2142"/>
      <c r="F6" s="2142"/>
      <c r="G6" s="2142"/>
      <c r="H6" s="2142"/>
    </row>
    <row r="7" spans="1:17" ht="18">
      <c r="B7" s="803"/>
      <c r="C7" s="804"/>
      <c r="D7" s="2149"/>
      <c r="E7" s="2150"/>
      <c r="F7" s="2150"/>
      <c r="G7" s="2150"/>
      <c r="H7" s="2150"/>
      <c r="I7" s="805"/>
    </row>
    <row r="8" spans="1:17" ht="18">
      <c r="B8" s="552"/>
      <c r="C8" s="806"/>
      <c r="D8" s="2147" t="s">
        <v>71</v>
      </c>
      <c r="E8" s="2148"/>
      <c r="F8" s="2148"/>
      <c r="G8" s="2148"/>
      <c r="H8" s="278"/>
      <c r="I8" s="805"/>
    </row>
    <row r="9" spans="1:17" ht="18">
      <c r="B9" s="552"/>
      <c r="C9" s="806"/>
      <c r="D9" s="2147" t="s">
        <v>68</v>
      </c>
      <c r="E9" s="2148"/>
      <c r="F9" s="2148"/>
      <c r="G9" s="2148"/>
      <c r="H9" s="278"/>
    </row>
    <row r="10" spans="1:17" ht="18" customHeight="1">
      <c r="B10" s="552"/>
      <c r="C10" s="806"/>
      <c r="D10" s="2266"/>
      <c r="E10" s="2266"/>
      <c r="F10" s="2266"/>
      <c r="G10" s="2266"/>
      <c r="H10" s="2266"/>
      <c r="I10" s="2266"/>
    </row>
    <row r="11" spans="1:17" ht="18">
      <c r="B11" s="552"/>
      <c r="C11" s="806"/>
      <c r="D11" s="800"/>
      <c r="E11" s="278"/>
      <c r="F11" s="278"/>
      <c r="G11" s="278"/>
      <c r="H11" s="278"/>
    </row>
    <row r="12" spans="1:17" ht="15.75">
      <c r="B12" s="552"/>
      <c r="C12" s="806"/>
      <c r="D12" s="63" t="s">
        <v>916</v>
      </c>
      <c r="E12" s="63" t="s">
        <v>917</v>
      </c>
      <c r="G12" s="64" t="s">
        <v>924</v>
      </c>
      <c r="H12" s="807"/>
      <c r="I12" s="64" t="s">
        <v>925</v>
      </c>
    </row>
    <row r="13" spans="1:17" ht="15.75">
      <c r="B13" s="552" t="s">
        <v>50</v>
      </c>
      <c r="C13" s="806"/>
      <c r="D13" s="805"/>
      <c r="E13" s="12"/>
      <c r="F13" s="805"/>
      <c r="G13" s="553"/>
      <c r="H13" s="807"/>
      <c r="I13" s="807"/>
    </row>
    <row r="14" spans="1:17" ht="16.5" thickBot="1">
      <c r="B14" s="808" t="s">
        <v>51</v>
      </c>
      <c r="C14" s="1036"/>
      <c r="D14" s="1037"/>
      <c r="E14" s="159" t="s">
        <v>1053</v>
      </c>
      <c r="F14" s="1037"/>
      <c r="G14" s="1038"/>
      <c r="H14" s="1039"/>
      <c r="I14" s="1038" t="s">
        <v>52</v>
      </c>
    </row>
    <row r="15" spans="1:17">
      <c r="B15" s="810"/>
      <c r="C15" s="809"/>
      <c r="D15" s="805"/>
      <c r="F15" s="805"/>
      <c r="H15" s="805"/>
      <c r="J15" s="1071"/>
      <c r="K15" s="1071"/>
      <c r="L15" s="1071"/>
      <c r="M15" s="1071"/>
      <c r="N15" s="1071"/>
      <c r="O15" s="1071"/>
      <c r="P15" s="1071"/>
      <c r="Q15" s="1071"/>
    </row>
    <row r="16" spans="1:17">
      <c r="A16" s="814"/>
      <c r="B16" s="1715"/>
      <c r="C16" s="1716"/>
      <c r="D16" s="817"/>
      <c r="E16" s="1716"/>
      <c r="F16" s="817"/>
      <c r="G16" s="814"/>
      <c r="H16" s="817"/>
      <c r="I16" s="814"/>
      <c r="J16" s="1071"/>
      <c r="K16" s="1071"/>
      <c r="L16" s="1071"/>
      <c r="M16" s="1071"/>
      <c r="N16" s="1071"/>
      <c r="O16" s="1071"/>
      <c r="P16" s="1071"/>
      <c r="Q16" s="1071"/>
    </row>
    <row r="17" spans="1:17" ht="15.75">
      <c r="A17" s="1983" t="s">
        <v>397</v>
      </c>
      <c r="B17" s="1649" t="s">
        <v>947</v>
      </c>
      <c r="C17" s="1716"/>
      <c r="D17" s="817"/>
      <c r="E17" s="21"/>
      <c r="F17" s="817"/>
      <c r="G17" s="1071"/>
      <c r="H17" s="817"/>
      <c r="I17" s="814"/>
      <c r="J17" s="1071"/>
      <c r="K17" s="1071"/>
      <c r="L17" s="1071"/>
      <c r="M17" s="1071"/>
      <c r="N17" s="1071"/>
      <c r="O17" s="1071"/>
      <c r="P17" s="1071"/>
      <c r="Q17" s="1071"/>
    </row>
    <row r="18" spans="1:17">
      <c r="A18" s="814"/>
      <c r="B18" s="555">
        <v>1</v>
      </c>
      <c r="C18" s="1717"/>
      <c r="D18" s="21" t="s">
        <v>128</v>
      </c>
      <c r="E18" s="1420" t="str">
        <f>"(Wksht P-2, Line "&amp;'P-2 (Exp. &amp; Rev. Credits)'!A16&amp;" )"</f>
        <v>(Wksht P-2, Line 4 )</v>
      </c>
      <c r="F18" s="1653"/>
      <c r="G18" s="937"/>
      <c r="H18" s="1072"/>
      <c r="I18" s="937">
        <f>'P-2 (Exp. &amp; Rev. Credits)'!$F$16</f>
        <v>6961614.4756309409</v>
      </c>
      <c r="J18" s="1071"/>
      <c r="K18" s="1071"/>
      <c r="L18" s="1071"/>
      <c r="M18" s="1071"/>
      <c r="N18" s="1071"/>
      <c r="O18" s="1071"/>
      <c r="P18" s="1071"/>
      <c r="Q18" s="1071"/>
    </row>
    <row r="19" spans="1:17">
      <c r="A19" s="814"/>
      <c r="B19" s="555">
        <f>+B18+1</f>
        <v>2</v>
      </c>
      <c r="C19" s="1717"/>
      <c r="D19" s="21" t="s">
        <v>1003</v>
      </c>
      <c r="E19" s="21" t="s">
        <v>416</v>
      </c>
      <c r="F19" s="1653"/>
      <c r="G19" s="423"/>
      <c r="H19" s="1718"/>
      <c r="I19" s="423">
        <f>'Actual Sch 1 Rev Req'!I18*('P-2 (Exp. &amp; Rev. Credits)'!F16/'P-2 (Exp. &amp; Rev. Credits)'!D16)</f>
        <v>4886073.1965086721</v>
      </c>
      <c r="J19" s="1071"/>
      <c r="K19" s="1298"/>
      <c r="L19" s="1071"/>
      <c r="M19" s="1071"/>
      <c r="N19" s="1071"/>
      <c r="O19" s="1071"/>
      <c r="P19" s="1071"/>
      <c r="Q19" s="1071"/>
    </row>
    <row r="20" spans="1:17">
      <c r="A20" s="814"/>
      <c r="B20" s="555">
        <f>B19+1</f>
        <v>3</v>
      </c>
      <c r="C20" s="1717"/>
      <c r="D20" s="21" t="s">
        <v>1445</v>
      </c>
      <c r="E20" s="21" t="s">
        <v>417</v>
      </c>
      <c r="F20" s="1653"/>
      <c r="G20" s="423"/>
      <c r="H20" s="1718"/>
      <c r="I20" s="423">
        <f>'Actual Sch 1 Rev Req'!I19*('P-2 (Exp. &amp; Rev. Credits)'!F16/'P-2 (Exp. &amp; Rev. Credits)'!D16)</f>
        <v>74092.667924865018</v>
      </c>
      <c r="J20" s="1071"/>
      <c r="K20" s="1298"/>
      <c r="L20" s="1071"/>
      <c r="M20" s="1071"/>
      <c r="N20" s="1071"/>
      <c r="O20" s="1071"/>
      <c r="P20" s="1071"/>
      <c r="Q20" s="1071"/>
    </row>
    <row r="21" spans="1:17" ht="15.75" thickBot="1">
      <c r="A21" s="814"/>
      <c r="B21" s="555">
        <f>B20+1</f>
        <v>4</v>
      </c>
      <c r="C21" s="1717"/>
      <c r="D21" s="21" t="s">
        <v>1002</v>
      </c>
      <c r="E21" s="21" t="s">
        <v>418</v>
      </c>
      <c r="F21" s="1653"/>
      <c r="G21" s="423"/>
      <c r="H21" s="1718"/>
      <c r="I21" s="1984">
        <f>'Actual Sch 1 Rev Req'!I20*('P-2 (Exp. &amp; Rev. Credits)'!F16/'P-2 (Exp. &amp; Rev. Credits)'!D16)</f>
        <v>1280939.7867145059</v>
      </c>
      <c r="J21" s="1071"/>
      <c r="K21" s="1298"/>
      <c r="L21" s="1071"/>
      <c r="M21" s="1069"/>
      <c r="N21" s="1069"/>
      <c r="O21" s="1071"/>
      <c r="P21" s="1071"/>
      <c r="Q21" s="1071"/>
    </row>
    <row r="22" spans="1:17">
      <c r="A22" s="814"/>
      <c r="B22" s="555">
        <f>+B21+1</f>
        <v>5</v>
      </c>
      <c r="C22" s="1717"/>
      <c r="D22" s="21" t="s">
        <v>54</v>
      </c>
      <c r="E22" s="1420" t="str">
        <f>"(Line "&amp;B18&amp;" less Line "&amp;B19&amp;" thru Line "&amp;B21&amp;")"</f>
        <v>(Line 1 less Line 2 thru Line 4)</v>
      </c>
      <c r="F22" s="1653"/>
      <c r="G22" s="937"/>
      <c r="H22" s="1072"/>
      <c r="I22" s="937">
        <f>I18-(SUM(I19:I21))</f>
        <v>720508.8244828973</v>
      </c>
      <c r="J22" s="1071"/>
      <c r="K22" s="1298"/>
      <c r="L22" s="1071"/>
      <c r="M22" s="1069"/>
      <c r="N22" s="1069"/>
      <c r="O22" s="1071"/>
      <c r="P22" s="1071"/>
      <c r="Q22" s="1071"/>
    </row>
    <row r="23" spans="1:17">
      <c r="A23" s="814"/>
      <c r="B23" s="814"/>
      <c r="C23" s="1717"/>
      <c r="D23" s="21"/>
      <c r="E23" s="1717"/>
      <c r="F23" s="1653"/>
      <c r="G23" s="937"/>
      <c r="H23" s="1072"/>
      <c r="I23" s="937"/>
      <c r="J23" s="1071"/>
      <c r="K23" s="1298"/>
      <c r="L23" s="1071"/>
      <c r="M23" s="1069"/>
      <c r="N23" s="1069"/>
      <c r="O23" s="1071"/>
      <c r="P23" s="1071"/>
      <c r="Q23" s="1071"/>
    </row>
    <row r="24" spans="1:17">
      <c r="A24" s="814"/>
      <c r="B24" s="555">
        <f>+B22+1</f>
        <v>6</v>
      </c>
      <c r="C24" s="1717"/>
      <c r="D24" s="21" t="s">
        <v>1047</v>
      </c>
      <c r="E24" s="1420" t="str">
        <f>"(Actual Sched 1 Rev  Req, Line "&amp;'Actual Sch 1 Rev Req'!B23&amp;")"</f>
        <v>(Actual Sched 1 Rev  Req, Line 6)</v>
      </c>
      <c r="F24" s="1653"/>
      <c r="G24" s="831"/>
      <c r="H24" s="1719"/>
      <c r="I24" s="1985">
        <f>'Actual Sch 1 Rev Req'!I23</f>
        <v>138809</v>
      </c>
      <c r="J24" s="1071"/>
      <c r="K24" s="1298"/>
      <c r="L24" s="1071"/>
      <c r="M24" s="1069"/>
      <c r="N24" s="1069"/>
      <c r="O24" s="1071"/>
      <c r="P24" s="1071"/>
      <c r="Q24" s="1071"/>
    </row>
    <row r="25" spans="1:17" ht="15.75" thickBot="1">
      <c r="A25" s="814"/>
      <c r="B25" s="555"/>
      <c r="C25" s="1717"/>
      <c r="D25" s="21"/>
      <c r="E25" s="21"/>
      <c r="F25" s="1653"/>
      <c r="G25" s="423"/>
      <c r="H25" s="1718"/>
      <c r="I25" s="1984"/>
      <c r="J25" s="1071"/>
      <c r="K25" s="1071"/>
      <c r="L25" s="1071"/>
      <c r="M25" s="1069"/>
      <c r="N25" s="1069"/>
      <c r="O25" s="1071"/>
      <c r="P25" s="1071"/>
      <c r="Q25" s="1071"/>
    </row>
    <row r="26" spans="1:17">
      <c r="A26" s="814"/>
      <c r="B26" s="555">
        <f>+B24+1</f>
        <v>7</v>
      </c>
      <c r="C26" s="1717"/>
      <c r="D26" s="21" t="s">
        <v>948</v>
      </c>
      <c r="E26" s="1020" t="str">
        <f>"(Line "&amp;B22&amp;" - Line "&amp;B24&amp;")"</f>
        <v>(Line 5 - Line 6)</v>
      </c>
      <c r="F26" s="941"/>
      <c r="G26" s="1063"/>
      <c r="H26" s="941"/>
      <c r="I26" s="1986">
        <f>I22-I24</f>
        <v>581699.8244828973</v>
      </c>
      <c r="J26" s="1071"/>
      <c r="K26" s="1071"/>
      <c r="L26" s="1071"/>
      <c r="M26" s="1069"/>
      <c r="N26" s="1069"/>
      <c r="O26" s="1071"/>
      <c r="P26" s="1071"/>
      <c r="Q26" s="1071"/>
    </row>
    <row r="27" spans="1:17">
      <c r="A27" s="814"/>
      <c r="B27" s="819"/>
      <c r="C27" s="814"/>
      <c r="D27" s="814"/>
      <c r="E27" s="814"/>
      <c r="F27" s="814"/>
      <c r="G27" s="1069"/>
      <c r="H27" s="814"/>
      <c r="I27" s="1987"/>
      <c r="J27" s="1071"/>
      <c r="K27" s="1071"/>
      <c r="L27" s="1071"/>
      <c r="M27" s="1069"/>
      <c r="N27" s="1069"/>
      <c r="O27" s="1071"/>
      <c r="P27" s="1071"/>
      <c r="Q27" s="1071"/>
    </row>
    <row r="28" spans="1:17" ht="15.75" thickBot="1">
      <c r="A28" s="814"/>
      <c r="B28" s="555">
        <f>+B26+1</f>
        <v>8</v>
      </c>
      <c r="C28" s="1717"/>
      <c r="D28" s="21" t="s">
        <v>141</v>
      </c>
      <c r="E28" s="1420" t="str">
        <f>"(Line "&amp;B52&amp;"  Below, Use Weighted for 1st Year )"</f>
        <v>(Line 22  Below, Use Weighted for 1st Year )</v>
      </c>
      <c r="F28" s="941"/>
      <c r="G28" s="786"/>
      <c r="H28" s="1719"/>
      <c r="I28" s="1988">
        <f>I52</f>
        <v>-60782.745000000003</v>
      </c>
      <c r="J28" s="1071"/>
      <c r="K28" s="1071"/>
      <c r="L28" s="1071"/>
      <c r="M28" s="1069"/>
      <c r="N28" s="1069"/>
      <c r="O28" s="1071"/>
      <c r="P28" s="1071"/>
      <c r="Q28" s="1071"/>
    </row>
    <row r="29" spans="1:17">
      <c r="A29" s="814"/>
      <c r="B29" s="819"/>
      <c r="C29" s="814"/>
      <c r="D29" s="814"/>
      <c r="E29" s="941"/>
      <c r="F29" s="941"/>
      <c r="G29" s="1063"/>
      <c r="H29" s="941"/>
      <c r="I29" s="1989"/>
      <c r="J29" s="1071"/>
      <c r="K29" s="1071"/>
      <c r="L29" s="1071"/>
      <c r="M29" s="1069"/>
      <c r="N29" s="1069"/>
      <c r="O29" s="1071"/>
      <c r="P29" s="1071"/>
      <c r="Q29" s="1071"/>
    </row>
    <row r="30" spans="1:17" ht="15.75" thickBot="1">
      <c r="A30" s="814"/>
      <c r="B30" s="555">
        <f>B28+1</f>
        <v>9</v>
      </c>
      <c r="C30" s="1717"/>
      <c r="D30" s="1652" t="s">
        <v>1048</v>
      </c>
      <c r="E30" s="1420" t="str">
        <f>"(Line "&amp;B26&amp;" + Line "&amp;B28&amp;")"</f>
        <v>(Line 7 + Line 8)</v>
      </c>
      <c r="F30" s="1990"/>
      <c r="G30" s="937"/>
      <c r="H30" s="1072"/>
      <c r="I30" s="1991">
        <f>I26+I28</f>
        <v>520917.0794828973</v>
      </c>
      <c r="J30" s="1071"/>
      <c r="K30" s="1071"/>
      <c r="L30" s="1071"/>
      <c r="M30" s="1069"/>
      <c r="N30" s="1069"/>
      <c r="O30" s="1071"/>
      <c r="P30" s="1071"/>
      <c r="Q30" s="1071"/>
    </row>
    <row r="31" spans="1:17" ht="15.75" thickTop="1">
      <c r="A31" s="814"/>
      <c r="B31" s="555"/>
      <c r="C31" s="1717"/>
      <c r="D31" s="21"/>
      <c r="E31" s="817"/>
      <c r="F31" s="1653"/>
      <c r="G31" s="1992"/>
      <c r="H31" s="1072"/>
      <c r="I31" s="1992"/>
      <c r="J31" s="1071"/>
      <c r="K31" s="1071"/>
      <c r="L31" s="1071"/>
      <c r="M31" s="1069"/>
      <c r="N31" s="1069"/>
      <c r="O31" s="1071"/>
      <c r="P31" s="1071"/>
      <c r="Q31" s="1071"/>
    </row>
    <row r="32" spans="1:17" ht="15.75">
      <c r="A32" s="1983" t="s">
        <v>226</v>
      </c>
      <c r="B32" s="1649" t="s">
        <v>362</v>
      </c>
      <c r="C32" s="1716"/>
      <c r="D32" s="817"/>
      <c r="E32" s="1716"/>
      <c r="F32" s="817"/>
      <c r="G32" s="1071"/>
      <c r="H32" s="817"/>
      <c r="I32" s="814"/>
      <c r="J32" s="1071"/>
      <c r="K32" s="1071"/>
      <c r="L32" s="1071"/>
      <c r="M32" s="1069"/>
      <c r="N32" s="1069"/>
      <c r="O32" s="1071"/>
      <c r="P32" s="1071"/>
      <c r="Q32" s="1071"/>
    </row>
    <row r="33" spans="1:20">
      <c r="A33" s="814"/>
      <c r="B33" s="555">
        <f>+B30+1</f>
        <v>10</v>
      </c>
      <c r="C33" s="1717"/>
      <c r="D33" s="21" t="s">
        <v>69</v>
      </c>
      <c r="E33" s="1420" t="str">
        <f>"(Wksht P-3, line "&amp;'P-3 (Trans. Network Load)'!A25&amp;")"</f>
        <v>(Wksht P-3, line 15)</v>
      </c>
      <c r="F33" s="1653"/>
      <c r="G33" s="814"/>
      <c r="H33" s="814"/>
      <c r="I33" s="1721">
        <f>'P-3 (Trans. Network Load)'!G25</f>
        <v>2726.2896247657409</v>
      </c>
      <c r="J33" s="1072"/>
      <c r="K33" s="1071"/>
      <c r="L33" s="1071"/>
      <c r="M33" s="1069"/>
      <c r="N33" s="1069"/>
      <c r="O33" s="1071"/>
      <c r="P33" s="1071"/>
      <c r="Q33" s="1071"/>
    </row>
    <row r="34" spans="1:20">
      <c r="A34" s="814"/>
      <c r="B34" s="555"/>
      <c r="C34" s="1717"/>
      <c r="D34" s="21"/>
      <c r="E34" s="817"/>
      <c r="F34" s="1653"/>
      <c r="G34" s="814"/>
      <c r="H34" s="814"/>
      <c r="I34" s="1721"/>
      <c r="J34" s="1072"/>
      <c r="K34" s="1071"/>
      <c r="L34" s="1071"/>
      <c r="M34" s="1069"/>
      <c r="N34" s="1069"/>
      <c r="O34" s="1071"/>
      <c r="P34" s="1071"/>
      <c r="Q34" s="1071"/>
    </row>
    <row r="35" spans="1:20">
      <c r="A35" s="814"/>
      <c r="B35" s="555">
        <f>+B33+1</f>
        <v>11</v>
      </c>
      <c r="C35" s="47"/>
      <c r="D35" s="21" t="str">
        <f>"Annual Point-to-Point Rate in $/MW - Year"</f>
        <v>Annual Point-to-Point Rate in $/MW - Year</v>
      </c>
      <c r="E35" s="47" t="str">
        <f>"(Line "&amp;B30&amp;" / Line "&amp;B33&amp;")"</f>
        <v>(Line 9 / Line 10)</v>
      </c>
      <c r="F35" s="47"/>
      <c r="G35" s="814"/>
      <c r="H35" s="814"/>
      <c r="I35" s="1650">
        <f>ROUND((I30/I33),1)</f>
        <v>191.1</v>
      </c>
      <c r="J35" s="58"/>
      <c r="K35" s="1071"/>
      <c r="L35" s="1071"/>
      <c r="M35" s="1069"/>
      <c r="N35" s="1069"/>
      <c r="O35" s="1071"/>
      <c r="P35" s="1071"/>
      <c r="Q35" s="1071"/>
    </row>
    <row r="36" spans="1:20">
      <c r="A36" s="814"/>
      <c r="B36" s="555">
        <f>+B35+1</f>
        <v>12</v>
      </c>
      <c r="C36" s="47"/>
      <c r="D36" s="21" t="str">
        <f>"Monthly Point-to-Point Rate  $/MW - Month"</f>
        <v>Monthly Point-to-Point Rate  $/MW - Month</v>
      </c>
      <c r="E36" s="47" t="str">
        <f>"(Line "&amp;B35&amp;" / 12)"</f>
        <v>(Line 11 / 12)</v>
      </c>
      <c r="F36" s="47"/>
      <c r="G36" s="814"/>
      <c r="H36" s="814"/>
      <c r="I36" s="1650">
        <f>ROUND((I35/12),1)</f>
        <v>15.9</v>
      </c>
      <c r="J36" s="58"/>
      <c r="K36" s="1071"/>
      <c r="L36" s="1071"/>
      <c r="M36" s="1069"/>
      <c r="N36" s="1069"/>
      <c r="O36" s="1071"/>
      <c r="P36" s="2264"/>
      <c r="Q36" s="2264"/>
    </row>
    <row r="37" spans="1:20">
      <c r="A37" s="814"/>
      <c r="B37" s="555">
        <f>+B36+1</f>
        <v>13</v>
      </c>
      <c r="C37" s="47"/>
      <c r="D37" s="21" t="str">
        <f>"Weekly Point-to-Point Rate  $/MW - Week"</f>
        <v>Weekly Point-to-Point Rate  $/MW - Week</v>
      </c>
      <c r="E37" s="47" t="str">
        <f>"(Line "&amp;B35&amp;" / 52)"</f>
        <v>(Line 11 / 52)</v>
      </c>
      <c r="F37" s="47"/>
      <c r="G37" s="814"/>
      <c r="H37" s="814"/>
      <c r="I37" s="1650">
        <f>ROUND((I35/52),2)</f>
        <v>3.68</v>
      </c>
      <c r="J37" s="58"/>
      <c r="K37" s="1071"/>
      <c r="L37" s="1071"/>
      <c r="M37" s="1069"/>
      <c r="N37" s="1069"/>
      <c r="O37" s="1071"/>
      <c r="P37" s="1071"/>
      <c r="Q37" s="1071"/>
    </row>
    <row r="38" spans="1:20">
      <c r="A38" s="814"/>
      <c r="B38" s="555">
        <f>+B37+1</f>
        <v>14</v>
      </c>
      <c r="C38" s="47"/>
      <c r="D38" s="21" t="str">
        <f>"Daily Point-to-Point Rate  $/MW - Day"</f>
        <v>Daily Point-to-Point Rate  $/MW - Day</v>
      </c>
      <c r="E38" s="47" t="str">
        <f>"(Line "&amp;B35&amp;" / 365)"</f>
        <v>(Line 11 / 365)</v>
      </c>
      <c r="F38" s="47"/>
      <c r="G38" s="814"/>
      <c r="H38" s="814"/>
      <c r="I38" s="1650">
        <f>ROUND((I35/365),3)</f>
        <v>0.52400000000000002</v>
      </c>
      <c r="J38" s="58"/>
      <c r="K38" s="1418"/>
      <c r="L38" s="1073"/>
      <c r="M38" s="1073"/>
      <c r="N38" s="1073"/>
      <c r="O38" s="1073"/>
      <c r="P38" s="1074"/>
      <c r="Q38" s="1074"/>
      <c r="R38" s="815"/>
      <c r="S38" s="815"/>
      <c r="T38" s="815"/>
    </row>
    <row r="39" spans="1:20">
      <c r="A39" s="814"/>
      <c r="B39" s="555">
        <f>+B38+1</f>
        <v>15</v>
      </c>
      <c r="C39" s="47"/>
      <c r="D39" s="21" t="str">
        <f>"Hourly Point-to-Point Rate  $/MW - Hour"</f>
        <v>Hourly Point-to-Point Rate  $/MW - Hour</v>
      </c>
      <c r="E39" s="47" t="str">
        <f>"(Line "&amp;B35&amp;" / 8760)"</f>
        <v>(Line 11 / 8760)</v>
      </c>
      <c r="F39" s="47"/>
      <c r="G39" s="814"/>
      <c r="H39" s="814"/>
      <c r="I39" s="1650">
        <f>ROUND((I35/8760),3)</f>
        <v>2.1999999999999999E-2</v>
      </c>
      <c r="J39" s="58"/>
      <c r="K39" s="1418"/>
      <c r="L39" s="1073"/>
      <c r="M39" s="1073"/>
      <c r="N39" s="1073"/>
      <c r="O39" s="1073"/>
      <c r="P39" s="1074"/>
      <c r="Q39" s="1074"/>
      <c r="R39" s="815"/>
      <c r="S39" s="815"/>
      <c r="T39" s="815"/>
    </row>
    <row r="40" spans="1:20">
      <c r="B40" s="481"/>
      <c r="C40" s="39"/>
      <c r="D40" s="39"/>
      <c r="E40" s="39"/>
      <c r="F40" s="39"/>
      <c r="G40" s="815"/>
      <c r="H40" s="39"/>
      <c r="I40" s="47"/>
      <c r="J40" s="1073"/>
      <c r="K40" s="1073"/>
      <c r="L40" s="1073"/>
      <c r="M40" s="1073"/>
      <c r="N40" s="1073"/>
      <c r="O40" s="1073"/>
      <c r="P40" s="1073"/>
      <c r="Q40" s="1073"/>
      <c r="R40" s="815"/>
      <c r="S40" s="815"/>
      <c r="T40" s="815"/>
    </row>
    <row r="41" spans="1:20" ht="15.75">
      <c r="A41" s="553" t="s">
        <v>228</v>
      </c>
      <c r="B41" s="554" t="s">
        <v>363</v>
      </c>
      <c r="C41" s="39"/>
      <c r="D41" s="39"/>
      <c r="E41" s="39"/>
      <c r="F41" s="39"/>
      <c r="G41" s="815"/>
      <c r="H41" s="39"/>
      <c r="I41" s="56"/>
      <c r="J41" s="1073"/>
      <c r="K41" s="1073"/>
      <c r="L41" s="1073"/>
      <c r="M41" s="1073"/>
      <c r="N41" s="1073"/>
      <c r="O41" s="1073"/>
      <c r="P41" s="1073"/>
      <c r="Q41" s="1073"/>
      <c r="R41" s="815"/>
      <c r="S41" s="815"/>
      <c r="T41" s="815"/>
    </row>
    <row r="42" spans="1:20" ht="15.75">
      <c r="B42" s="816"/>
      <c r="C42" s="817"/>
      <c r="D42" s="485"/>
      <c r="E42" s="1982"/>
      <c r="F42" s="485"/>
      <c r="G42" s="485" t="s">
        <v>49</v>
      </c>
      <c r="I42" s="1981"/>
      <c r="J42" s="497"/>
      <c r="K42" s="1075"/>
      <c r="L42" s="497"/>
      <c r="M42" s="497"/>
      <c r="N42" s="497"/>
      <c r="O42" s="497"/>
      <c r="P42" s="497"/>
      <c r="Q42" s="497"/>
      <c r="R42" s="815"/>
      <c r="S42" s="815"/>
      <c r="T42" s="815"/>
    </row>
    <row r="43" spans="1:20">
      <c r="B43" s="552">
        <f>B39+1</f>
        <v>16</v>
      </c>
      <c r="C43" s="806"/>
      <c r="D43" s="1" t="s">
        <v>364</v>
      </c>
      <c r="E43" s="1420" t="str">
        <f>"(Actual Sched 1 Rev  Req, Line "&amp;'Actual Sch 1 Rev Req'!B25&amp;")"</f>
        <v>(Actual Sched 1 Rev  Req, Line 7)</v>
      </c>
      <c r="F43" s="941"/>
      <c r="G43" s="2028">
        <f>'Actual Sch 1 Rev Req'!I25</f>
        <v>566037</v>
      </c>
      <c r="H43" s="804"/>
      <c r="I43" s="2026"/>
      <c r="J43" s="497"/>
      <c r="K43" s="497"/>
      <c r="L43" s="497"/>
      <c r="M43" s="497"/>
      <c r="N43" s="497"/>
      <c r="O43" s="497"/>
      <c r="P43" s="497"/>
      <c r="Q43" s="497"/>
      <c r="R43" s="815"/>
      <c r="S43" s="815"/>
      <c r="T43" s="815"/>
    </row>
    <row r="44" spans="1:20" ht="16.5" thickBot="1">
      <c r="B44" s="552">
        <f>+B43+1</f>
        <v>17</v>
      </c>
      <c r="C44" s="806"/>
      <c r="D44" s="1" t="s">
        <v>365</v>
      </c>
      <c r="E44" s="941" t="s">
        <v>1756</v>
      </c>
      <c r="F44" s="941"/>
      <c r="G44" s="2027">
        <v>623110</v>
      </c>
      <c r="H44" s="804"/>
      <c r="I44" s="2026"/>
      <c r="J44" s="497"/>
      <c r="K44" s="2011"/>
      <c r="L44" s="2011"/>
      <c r="M44" s="2011"/>
      <c r="N44" s="497"/>
      <c r="O44" s="497"/>
      <c r="P44" s="937"/>
      <c r="Q44" s="937"/>
      <c r="R44" s="815"/>
      <c r="S44" s="815"/>
      <c r="T44" s="815"/>
    </row>
    <row r="45" spans="1:20">
      <c r="B45" s="552">
        <f>+B44+1</f>
        <v>18</v>
      </c>
      <c r="C45" s="806"/>
      <c r="D45" s="1" t="s">
        <v>366</v>
      </c>
      <c r="E45" s="1020" t="str">
        <f>"(Line "&amp;B43&amp;"  minus  Line "&amp;B44&amp;")"</f>
        <v>(Line 16  minus  Line 17)</v>
      </c>
      <c r="F45" s="804"/>
      <c r="G45" s="821">
        <f>G43-G44</f>
        <v>-57073</v>
      </c>
      <c r="H45" s="804"/>
      <c r="I45" s="824"/>
      <c r="J45" s="497"/>
      <c r="K45" s="497"/>
      <c r="L45" s="497"/>
      <c r="M45" s="497"/>
      <c r="N45" s="497"/>
      <c r="O45" s="497"/>
      <c r="P45" s="1063"/>
      <c r="Q45" s="1063"/>
      <c r="R45" s="815"/>
      <c r="S45" s="815"/>
      <c r="T45" s="815"/>
    </row>
    <row r="46" spans="1:20">
      <c r="E46" s="941"/>
      <c r="F46" s="804"/>
      <c r="G46" s="821"/>
      <c r="H46" s="804"/>
      <c r="I46" s="823"/>
      <c r="J46" s="497"/>
      <c r="K46" s="497"/>
      <c r="L46" s="497"/>
      <c r="M46" s="497"/>
      <c r="N46" s="497"/>
      <c r="O46" s="497"/>
      <c r="P46" s="1063"/>
      <c r="Q46" s="1063"/>
      <c r="R46" s="815"/>
      <c r="S46" s="815"/>
      <c r="T46" s="815"/>
    </row>
    <row r="47" spans="1:20">
      <c r="B47" s="552">
        <f>+B45+1</f>
        <v>19</v>
      </c>
      <c r="C47" s="806"/>
      <c r="D47" s="1" t="s">
        <v>1015</v>
      </c>
      <c r="E47" s="498"/>
      <c r="F47" s="822"/>
      <c r="G47" s="821"/>
      <c r="H47" s="804"/>
      <c r="I47" s="823"/>
      <c r="J47" s="497"/>
      <c r="K47" s="497"/>
      <c r="L47" s="497"/>
      <c r="M47" s="497"/>
      <c r="N47" s="497"/>
      <c r="O47" s="497"/>
      <c r="P47" s="1063"/>
      <c r="Q47" s="1063"/>
      <c r="R47" s="815"/>
      <c r="S47" s="815"/>
      <c r="T47" s="815"/>
    </row>
    <row r="48" spans="1:20">
      <c r="B48" s="555">
        <f>B47+1</f>
        <v>20</v>
      </c>
      <c r="C48" s="817"/>
      <c r="D48" s="1" t="s">
        <v>376</v>
      </c>
      <c r="E48" s="498" t="s">
        <v>552</v>
      </c>
      <c r="F48" s="485"/>
      <c r="G48" s="942">
        <f>IF(G43&gt;G44,G45,0)*(MIN('TU (True-Up)'!H62,'TU (True-Up)'!H53)/12)*24</f>
        <v>0</v>
      </c>
      <c r="H48" s="485"/>
      <c r="I48" s="942"/>
      <c r="J48" s="497"/>
      <c r="K48" s="497"/>
      <c r="L48" s="497"/>
      <c r="M48" s="497"/>
      <c r="N48" s="497"/>
      <c r="O48" s="497"/>
      <c r="P48" s="1063"/>
      <c r="Q48" s="1063"/>
      <c r="R48" s="815"/>
      <c r="S48" s="815"/>
      <c r="T48" s="815"/>
    </row>
    <row r="49" spans="2:20">
      <c r="B49" s="818"/>
      <c r="C49" s="815"/>
      <c r="D49" s="1932"/>
      <c r="E49" s="498"/>
      <c r="F49" s="485"/>
      <c r="G49" s="942"/>
      <c r="H49" s="485"/>
      <c r="I49" s="788"/>
      <c r="J49" s="497"/>
      <c r="K49" s="497"/>
      <c r="L49" s="497"/>
      <c r="M49" s="497"/>
      <c r="N49" s="497"/>
      <c r="O49" s="497"/>
      <c r="P49" s="1076"/>
      <c r="Q49" s="1076"/>
      <c r="R49" s="815"/>
      <c r="S49" s="815"/>
      <c r="T49" s="815"/>
    </row>
    <row r="50" spans="2:20">
      <c r="B50" s="555">
        <f>B48+1</f>
        <v>21</v>
      </c>
      <c r="C50" s="815"/>
      <c r="D50" s="21" t="s">
        <v>1368</v>
      </c>
      <c r="E50" s="814" t="s">
        <v>1096</v>
      </c>
      <c r="F50" s="485"/>
      <c r="G50" s="2079">
        <f>IF(G43&lt;G44,G45,0)*('TU (True-Up)'!H62/12)*24</f>
        <v>-3709.7449999999999</v>
      </c>
      <c r="H50" s="485"/>
      <c r="I50" s="788"/>
      <c r="J50" s="497"/>
      <c r="K50" s="497"/>
      <c r="L50" s="497"/>
      <c r="M50" s="497"/>
      <c r="N50" s="497"/>
      <c r="O50" s="497"/>
      <c r="P50" s="1076"/>
      <c r="Q50" s="1076"/>
      <c r="R50" s="815"/>
      <c r="S50" s="815"/>
      <c r="T50" s="815"/>
    </row>
    <row r="51" spans="2:20">
      <c r="B51" s="818"/>
      <c r="C51" s="815"/>
      <c r="D51" s="485"/>
      <c r="E51" s="498"/>
      <c r="F51" s="485"/>
      <c r="G51" s="485"/>
      <c r="H51" s="485"/>
      <c r="I51" s="788"/>
      <c r="J51" s="497"/>
      <c r="K51" s="497"/>
      <c r="L51" s="497"/>
      <c r="M51" s="497"/>
      <c r="N51" s="497"/>
      <c r="O51" s="497"/>
      <c r="P51" s="1076"/>
      <c r="Q51" s="1076"/>
      <c r="R51" s="815"/>
      <c r="S51" s="815"/>
      <c r="T51" s="815"/>
    </row>
    <row r="52" spans="2:20" ht="15.75" thickBot="1">
      <c r="B52" s="555">
        <f>B50+1</f>
        <v>22</v>
      </c>
      <c r="C52" s="815"/>
      <c r="D52" s="1" t="s">
        <v>527</v>
      </c>
      <c r="E52" s="1020" t="str">
        <f>"(Sum Line "&amp;B45&amp;" thru Line "&amp;B50&amp;")"</f>
        <v>(Sum Line 18 thru Line 21)</v>
      </c>
      <c r="F52" s="485"/>
      <c r="G52" s="867"/>
      <c r="H52" s="485"/>
      <c r="I52" s="825">
        <f>SUM(G45:G50)</f>
        <v>-60782.745000000003</v>
      </c>
      <c r="J52" s="497"/>
      <c r="K52" s="497"/>
      <c r="L52" s="497"/>
      <c r="M52" s="497"/>
      <c r="N52" s="497"/>
      <c r="O52" s="497"/>
      <c r="P52" s="497"/>
      <c r="Q52" s="497"/>
      <c r="R52" s="815"/>
      <c r="S52" s="815"/>
      <c r="T52" s="815"/>
    </row>
    <row r="53" spans="2:20" ht="15.75" thickTop="1">
      <c r="B53" s="818"/>
      <c r="C53" s="815"/>
      <c r="D53" s="485"/>
      <c r="E53" s="485"/>
      <c r="F53" s="485"/>
      <c r="G53" s="788"/>
      <c r="H53" s="485"/>
      <c r="I53" s="485"/>
      <c r="J53" s="497"/>
      <c r="K53" s="497"/>
      <c r="L53" s="497"/>
      <c r="M53" s="497"/>
      <c r="N53" s="497"/>
      <c r="O53" s="497"/>
      <c r="P53" s="1076"/>
      <c r="Q53" s="1076"/>
      <c r="R53" s="815"/>
      <c r="S53" s="815"/>
      <c r="T53" s="815"/>
    </row>
    <row r="54" spans="2:20" ht="15.75">
      <c r="B54" s="681" t="s">
        <v>1547</v>
      </c>
      <c r="C54" s="815"/>
      <c r="E54" s="485"/>
      <c r="F54" s="485"/>
      <c r="G54" s="485"/>
      <c r="H54" s="485"/>
      <c r="I54" s="485"/>
      <c r="J54" s="497"/>
      <c r="K54" s="497"/>
      <c r="L54" s="497"/>
      <c r="M54" s="497"/>
      <c r="N54" s="497"/>
      <c r="O54" s="497"/>
      <c r="P54" s="497"/>
      <c r="Q54" s="1073"/>
      <c r="R54" s="815"/>
      <c r="S54" s="815"/>
      <c r="T54" s="815"/>
    </row>
    <row r="55" spans="2:20">
      <c r="B55" s="826" t="s">
        <v>1393</v>
      </c>
      <c r="C55" s="815"/>
      <c r="D55" s="498" t="s">
        <v>1157</v>
      </c>
      <c r="E55" s="485"/>
      <c r="F55" s="485"/>
      <c r="G55" s="485"/>
      <c r="H55" s="485"/>
      <c r="I55" s="485"/>
      <c r="J55" s="485"/>
      <c r="K55" s="485"/>
      <c r="L55" s="485"/>
      <c r="M55" s="485"/>
      <c r="N55" s="485"/>
      <c r="O55" s="485"/>
      <c r="P55" s="485"/>
      <c r="Q55" s="815"/>
      <c r="R55" s="815"/>
      <c r="S55" s="815"/>
      <c r="T55" s="815"/>
    </row>
    <row r="56" spans="2:20">
      <c r="B56" s="826" t="s">
        <v>1387</v>
      </c>
      <c r="C56" s="815"/>
      <c r="D56" s="498" t="s">
        <v>1026</v>
      </c>
      <c r="E56" s="485"/>
      <c r="F56" s="485"/>
      <c r="G56" s="485"/>
      <c r="H56" s="485"/>
      <c r="I56" s="485"/>
      <c r="J56" s="485"/>
      <c r="K56" s="485"/>
      <c r="L56" s="485"/>
      <c r="M56" s="485"/>
      <c r="N56" s="485"/>
      <c r="O56" s="485"/>
      <c r="P56" s="485"/>
      <c r="Q56" s="815"/>
      <c r="R56" s="815"/>
      <c r="S56" s="815"/>
      <c r="T56" s="815"/>
    </row>
    <row r="57" spans="2:20">
      <c r="B57" s="826" t="s">
        <v>700</v>
      </c>
      <c r="C57" s="815"/>
      <c r="D57" s="592" t="s">
        <v>1027</v>
      </c>
      <c r="E57" s="485"/>
      <c r="F57" s="485"/>
      <c r="G57" s="485"/>
      <c r="H57" s="485"/>
      <c r="I57" s="485"/>
      <c r="J57" s="485"/>
      <c r="K57" s="485"/>
      <c r="L57" s="485"/>
      <c r="M57" s="485"/>
      <c r="N57" s="485"/>
      <c r="O57" s="485"/>
      <c r="P57" s="485"/>
      <c r="Q57" s="815"/>
      <c r="R57" s="815"/>
      <c r="S57" s="815"/>
      <c r="T57" s="815"/>
    </row>
    <row r="58" spans="2:20">
      <c r="B58" s="818"/>
      <c r="C58" s="815"/>
      <c r="D58" s="485"/>
      <c r="E58" s="485"/>
      <c r="F58" s="485"/>
      <c r="G58" s="485"/>
      <c r="H58" s="485"/>
      <c r="I58" s="485"/>
      <c r="J58" s="485"/>
      <c r="K58" s="485"/>
      <c r="L58" s="485"/>
      <c r="M58" s="485"/>
      <c r="N58" s="485"/>
      <c r="O58" s="485"/>
      <c r="P58" s="485"/>
      <c r="Q58" s="815"/>
      <c r="R58" s="815"/>
      <c r="S58" s="815"/>
      <c r="T58" s="815"/>
    </row>
    <row r="59" spans="2:20">
      <c r="B59" s="818"/>
      <c r="C59" s="815"/>
      <c r="D59" s="815"/>
      <c r="E59" s="815"/>
      <c r="F59" s="815"/>
      <c r="G59" s="815"/>
      <c r="H59" s="815"/>
      <c r="I59" s="815"/>
      <c r="J59" s="815"/>
      <c r="K59" s="815"/>
      <c r="L59" s="815"/>
      <c r="M59" s="815"/>
      <c r="N59" s="815"/>
      <c r="O59" s="815"/>
      <c r="P59" s="815"/>
      <c r="Q59" s="815"/>
      <c r="R59" s="815"/>
      <c r="S59" s="815"/>
      <c r="T59" s="815"/>
    </row>
    <row r="60" spans="2:20">
      <c r="B60" s="818"/>
      <c r="C60" s="815"/>
      <c r="D60" s="815"/>
      <c r="E60" s="815"/>
      <c r="F60" s="815"/>
      <c r="G60" s="815"/>
      <c r="H60" s="815"/>
      <c r="I60" s="815"/>
      <c r="J60" s="815"/>
      <c r="K60" s="815"/>
      <c r="L60" s="815"/>
      <c r="M60" s="815"/>
      <c r="N60" s="815"/>
      <c r="O60" s="815"/>
      <c r="P60" s="815"/>
      <c r="Q60" s="815"/>
      <c r="R60" s="815"/>
      <c r="S60" s="815"/>
      <c r="T60" s="815"/>
    </row>
    <row r="61" spans="2:20">
      <c r="B61" s="818"/>
      <c r="C61" s="815"/>
      <c r="D61" s="815"/>
      <c r="E61" s="815"/>
      <c r="F61" s="815"/>
      <c r="G61" s="815"/>
      <c r="H61" s="815"/>
      <c r="I61" s="815"/>
      <c r="J61" s="815"/>
      <c r="K61" s="815"/>
      <c r="L61" s="815"/>
      <c r="M61" s="815"/>
      <c r="N61" s="815"/>
      <c r="O61" s="815"/>
      <c r="P61" s="815"/>
      <c r="Q61" s="815"/>
      <c r="R61" s="815"/>
      <c r="S61" s="815"/>
      <c r="T61" s="815"/>
    </row>
    <row r="62" spans="2:20">
      <c r="B62" s="818"/>
      <c r="C62" s="815"/>
      <c r="D62" s="815"/>
      <c r="E62" s="815"/>
      <c r="F62" s="815"/>
      <c r="G62" s="815"/>
      <c r="H62" s="815"/>
      <c r="I62" s="815"/>
      <c r="J62" s="815"/>
      <c r="K62" s="815"/>
      <c r="L62" s="815"/>
      <c r="M62" s="815"/>
      <c r="N62" s="815"/>
      <c r="O62" s="815"/>
      <c r="P62" s="815"/>
      <c r="Q62" s="815"/>
      <c r="R62" s="815"/>
      <c r="S62" s="815"/>
      <c r="T62" s="815"/>
    </row>
    <row r="63" spans="2:20">
      <c r="B63" s="818"/>
      <c r="C63" s="815"/>
      <c r="D63" s="815"/>
      <c r="E63" s="815"/>
      <c r="F63" s="815"/>
      <c r="G63" s="815"/>
      <c r="H63" s="815"/>
      <c r="I63" s="815"/>
      <c r="J63" s="815"/>
      <c r="K63" s="815"/>
      <c r="L63" s="815"/>
      <c r="M63" s="815"/>
      <c r="N63" s="815"/>
      <c r="O63" s="815"/>
      <c r="P63" s="815"/>
      <c r="Q63" s="815"/>
      <c r="R63" s="815"/>
      <c r="S63" s="815"/>
      <c r="T63" s="815"/>
    </row>
    <row r="64" spans="2:20">
      <c r="B64" s="818"/>
      <c r="C64" s="815"/>
      <c r="D64" s="815"/>
      <c r="E64" s="815"/>
      <c r="F64" s="815"/>
      <c r="G64" s="815"/>
      <c r="H64" s="815"/>
      <c r="I64" s="815"/>
      <c r="J64" s="815"/>
      <c r="K64" s="815"/>
      <c r="L64" s="815"/>
      <c r="M64" s="815"/>
      <c r="N64" s="815"/>
      <c r="O64" s="815"/>
      <c r="P64" s="815"/>
      <c r="Q64" s="815"/>
      <c r="R64" s="815"/>
      <c r="S64" s="815"/>
      <c r="T64" s="815"/>
    </row>
    <row r="65" spans="2:20">
      <c r="B65" s="818"/>
      <c r="C65" s="815"/>
      <c r="D65" s="815"/>
      <c r="E65" s="815"/>
      <c r="F65" s="815"/>
      <c r="G65" s="815"/>
      <c r="H65" s="815"/>
      <c r="I65" s="815"/>
      <c r="J65" s="815"/>
      <c r="K65" s="815"/>
      <c r="L65" s="815"/>
      <c r="M65" s="815"/>
      <c r="N65" s="815"/>
      <c r="O65" s="815"/>
      <c r="P65" s="815"/>
      <c r="Q65" s="815"/>
      <c r="R65" s="815"/>
      <c r="S65" s="815"/>
      <c r="T65" s="815"/>
    </row>
    <row r="66" spans="2:20">
      <c r="B66" s="818"/>
      <c r="C66" s="815"/>
      <c r="D66" s="815"/>
      <c r="E66" s="815"/>
      <c r="F66" s="815"/>
      <c r="G66" s="815"/>
      <c r="H66" s="815"/>
      <c r="I66" s="815"/>
      <c r="J66" s="815"/>
      <c r="K66" s="815"/>
      <c r="L66" s="815"/>
      <c r="M66" s="815"/>
      <c r="N66" s="815"/>
      <c r="O66" s="815"/>
      <c r="P66" s="815"/>
      <c r="Q66" s="815"/>
      <c r="R66" s="815"/>
      <c r="S66" s="815"/>
      <c r="T66" s="815"/>
    </row>
    <row r="67" spans="2:20">
      <c r="B67" s="818"/>
      <c r="C67" s="815"/>
      <c r="D67" s="815"/>
      <c r="E67" s="815"/>
      <c r="F67" s="815"/>
      <c r="G67" s="815"/>
      <c r="H67" s="815"/>
      <c r="I67" s="815"/>
      <c r="J67" s="815"/>
      <c r="K67" s="815"/>
      <c r="L67" s="815"/>
      <c r="M67" s="815"/>
      <c r="N67" s="815"/>
      <c r="O67" s="815"/>
      <c r="P67" s="815"/>
      <c r="Q67" s="815"/>
      <c r="R67" s="815"/>
      <c r="S67" s="815"/>
      <c r="T67" s="815"/>
    </row>
    <row r="68" spans="2:20">
      <c r="B68" s="818"/>
      <c r="C68" s="815"/>
      <c r="D68" s="815"/>
      <c r="E68" s="815"/>
      <c r="F68" s="815"/>
      <c r="G68" s="815"/>
      <c r="H68" s="815"/>
      <c r="I68" s="815"/>
      <c r="J68" s="815"/>
      <c r="K68" s="815"/>
      <c r="L68" s="815"/>
      <c r="M68" s="815"/>
      <c r="N68" s="815"/>
      <c r="O68" s="815"/>
      <c r="P68" s="815"/>
      <c r="Q68" s="815"/>
      <c r="R68" s="815"/>
      <c r="S68" s="815"/>
      <c r="T68" s="815"/>
    </row>
    <row r="69" spans="2:20">
      <c r="B69" s="818"/>
      <c r="C69" s="815"/>
      <c r="D69" s="815"/>
      <c r="E69" s="815"/>
      <c r="F69" s="815"/>
      <c r="G69" s="815"/>
      <c r="H69" s="815"/>
      <c r="I69" s="815"/>
      <c r="J69" s="815"/>
      <c r="K69" s="815"/>
      <c r="L69" s="815"/>
      <c r="M69" s="815"/>
      <c r="N69" s="815"/>
      <c r="O69" s="815"/>
      <c r="P69" s="815"/>
      <c r="Q69" s="815"/>
      <c r="R69" s="815"/>
      <c r="S69" s="815"/>
      <c r="T69" s="815"/>
    </row>
    <row r="70" spans="2:20">
      <c r="B70" s="818"/>
      <c r="C70" s="815"/>
      <c r="D70" s="815"/>
      <c r="E70" s="815"/>
      <c r="F70" s="815"/>
      <c r="G70" s="815"/>
      <c r="H70" s="815"/>
      <c r="I70" s="815"/>
      <c r="J70" s="815"/>
      <c r="K70" s="815"/>
      <c r="L70" s="815"/>
      <c r="M70" s="815"/>
      <c r="N70" s="815"/>
      <c r="O70" s="815"/>
      <c r="P70" s="815"/>
      <c r="Q70" s="815"/>
      <c r="R70" s="815"/>
      <c r="S70" s="815"/>
      <c r="T70" s="815"/>
    </row>
    <row r="71" spans="2:20">
      <c r="B71" s="818"/>
      <c r="C71" s="815"/>
      <c r="D71" s="815"/>
      <c r="E71" s="815"/>
      <c r="F71" s="815"/>
      <c r="G71" s="815"/>
      <c r="H71" s="815"/>
      <c r="I71" s="815"/>
      <c r="J71" s="815"/>
      <c r="K71" s="815"/>
      <c r="L71" s="815"/>
      <c r="M71" s="815"/>
      <c r="N71" s="815"/>
      <c r="O71" s="815"/>
      <c r="P71" s="815"/>
      <c r="Q71" s="815"/>
      <c r="R71" s="815"/>
      <c r="S71" s="815"/>
      <c r="T71" s="815"/>
    </row>
    <row r="72" spans="2:20">
      <c r="B72" s="818"/>
      <c r="C72" s="815"/>
      <c r="D72" s="815"/>
      <c r="E72" s="815"/>
      <c r="F72" s="815"/>
      <c r="G72" s="815"/>
      <c r="H72" s="815"/>
      <c r="I72" s="815"/>
      <c r="J72" s="815"/>
      <c r="K72" s="815"/>
      <c r="L72" s="815"/>
      <c r="M72" s="815"/>
      <c r="N72" s="815"/>
      <c r="O72" s="815"/>
      <c r="P72" s="815"/>
      <c r="Q72" s="815"/>
      <c r="R72" s="815"/>
      <c r="S72" s="815"/>
      <c r="T72" s="815"/>
    </row>
    <row r="73" spans="2:20">
      <c r="B73" s="818"/>
      <c r="C73" s="815"/>
      <c r="D73" s="815"/>
      <c r="E73" s="815"/>
      <c r="F73" s="815"/>
      <c r="G73" s="815"/>
      <c r="H73" s="815"/>
      <c r="I73" s="815"/>
      <c r="J73" s="815"/>
      <c r="K73" s="815"/>
      <c r="L73" s="815"/>
      <c r="M73" s="815"/>
      <c r="N73" s="815"/>
      <c r="O73" s="815"/>
      <c r="P73" s="815"/>
      <c r="Q73" s="815"/>
      <c r="R73" s="815"/>
      <c r="S73" s="815"/>
      <c r="T73" s="815"/>
    </row>
    <row r="74" spans="2:20">
      <c r="B74" s="818"/>
      <c r="C74" s="815"/>
      <c r="D74" s="815"/>
      <c r="E74" s="815"/>
      <c r="F74" s="815"/>
      <c r="G74" s="815"/>
      <c r="H74" s="815"/>
      <c r="I74" s="815"/>
      <c r="J74" s="815"/>
      <c r="K74" s="815"/>
      <c r="L74" s="815"/>
      <c r="M74" s="815"/>
      <c r="N74" s="815"/>
      <c r="O74" s="815"/>
      <c r="P74" s="815"/>
      <c r="Q74" s="815"/>
      <c r="R74" s="815"/>
      <c r="S74" s="815"/>
      <c r="T74" s="815"/>
    </row>
    <row r="75" spans="2:20">
      <c r="B75" s="818"/>
      <c r="C75" s="815"/>
      <c r="D75" s="815"/>
      <c r="E75" s="815"/>
      <c r="F75" s="815"/>
      <c r="G75" s="815"/>
      <c r="H75" s="815"/>
      <c r="I75" s="815"/>
      <c r="J75" s="815"/>
      <c r="K75" s="815"/>
      <c r="L75" s="815"/>
      <c r="M75" s="815"/>
      <c r="N75" s="815"/>
      <c r="O75" s="815"/>
      <c r="P75" s="815"/>
      <c r="Q75" s="815"/>
      <c r="R75" s="815"/>
      <c r="S75" s="815"/>
      <c r="T75" s="815"/>
    </row>
    <row r="76" spans="2:20">
      <c r="B76" s="818"/>
      <c r="C76" s="815"/>
      <c r="D76" s="815"/>
      <c r="E76" s="815"/>
      <c r="F76" s="815"/>
      <c r="G76" s="815"/>
      <c r="H76" s="815"/>
      <c r="I76" s="815"/>
      <c r="J76" s="815"/>
      <c r="K76" s="815"/>
      <c r="L76" s="815"/>
      <c r="M76" s="815"/>
      <c r="N76" s="815"/>
      <c r="O76" s="815"/>
      <c r="P76" s="815"/>
      <c r="Q76" s="815"/>
      <c r="R76" s="815"/>
      <c r="S76" s="815"/>
      <c r="T76" s="815"/>
    </row>
    <row r="77" spans="2:20">
      <c r="B77" s="818"/>
      <c r="C77" s="815"/>
      <c r="D77" s="815"/>
      <c r="E77" s="815"/>
      <c r="F77" s="815"/>
      <c r="G77" s="815"/>
      <c r="H77" s="815"/>
      <c r="I77" s="815"/>
      <c r="J77" s="815"/>
      <c r="K77" s="815"/>
      <c r="L77" s="815"/>
      <c r="M77" s="815"/>
      <c r="N77" s="815"/>
      <c r="O77" s="815"/>
      <c r="P77" s="815"/>
      <c r="Q77" s="815"/>
      <c r="R77" s="815"/>
      <c r="S77" s="815"/>
      <c r="T77" s="815"/>
    </row>
    <row r="78" spans="2:20">
      <c r="B78" s="818"/>
      <c r="C78" s="815"/>
      <c r="D78" s="815"/>
      <c r="E78" s="815"/>
      <c r="F78" s="815"/>
      <c r="G78" s="815"/>
      <c r="H78" s="815"/>
      <c r="I78" s="815"/>
      <c r="J78" s="815"/>
      <c r="K78" s="815"/>
      <c r="L78" s="815"/>
      <c r="M78" s="815"/>
      <c r="N78" s="815"/>
      <c r="O78" s="815"/>
      <c r="P78" s="815"/>
      <c r="Q78" s="815"/>
      <c r="R78" s="815"/>
      <c r="S78" s="815"/>
      <c r="T78" s="815"/>
    </row>
    <row r="79" spans="2:20">
      <c r="B79" s="818"/>
      <c r="C79" s="815"/>
      <c r="D79" s="815"/>
      <c r="E79" s="815"/>
      <c r="F79" s="815"/>
      <c r="G79" s="815"/>
      <c r="H79" s="815"/>
      <c r="I79" s="815"/>
      <c r="J79" s="815"/>
      <c r="K79" s="815"/>
      <c r="L79" s="815"/>
      <c r="M79" s="815"/>
      <c r="N79" s="815"/>
      <c r="O79" s="815"/>
      <c r="P79" s="815"/>
      <c r="Q79" s="815"/>
      <c r="R79" s="815"/>
      <c r="S79" s="815"/>
      <c r="T79" s="815"/>
    </row>
    <row r="80" spans="2:20">
      <c r="B80" s="818"/>
      <c r="C80" s="815"/>
      <c r="D80" s="815"/>
      <c r="E80" s="815"/>
      <c r="F80" s="815"/>
      <c r="G80" s="815"/>
      <c r="H80" s="815"/>
      <c r="I80" s="815"/>
      <c r="J80" s="815"/>
      <c r="K80" s="815"/>
      <c r="L80" s="815"/>
      <c r="M80" s="815"/>
      <c r="N80" s="815"/>
      <c r="O80" s="815"/>
      <c r="P80" s="815"/>
      <c r="Q80" s="815"/>
      <c r="R80" s="815"/>
      <c r="S80" s="815"/>
      <c r="T80" s="815"/>
    </row>
    <row r="81" spans="2:20">
      <c r="B81" s="818"/>
      <c r="C81" s="815"/>
      <c r="D81" s="815"/>
      <c r="E81" s="815"/>
      <c r="F81" s="815"/>
      <c r="G81" s="815"/>
      <c r="H81" s="815"/>
      <c r="I81" s="815"/>
      <c r="J81" s="815"/>
      <c r="K81" s="815"/>
      <c r="L81" s="815"/>
      <c r="M81" s="815"/>
      <c r="N81" s="815"/>
      <c r="O81" s="815"/>
      <c r="P81" s="815"/>
      <c r="Q81" s="815"/>
      <c r="R81" s="815"/>
      <c r="S81" s="815"/>
      <c r="T81" s="815"/>
    </row>
    <row r="82" spans="2:20">
      <c r="B82" s="818"/>
      <c r="C82" s="815"/>
      <c r="D82" s="815"/>
      <c r="E82" s="815"/>
      <c r="F82" s="815"/>
      <c r="G82" s="815"/>
      <c r="H82" s="815"/>
      <c r="I82" s="815"/>
      <c r="J82" s="815"/>
      <c r="K82" s="815"/>
      <c r="L82" s="815"/>
      <c r="M82" s="815"/>
      <c r="N82" s="815"/>
      <c r="O82" s="815"/>
      <c r="P82" s="815"/>
      <c r="Q82" s="815"/>
      <c r="R82" s="815"/>
      <c r="S82" s="815"/>
      <c r="T82" s="815"/>
    </row>
    <row r="83" spans="2:20">
      <c r="B83" s="818"/>
      <c r="C83" s="815"/>
      <c r="D83" s="815"/>
      <c r="E83" s="815"/>
      <c r="F83" s="815"/>
      <c r="G83" s="815"/>
      <c r="H83" s="815"/>
      <c r="I83" s="815"/>
      <c r="J83" s="815"/>
      <c r="K83" s="815"/>
      <c r="L83" s="815"/>
      <c r="M83" s="815"/>
      <c r="N83" s="815"/>
      <c r="O83" s="815"/>
      <c r="P83" s="815"/>
      <c r="Q83" s="815"/>
      <c r="R83" s="815"/>
      <c r="S83" s="815"/>
      <c r="T83" s="815"/>
    </row>
    <row r="84" spans="2:20">
      <c r="B84" s="818"/>
      <c r="C84" s="815"/>
      <c r="D84" s="815"/>
      <c r="E84" s="815"/>
      <c r="F84" s="815"/>
      <c r="G84" s="815"/>
      <c r="H84" s="815"/>
      <c r="I84" s="815"/>
      <c r="J84" s="815"/>
      <c r="K84" s="815"/>
      <c r="L84" s="815"/>
      <c r="M84" s="815"/>
      <c r="N84" s="815"/>
      <c r="O84" s="815"/>
      <c r="P84" s="815"/>
      <c r="Q84" s="815"/>
      <c r="R84" s="815"/>
      <c r="S84" s="815"/>
      <c r="T84" s="815"/>
    </row>
    <row r="85" spans="2:20">
      <c r="B85" s="818"/>
      <c r="C85" s="815"/>
      <c r="D85" s="815"/>
      <c r="E85" s="815"/>
      <c r="F85" s="815"/>
      <c r="G85" s="815"/>
      <c r="H85" s="815"/>
      <c r="I85" s="815"/>
      <c r="J85" s="815"/>
      <c r="K85" s="815"/>
      <c r="L85" s="815"/>
      <c r="M85" s="815"/>
      <c r="N85" s="815"/>
      <c r="O85" s="815"/>
      <c r="P85" s="815"/>
      <c r="Q85" s="815"/>
      <c r="R85" s="815"/>
      <c r="S85" s="815"/>
      <c r="T85" s="815"/>
    </row>
    <row r="86" spans="2:20">
      <c r="B86" s="818"/>
      <c r="C86" s="815"/>
      <c r="D86" s="815"/>
      <c r="E86" s="815"/>
      <c r="F86" s="815"/>
      <c r="G86" s="815"/>
      <c r="H86" s="815"/>
      <c r="I86" s="815"/>
      <c r="J86" s="815"/>
      <c r="K86" s="815"/>
      <c r="L86" s="815"/>
      <c r="M86" s="815"/>
      <c r="N86" s="815"/>
      <c r="O86" s="815"/>
      <c r="P86" s="815"/>
      <c r="Q86" s="815"/>
      <c r="R86" s="815"/>
      <c r="S86" s="815"/>
      <c r="T86" s="815"/>
    </row>
    <row r="87" spans="2:20">
      <c r="B87" s="818"/>
      <c r="C87" s="815"/>
      <c r="D87" s="815"/>
      <c r="E87" s="815"/>
      <c r="F87" s="815"/>
      <c r="G87" s="815"/>
      <c r="H87" s="815"/>
      <c r="I87" s="815"/>
      <c r="J87" s="815"/>
      <c r="K87" s="815"/>
      <c r="L87" s="815"/>
      <c r="M87" s="815"/>
      <c r="N87" s="815"/>
      <c r="O87" s="815"/>
      <c r="P87" s="815"/>
      <c r="Q87" s="815"/>
      <c r="R87" s="815"/>
      <c r="S87" s="815"/>
      <c r="T87" s="815"/>
    </row>
    <row r="88" spans="2:20">
      <c r="B88" s="818"/>
      <c r="C88" s="815"/>
      <c r="D88" s="815"/>
      <c r="E88" s="815"/>
      <c r="F88" s="815"/>
      <c r="G88" s="815"/>
      <c r="H88" s="815"/>
      <c r="I88" s="815"/>
      <c r="J88" s="815"/>
      <c r="K88" s="815"/>
      <c r="L88" s="815"/>
      <c r="M88" s="815"/>
      <c r="N88" s="815"/>
      <c r="O88" s="815"/>
      <c r="P88" s="815"/>
      <c r="Q88" s="815"/>
      <c r="R88" s="815"/>
      <c r="S88" s="815"/>
      <c r="T88" s="815"/>
    </row>
    <row r="89" spans="2:20">
      <c r="B89" s="818"/>
      <c r="C89" s="815"/>
      <c r="D89" s="815"/>
      <c r="E89" s="815"/>
      <c r="F89" s="815"/>
      <c r="G89" s="815"/>
      <c r="H89" s="815"/>
      <c r="I89" s="815"/>
      <c r="J89" s="815"/>
      <c r="K89" s="815"/>
      <c r="L89" s="815"/>
      <c r="M89" s="815"/>
      <c r="N89" s="815"/>
      <c r="O89" s="815"/>
      <c r="P89" s="815"/>
      <c r="Q89" s="815"/>
      <c r="R89" s="815"/>
      <c r="S89" s="815"/>
      <c r="T89" s="815"/>
    </row>
    <row r="90" spans="2:20">
      <c r="B90" s="818"/>
      <c r="C90" s="815"/>
      <c r="D90" s="815"/>
      <c r="E90" s="815"/>
      <c r="F90" s="815"/>
      <c r="G90" s="815"/>
      <c r="H90" s="815"/>
      <c r="I90" s="815"/>
      <c r="J90" s="815"/>
      <c r="K90" s="815"/>
      <c r="L90" s="815"/>
      <c r="M90" s="815"/>
      <c r="N90" s="815"/>
      <c r="O90" s="815"/>
      <c r="P90" s="815"/>
      <c r="Q90" s="815"/>
      <c r="R90" s="815"/>
      <c r="S90" s="815"/>
      <c r="T90" s="815"/>
    </row>
    <row r="91" spans="2:20">
      <c r="B91" s="818"/>
      <c r="C91" s="815"/>
      <c r="D91" s="815"/>
      <c r="E91" s="815"/>
      <c r="F91" s="815"/>
      <c r="G91" s="815"/>
      <c r="H91" s="815"/>
      <c r="I91" s="815"/>
      <c r="J91" s="815"/>
      <c r="K91" s="815"/>
      <c r="L91" s="815"/>
      <c r="M91" s="815"/>
      <c r="N91" s="815"/>
      <c r="O91" s="815"/>
      <c r="P91" s="815"/>
      <c r="Q91" s="815"/>
      <c r="R91" s="815"/>
      <c r="S91" s="815"/>
      <c r="T91" s="815"/>
    </row>
    <row r="92" spans="2:20">
      <c r="B92" s="818"/>
      <c r="C92" s="815"/>
      <c r="D92" s="815"/>
      <c r="E92" s="815"/>
      <c r="F92" s="815"/>
      <c r="G92" s="815"/>
      <c r="H92" s="815"/>
      <c r="I92" s="815"/>
      <c r="J92" s="815"/>
      <c r="K92" s="815"/>
      <c r="L92" s="815"/>
      <c r="M92" s="815"/>
      <c r="N92" s="815"/>
      <c r="O92" s="815"/>
      <c r="P92" s="815"/>
      <c r="Q92" s="815"/>
      <c r="R92" s="815"/>
      <c r="S92" s="815"/>
      <c r="T92" s="815"/>
    </row>
    <row r="93" spans="2:20">
      <c r="B93" s="818"/>
      <c r="C93" s="815"/>
      <c r="D93" s="815"/>
      <c r="E93" s="815"/>
      <c r="F93" s="815"/>
      <c r="G93" s="815"/>
      <c r="H93" s="815"/>
      <c r="I93" s="815"/>
      <c r="J93" s="815"/>
      <c r="K93" s="815"/>
      <c r="L93" s="815"/>
      <c r="M93" s="815"/>
      <c r="N93" s="815"/>
      <c r="O93" s="815"/>
      <c r="P93" s="815"/>
      <c r="Q93" s="815"/>
      <c r="R93" s="815"/>
      <c r="S93" s="815"/>
      <c r="T93" s="815"/>
    </row>
    <row r="94" spans="2:20">
      <c r="B94" s="818"/>
      <c r="C94" s="815"/>
      <c r="D94" s="815"/>
      <c r="E94" s="815"/>
      <c r="F94" s="815"/>
      <c r="G94" s="815"/>
      <c r="H94" s="815"/>
      <c r="I94" s="815"/>
      <c r="J94" s="815"/>
      <c r="K94" s="815"/>
      <c r="L94" s="815"/>
      <c r="M94" s="815"/>
      <c r="N94" s="815"/>
      <c r="O94" s="815"/>
      <c r="P94" s="815"/>
      <c r="Q94" s="815"/>
      <c r="R94" s="815"/>
      <c r="S94" s="815"/>
      <c r="T94" s="815"/>
    </row>
    <row r="95" spans="2:20">
      <c r="B95" s="818"/>
      <c r="C95" s="815"/>
      <c r="D95" s="815"/>
      <c r="E95" s="815"/>
      <c r="F95" s="815"/>
      <c r="G95" s="815"/>
      <c r="H95" s="815"/>
      <c r="I95" s="815"/>
      <c r="J95" s="815"/>
      <c r="K95" s="815"/>
      <c r="L95" s="815"/>
      <c r="M95" s="815"/>
      <c r="N95" s="815"/>
      <c r="O95" s="815"/>
      <c r="P95" s="815"/>
      <c r="Q95" s="815"/>
      <c r="R95" s="815"/>
      <c r="S95" s="815"/>
      <c r="T95" s="815"/>
    </row>
    <row r="96" spans="2:20">
      <c r="B96" s="818"/>
      <c r="C96" s="815"/>
      <c r="D96" s="815"/>
      <c r="E96" s="815"/>
      <c r="F96" s="815"/>
      <c r="G96" s="815"/>
      <c r="H96" s="815"/>
      <c r="I96" s="815"/>
      <c r="J96" s="815"/>
      <c r="K96" s="815"/>
      <c r="L96" s="815"/>
      <c r="M96" s="815"/>
      <c r="N96" s="815"/>
      <c r="O96" s="815"/>
      <c r="P96" s="815"/>
      <c r="Q96" s="815"/>
      <c r="R96" s="815"/>
      <c r="S96" s="815"/>
      <c r="T96" s="815"/>
    </row>
    <row r="97" spans="2:20">
      <c r="B97" s="818"/>
      <c r="C97" s="815"/>
      <c r="D97" s="815"/>
      <c r="E97" s="815"/>
      <c r="F97" s="815"/>
      <c r="G97" s="815"/>
      <c r="H97" s="815"/>
      <c r="I97" s="815"/>
      <c r="J97" s="815"/>
      <c r="K97" s="815"/>
      <c r="L97" s="815"/>
      <c r="M97" s="815"/>
      <c r="N97" s="815"/>
      <c r="O97" s="815"/>
      <c r="P97" s="815"/>
      <c r="Q97" s="815"/>
      <c r="R97" s="815"/>
      <c r="S97" s="815"/>
      <c r="T97" s="815"/>
    </row>
    <row r="98" spans="2:20">
      <c r="B98" s="818"/>
      <c r="C98" s="815"/>
      <c r="D98" s="815"/>
      <c r="E98" s="815"/>
      <c r="F98" s="815"/>
      <c r="G98" s="815"/>
      <c r="H98" s="815"/>
      <c r="I98" s="815"/>
      <c r="J98" s="815"/>
      <c r="K98" s="815"/>
      <c r="L98" s="815"/>
      <c r="M98" s="815"/>
      <c r="N98" s="815"/>
      <c r="O98" s="815"/>
      <c r="P98" s="815"/>
      <c r="Q98" s="815"/>
      <c r="R98" s="815"/>
      <c r="S98" s="815"/>
      <c r="T98" s="815"/>
    </row>
    <row r="99" spans="2:20">
      <c r="B99" s="818"/>
      <c r="C99" s="815"/>
      <c r="D99" s="815"/>
      <c r="E99" s="815"/>
      <c r="F99" s="815"/>
      <c r="G99" s="815"/>
      <c r="H99" s="815"/>
      <c r="I99" s="815"/>
      <c r="J99" s="815"/>
      <c r="K99" s="815"/>
      <c r="L99" s="815"/>
      <c r="M99" s="815"/>
      <c r="N99" s="815"/>
      <c r="O99" s="815"/>
      <c r="P99" s="815"/>
      <c r="Q99" s="815"/>
      <c r="R99" s="815"/>
      <c r="S99" s="815"/>
      <c r="T99" s="815"/>
    </row>
    <row r="100" spans="2:20">
      <c r="B100" s="818"/>
      <c r="C100" s="815"/>
      <c r="D100" s="815"/>
      <c r="E100" s="815"/>
      <c r="F100" s="815"/>
      <c r="G100" s="815"/>
      <c r="H100" s="815"/>
      <c r="I100" s="815"/>
      <c r="J100" s="815"/>
      <c r="K100" s="815"/>
      <c r="L100" s="815"/>
      <c r="M100" s="815"/>
      <c r="N100" s="815"/>
      <c r="O100" s="815"/>
      <c r="P100" s="815"/>
      <c r="Q100" s="815"/>
      <c r="R100" s="815"/>
      <c r="S100" s="815"/>
      <c r="T100" s="815"/>
    </row>
    <row r="101" spans="2:20">
      <c r="B101" s="818"/>
      <c r="C101" s="815"/>
      <c r="D101" s="815"/>
      <c r="E101" s="815"/>
      <c r="F101" s="815"/>
      <c r="G101" s="815"/>
      <c r="H101" s="815"/>
      <c r="I101" s="815"/>
      <c r="J101" s="815"/>
      <c r="K101" s="815"/>
      <c r="L101" s="815"/>
      <c r="M101" s="815"/>
      <c r="N101" s="815"/>
      <c r="O101" s="815"/>
      <c r="P101" s="815"/>
      <c r="Q101" s="815"/>
      <c r="R101" s="815"/>
      <c r="S101" s="815"/>
      <c r="T101" s="815"/>
    </row>
    <row r="102" spans="2:20">
      <c r="B102" s="818"/>
      <c r="C102" s="815"/>
      <c r="D102" s="815"/>
      <c r="E102" s="815"/>
      <c r="F102" s="815"/>
      <c r="G102" s="815"/>
      <c r="H102" s="815"/>
      <c r="I102" s="815"/>
      <c r="J102" s="815"/>
      <c r="K102" s="815"/>
      <c r="L102" s="815"/>
      <c r="M102" s="815"/>
      <c r="N102" s="815"/>
      <c r="O102" s="815"/>
      <c r="P102" s="815"/>
      <c r="Q102" s="815"/>
      <c r="R102" s="815"/>
      <c r="S102" s="815"/>
      <c r="T102" s="815"/>
    </row>
    <row r="103" spans="2:20">
      <c r="B103" s="818"/>
      <c r="C103" s="815"/>
      <c r="D103" s="815"/>
      <c r="E103" s="815"/>
      <c r="F103" s="815"/>
      <c r="G103" s="815"/>
      <c r="H103" s="815"/>
      <c r="I103" s="815"/>
      <c r="J103" s="815"/>
      <c r="K103" s="815"/>
      <c r="L103" s="815"/>
      <c r="M103" s="815"/>
      <c r="N103" s="815"/>
      <c r="O103" s="815"/>
      <c r="P103" s="815"/>
      <c r="Q103" s="815"/>
      <c r="R103" s="815"/>
      <c r="S103" s="815"/>
      <c r="T103" s="815"/>
    </row>
    <row r="104" spans="2:20">
      <c r="B104" s="818"/>
      <c r="C104" s="815"/>
      <c r="D104" s="815"/>
      <c r="E104" s="815"/>
      <c r="F104" s="815"/>
      <c r="G104" s="815"/>
      <c r="H104" s="815"/>
      <c r="I104" s="815"/>
      <c r="J104" s="815"/>
      <c r="K104" s="815"/>
      <c r="L104" s="815"/>
      <c r="M104" s="815"/>
      <c r="N104" s="815"/>
      <c r="O104" s="815"/>
      <c r="P104" s="815"/>
      <c r="Q104" s="815"/>
      <c r="R104" s="815"/>
      <c r="S104" s="815"/>
      <c r="T104" s="815"/>
    </row>
    <row r="105" spans="2:20">
      <c r="B105" s="818"/>
      <c r="C105" s="815"/>
      <c r="D105" s="815"/>
      <c r="E105" s="815"/>
      <c r="F105" s="815"/>
      <c r="G105" s="815"/>
      <c r="H105" s="815"/>
      <c r="I105" s="815"/>
      <c r="J105" s="815"/>
      <c r="K105" s="815"/>
      <c r="L105" s="815"/>
      <c r="M105" s="815"/>
      <c r="N105" s="815"/>
      <c r="O105" s="815"/>
      <c r="P105" s="815"/>
      <c r="Q105" s="815"/>
      <c r="R105" s="815"/>
      <c r="S105" s="815"/>
      <c r="T105" s="815"/>
    </row>
    <row r="106" spans="2:20">
      <c r="B106" s="818"/>
      <c r="C106" s="815"/>
      <c r="D106" s="815"/>
      <c r="E106" s="815"/>
      <c r="F106" s="815"/>
      <c r="G106" s="815"/>
      <c r="H106" s="815"/>
      <c r="I106" s="815"/>
      <c r="J106" s="815"/>
      <c r="K106" s="815"/>
      <c r="L106" s="815"/>
      <c r="M106" s="815"/>
      <c r="N106" s="815"/>
      <c r="O106" s="815"/>
      <c r="P106" s="815"/>
      <c r="Q106" s="815"/>
      <c r="R106" s="815"/>
      <c r="S106" s="815"/>
      <c r="T106" s="815"/>
    </row>
    <row r="107" spans="2:20">
      <c r="B107" s="818"/>
      <c r="C107" s="815"/>
      <c r="D107" s="815"/>
      <c r="E107" s="815"/>
      <c r="F107" s="815"/>
      <c r="G107" s="815"/>
      <c r="H107" s="815"/>
      <c r="I107" s="815"/>
      <c r="J107" s="815"/>
      <c r="K107" s="815"/>
      <c r="L107" s="815"/>
      <c r="M107" s="815"/>
      <c r="N107" s="815"/>
      <c r="O107" s="815"/>
      <c r="P107" s="815"/>
      <c r="Q107" s="815"/>
      <c r="R107" s="815"/>
      <c r="S107" s="815"/>
      <c r="T107" s="815"/>
    </row>
    <row r="108" spans="2:20">
      <c r="B108" s="818"/>
      <c r="C108" s="815"/>
      <c r="D108" s="815"/>
      <c r="E108" s="815"/>
      <c r="F108" s="815"/>
      <c r="G108" s="815"/>
      <c r="H108" s="815"/>
      <c r="I108" s="815"/>
      <c r="J108" s="815"/>
      <c r="K108" s="815"/>
      <c r="L108" s="815"/>
      <c r="M108" s="815"/>
      <c r="N108" s="815"/>
      <c r="O108" s="815"/>
      <c r="P108" s="815"/>
      <c r="Q108" s="815"/>
      <c r="R108" s="815"/>
      <c r="S108" s="815"/>
      <c r="T108" s="815"/>
    </row>
    <row r="109" spans="2:20">
      <c r="B109" s="819"/>
      <c r="C109" s="814"/>
      <c r="D109" s="814"/>
      <c r="E109" s="814"/>
      <c r="F109" s="814"/>
      <c r="H109" s="814"/>
      <c r="I109" s="814"/>
    </row>
    <row r="110" spans="2:20">
      <c r="B110" s="819"/>
      <c r="C110" s="814"/>
      <c r="D110" s="814"/>
      <c r="E110" s="814"/>
      <c r="F110" s="814"/>
      <c r="H110" s="814"/>
      <c r="I110" s="814"/>
    </row>
    <row r="111" spans="2:20">
      <c r="B111" s="819"/>
      <c r="C111" s="814"/>
      <c r="D111" s="814"/>
      <c r="E111" s="814"/>
      <c r="F111" s="814"/>
      <c r="H111" s="814"/>
      <c r="I111" s="814"/>
    </row>
    <row r="112" spans="2:20">
      <c r="B112" s="819"/>
      <c r="C112" s="814"/>
      <c r="D112" s="814"/>
      <c r="E112" s="814"/>
      <c r="F112" s="814"/>
      <c r="H112" s="814"/>
      <c r="I112" s="814"/>
    </row>
    <row r="113" spans="2:9">
      <c r="B113" s="819"/>
      <c r="C113" s="814"/>
      <c r="D113" s="814"/>
      <c r="E113" s="814"/>
      <c r="F113" s="814"/>
      <c r="H113" s="814"/>
      <c r="I113" s="814"/>
    </row>
    <row r="114" spans="2:9">
      <c r="B114" s="819"/>
      <c r="C114" s="814"/>
      <c r="D114" s="814"/>
      <c r="E114" s="814"/>
      <c r="F114" s="814"/>
      <c r="H114" s="814"/>
      <c r="I114" s="814"/>
    </row>
    <row r="115" spans="2:9">
      <c r="B115" s="819"/>
      <c r="C115" s="814"/>
      <c r="D115" s="814"/>
      <c r="E115" s="814"/>
      <c r="F115" s="814"/>
      <c r="H115" s="814"/>
      <c r="I115" s="814"/>
    </row>
    <row r="116" spans="2:9">
      <c r="B116" s="819"/>
      <c r="C116" s="814"/>
      <c r="D116" s="814"/>
      <c r="E116" s="814"/>
      <c r="F116" s="814"/>
      <c r="H116" s="814"/>
      <c r="I116" s="814"/>
    </row>
    <row r="117" spans="2:9">
      <c r="B117" s="819"/>
      <c r="C117" s="814"/>
      <c r="D117" s="814"/>
      <c r="E117" s="814"/>
      <c r="F117" s="814"/>
      <c r="H117" s="814"/>
      <c r="I117" s="814"/>
    </row>
    <row r="118" spans="2:9">
      <c r="B118" s="819"/>
      <c r="C118" s="814"/>
      <c r="D118" s="814"/>
      <c r="E118" s="814"/>
      <c r="F118" s="814"/>
      <c r="H118" s="814"/>
      <c r="I118" s="814"/>
    </row>
    <row r="119" spans="2:9">
      <c r="B119" s="819"/>
      <c r="C119" s="814"/>
      <c r="D119" s="814"/>
      <c r="E119" s="814"/>
      <c r="F119" s="814"/>
      <c r="H119" s="814"/>
      <c r="I119" s="814"/>
    </row>
    <row r="120" spans="2:9">
      <c r="B120" s="819"/>
      <c r="C120" s="814"/>
      <c r="D120" s="814"/>
      <c r="E120" s="814"/>
      <c r="F120" s="814"/>
      <c r="H120" s="814"/>
      <c r="I120" s="814"/>
    </row>
    <row r="121" spans="2:9">
      <c r="B121" s="819"/>
      <c r="C121" s="814"/>
      <c r="D121" s="814"/>
      <c r="E121" s="814"/>
      <c r="F121" s="814"/>
      <c r="H121" s="814"/>
      <c r="I121" s="814"/>
    </row>
    <row r="122" spans="2:9">
      <c r="B122" s="819"/>
      <c r="C122" s="814"/>
      <c r="D122" s="814"/>
      <c r="E122" s="814"/>
      <c r="F122" s="814"/>
      <c r="H122" s="814"/>
      <c r="I122" s="814"/>
    </row>
    <row r="123" spans="2:9">
      <c r="B123" s="819"/>
      <c r="C123" s="814"/>
      <c r="D123" s="814"/>
      <c r="E123" s="814"/>
      <c r="F123" s="814"/>
      <c r="H123" s="814"/>
      <c r="I123" s="814"/>
    </row>
    <row r="124" spans="2:9">
      <c r="B124" s="819"/>
      <c r="C124" s="814"/>
      <c r="D124" s="814"/>
      <c r="E124" s="814"/>
      <c r="F124" s="814"/>
      <c r="H124" s="814"/>
      <c r="I124" s="814"/>
    </row>
    <row r="125" spans="2:9">
      <c r="B125" s="819"/>
      <c r="C125" s="814"/>
      <c r="D125" s="814"/>
      <c r="E125" s="814"/>
      <c r="F125" s="814"/>
      <c r="H125" s="814"/>
      <c r="I125" s="814"/>
    </row>
    <row r="126" spans="2:9">
      <c r="B126" s="819"/>
      <c r="C126" s="814"/>
      <c r="D126" s="814"/>
      <c r="E126" s="814"/>
      <c r="F126" s="814"/>
      <c r="H126" s="814"/>
      <c r="I126" s="814"/>
    </row>
    <row r="127" spans="2:9">
      <c r="B127" s="819"/>
      <c r="C127" s="814"/>
      <c r="D127" s="814"/>
      <c r="E127" s="814"/>
      <c r="F127" s="814"/>
      <c r="H127" s="814"/>
      <c r="I127" s="814"/>
    </row>
    <row r="128" spans="2:9">
      <c r="B128" s="819"/>
      <c r="C128" s="814"/>
      <c r="D128" s="814"/>
      <c r="E128" s="814"/>
      <c r="F128" s="814"/>
      <c r="H128" s="814"/>
      <c r="I128" s="814"/>
    </row>
    <row r="129" spans="2:9">
      <c r="B129" s="819"/>
      <c r="C129" s="814"/>
      <c r="D129" s="814"/>
      <c r="E129" s="814"/>
      <c r="F129" s="814"/>
      <c r="H129" s="814"/>
      <c r="I129" s="814"/>
    </row>
    <row r="130" spans="2:9">
      <c r="B130" s="819"/>
      <c r="C130" s="814"/>
      <c r="D130" s="814"/>
      <c r="E130" s="814"/>
      <c r="F130" s="814"/>
      <c r="H130" s="814"/>
      <c r="I130" s="814"/>
    </row>
    <row r="131" spans="2:9">
      <c r="B131" s="819"/>
      <c r="C131" s="814"/>
      <c r="D131" s="814"/>
      <c r="E131" s="814"/>
      <c r="F131" s="814"/>
      <c r="H131" s="814"/>
      <c r="I131" s="814"/>
    </row>
    <row r="132" spans="2:9">
      <c r="B132" s="819"/>
      <c r="C132" s="814"/>
      <c r="D132" s="814"/>
      <c r="E132" s="814"/>
      <c r="F132" s="814"/>
      <c r="H132" s="814"/>
      <c r="I132" s="814"/>
    </row>
    <row r="133" spans="2:9">
      <c r="B133" s="819"/>
      <c r="C133" s="814"/>
      <c r="D133" s="814"/>
      <c r="E133" s="814"/>
      <c r="F133" s="814"/>
      <c r="H133" s="814"/>
      <c r="I133" s="814"/>
    </row>
    <row r="134" spans="2:9">
      <c r="B134" s="819"/>
      <c r="C134" s="814"/>
      <c r="D134" s="814"/>
      <c r="E134" s="814"/>
      <c r="F134" s="814"/>
      <c r="H134" s="814"/>
      <c r="I134" s="814"/>
    </row>
    <row r="135" spans="2:9">
      <c r="B135" s="819"/>
      <c r="C135" s="814"/>
      <c r="D135" s="814"/>
      <c r="E135" s="814"/>
      <c r="F135" s="814"/>
      <c r="H135" s="814"/>
      <c r="I135" s="814"/>
    </row>
    <row r="136" spans="2:9">
      <c r="B136" s="819"/>
      <c r="C136" s="814"/>
      <c r="D136" s="814"/>
      <c r="E136" s="814"/>
      <c r="F136" s="814"/>
      <c r="H136" s="814"/>
      <c r="I136" s="814"/>
    </row>
    <row r="137" spans="2:9">
      <c r="B137" s="819"/>
      <c r="C137" s="814"/>
      <c r="D137" s="814"/>
      <c r="E137" s="814"/>
      <c r="F137" s="814"/>
      <c r="H137" s="814"/>
      <c r="I137" s="814"/>
    </row>
    <row r="138" spans="2:9">
      <c r="B138" s="819"/>
      <c r="C138" s="814"/>
      <c r="D138" s="814"/>
      <c r="E138" s="814"/>
      <c r="F138" s="814"/>
      <c r="H138" s="814"/>
      <c r="I138" s="814"/>
    </row>
    <row r="139" spans="2:9">
      <c r="B139" s="819"/>
      <c r="C139" s="814"/>
      <c r="D139" s="814"/>
      <c r="E139" s="814"/>
      <c r="F139" s="814"/>
      <c r="H139" s="814"/>
      <c r="I139" s="814"/>
    </row>
    <row r="140" spans="2:9">
      <c r="B140" s="819"/>
      <c r="C140" s="814"/>
      <c r="D140" s="814"/>
      <c r="E140" s="814"/>
      <c r="F140" s="814"/>
      <c r="H140" s="814"/>
      <c r="I140" s="814"/>
    </row>
    <row r="141" spans="2:9">
      <c r="B141" s="819"/>
      <c r="C141" s="814"/>
      <c r="D141" s="814"/>
      <c r="E141" s="814"/>
      <c r="F141" s="814"/>
      <c r="H141" s="814"/>
      <c r="I141" s="814"/>
    </row>
    <row r="142" spans="2:9">
      <c r="B142" s="819"/>
      <c r="C142" s="814"/>
      <c r="D142" s="814"/>
      <c r="E142" s="814"/>
      <c r="F142" s="814"/>
      <c r="H142" s="814"/>
      <c r="I142" s="814"/>
    </row>
    <row r="143" spans="2:9">
      <c r="B143" s="819"/>
      <c r="C143" s="814"/>
      <c r="D143" s="814"/>
      <c r="E143" s="814"/>
      <c r="F143" s="814"/>
      <c r="H143" s="814"/>
      <c r="I143" s="814"/>
    </row>
    <row r="144" spans="2:9">
      <c r="B144" s="819"/>
      <c r="C144" s="814"/>
      <c r="D144" s="814"/>
      <c r="E144" s="814"/>
      <c r="F144" s="814"/>
      <c r="H144" s="814"/>
      <c r="I144" s="814"/>
    </row>
    <row r="145" spans="2:9">
      <c r="B145" s="819"/>
      <c r="C145" s="814"/>
      <c r="D145" s="814"/>
      <c r="E145" s="814"/>
      <c r="F145" s="814"/>
      <c r="H145" s="814"/>
      <c r="I145" s="814"/>
    </row>
    <row r="146" spans="2:9">
      <c r="B146" s="819"/>
      <c r="C146" s="814"/>
      <c r="D146" s="814"/>
      <c r="E146" s="814"/>
      <c r="F146" s="814"/>
      <c r="H146" s="814"/>
      <c r="I146" s="814"/>
    </row>
    <row r="147" spans="2:9">
      <c r="B147" s="819"/>
      <c r="C147" s="814"/>
      <c r="D147" s="814"/>
      <c r="E147" s="814"/>
      <c r="F147" s="814"/>
      <c r="H147" s="814"/>
      <c r="I147" s="814"/>
    </row>
    <row r="148" spans="2:9">
      <c r="B148" s="819"/>
      <c r="C148" s="814"/>
      <c r="D148" s="814"/>
      <c r="E148" s="814"/>
      <c r="F148" s="814"/>
      <c r="H148" s="814"/>
      <c r="I148" s="814"/>
    </row>
    <row r="149" spans="2:9">
      <c r="B149" s="819"/>
      <c r="C149" s="814"/>
      <c r="D149" s="814"/>
      <c r="E149" s="814"/>
      <c r="F149" s="814"/>
      <c r="H149" s="814"/>
      <c r="I149" s="814"/>
    </row>
    <row r="150" spans="2:9">
      <c r="B150" s="819"/>
      <c r="C150" s="814"/>
      <c r="D150" s="814"/>
      <c r="E150" s="814"/>
      <c r="F150" s="814"/>
      <c r="H150" s="814"/>
      <c r="I150" s="814"/>
    </row>
    <row r="151" spans="2:9">
      <c r="B151" s="819"/>
      <c r="C151" s="814"/>
      <c r="D151" s="814"/>
      <c r="E151" s="814"/>
      <c r="F151" s="814"/>
      <c r="H151" s="814"/>
      <c r="I151" s="814"/>
    </row>
    <row r="152" spans="2:9">
      <c r="B152" s="819"/>
      <c r="C152" s="814"/>
      <c r="D152" s="814"/>
      <c r="E152" s="814"/>
      <c r="F152" s="814"/>
      <c r="H152" s="814"/>
      <c r="I152" s="814"/>
    </row>
    <row r="153" spans="2:9">
      <c r="B153" s="819"/>
      <c r="C153" s="814"/>
      <c r="D153" s="814"/>
      <c r="E153" s="814"/>
      <c r="F153" s="814"/>
      <c r="H153" s="814"/>
      <c r="I153" s="814"/>
    </row>
    <row r="154" spans="2:9">
      <c r="B154" s="819"/>
      <c r="C154" s="814"/>
      <c r="D154" s="814"/>
      <c r="E154" s="814"/>
      <c r="F154" s="814"/>
      <c r="H154" s="814"/>
      <c r="I154" s="814"/>
    </row>
    <row r="155" spans="2:9">
      <c r="B155" s="819"/>
      <c r="C155" s="814"/>
      <c r="D155" s="814"/>
      <c r="E155" s="814"/>
      <c r="F155" s="814"/>
      <c r="H155" s="814"/>
      <c r="I155" s="814"/>
    </row>
    <row r="156" spans="2:9">
      <c r="B156" s="819"/>
      <c r="C156" s="814"/>
      <c r="D156" s="814"/>
      <c r="E156" s="814"/>
      <c r="F156" s="814"/>
      <c r="H156" s="814"/>
      <c r="I156" s="814"/>
    </row>
    <row r="157" spans="2:9">
      <c r="B157" s="819"/>
      <c r="C157" s="814"/>
      <c r="D157" s="814"/>
      <c r="E157" s="814"/>
      <c r="F157" s="814"/>
      <c r="H157" s="814"/>
      <c r="I157" s="814"/>
    </row>
    <row r="158" spans="2:9">
      <c r="B158" s="819"/>
      <c r="C158" s="814"/>
      <c r="D158" s="814"/>
      <c r="E158" s="814"/>
      <c r="F158" s="814"/>
      <c r="H158" s="814"/>
      <c r="I158" s="814"/>
    </row>
    <row r="159" spans="2:9">
      <c r="B159" s="819"/>
      <c r="C159" s="814"/>
      <c r="D159" s="814"/>
      <c r="E159" s="814"/>
      <c r="F159" s="814"/>
      <c r="H159" s="814"/>
      <c r="I159" s="814"/>
    </row>
    <row r="160" spans="2:9">
      <c r="B160" s="819"/>
      <c r="C160" s="814"/>
      <c r="D160" s="814"/>
      <c r="E160" s="814"/>
      <c r="F160" s="814"/>
      <c r="H160" s="814"/>
      <c r="I160" s="814"/>
    </row>
    <row r="161" spans="2:9">
      <c r="B161" s="819"/>
      <c r="C161" s="814"/>
      <c r="D161" s="814"/>
      <c r="E161" s="814"/>
      <c r="F161" s="814"/>
      <c r="H161" s="814"/>
      <c r="I161" s="814"/>
    </row>
    <row r="162" spans="2:9">
      <c r="B162" s="819"/>
      <c r="C162" s="814"/>
      <c r="D162" s="814"/>
      <c r="E162" s="814"/>
      <c r="F162" s="814"/>
      <c r="H162" s="814"/>
      <c r="I162" s="814"/>
    </row>
    <row r="163" spans="2:9">
      <c r="B163" s="819"/>
      <c r="C163" s="814"/>
      <c r="D163" s="814"/>
      <c r="E163" s="814"/>
      <c r="F163" s="814"/>
      <c r="H163" s="814"/>
      <c r="I163" s="814"/>
    </row>
    <row r="164" spans="2:9">
      <c r="B164" s="819"/>
      <c r="C164" s="814"/>
      <c r="D164" s="814"/>
      <c r="E164" s="814"/>
      <c r="F164" s="814"/>
      <c r="H164" s="814"/>
      <c r="I164" s="814"/>
    </row>
    <row r="165" spans="2:9">
      <c r="B165" s="819"/>
      <c r="C165" s="814"/>
      <c r="D165" s="814"/>
      <c r="E165" s="814"/>
      <c r="F165" s="814"/>
      <c r="H165" s="814"/>
      <c r="I165" s="814"/>
    </row>
    <row r="166" spans="2:9">
      <c r="B166" s="819"/>
      <c r="C166" s="814"/>
      <c r="D166" s="814"/>
      <c r="E166" s="814"/>
      <c r="F166" s="814"/>
      <c r="H166" s="814"/>
      <c r="I166" s="814"/>
    </row>
    <row r="167" spans="2:9">
      <c r="B167" s="819"/>
      <c r="C167" s="814"/>
      <c r="D167" s="814"/>
      <c r="E167" s="814"/>
      <c r="F167" s="814"/>
      <c r="H167" s="814"/>
      <c r="I167" s="814"/>
    </row>
    <row r="168" spans="2:9">
      <c r="B168" s="819"/>
      <c r="C168" s="814"/>
      <c r="D168" s="814"/>
      <c r="E168" s="814"/>
      <c r="F168" s="814"/>
      <c r="H168" s="814"/>
      <c r="I168" s="814"/>
    </row>
    <row r="169" spans="2:9">
      <c r="B169" s="819"/>
      <c r="C169" s="814"/>
      <c r="D169" s="814"/>
      <c r="E169" s="814"/>
      <c r="F169" s="814"/>
      <c r="H169" s="814"/>
      <c r="I169" s="814"/>
    </row>
    <row r="170" spans="2:9">
      <c r="B170" s="819"/>
      <c r="C170" s="814"/>
      <c r="D170" s="814"/>
      <c r="E170" s="814"/>
      <c r="F170" s="814"/>
      <c r="H170" s="814"/>
      <c r="I170" s="814"/>
    </row>
    <row r="171" spans="2:9">
      <c r="B171" s="819"/>
      <c r="C171" s="814"/>
      <c r="D171" s="814"/>
      <c r="E171" s="814"/>
      <c r="F171" s="814"/>
      <c r="H171" s="814"/>
      <c r="I171" s="814"/>
    </row>
    <row r="172" spans="2:9">
      <c r="B172" s="819"/>
      <c r="C172" s="814"/>
      <c r="D172" s="814"/>
      <c r="E172" s="814"/>
      <c r="F172" s="814"/>
      <c r="H172" s="814"/>
      <c r="I172" s="814"/>
    </row>
    <row r="173" spans="2:9">
      <c r="B173" s="819"/>
      <c r="C173" s="814"/>
      <c r="D173" s="814"/>
      <c r="E173" s="814"/>
      <c r="F173" s="814"/>
      <c r="H173" s="814"/>
      <c r="I173" s="814"/>
    </row>
    <row r="174" spans="2:9">
      <c r="B174" s="819"/>
      <c r="C174" s="814"/>
      <c r="D174" s="814"/>
      <c r="E174" s="814"/>
      <c r="F174" s="814"/>
      <c r="H174" s="814"/>
      <c r="I174" s="814"/>
    </row>
    <row r="175" spans="2:9">
      <c r="B175" s="819"/>
      <c r="C175" s="814"/>
      <c r="D175" s="814"/>
      <c r="E175" s="814"/>
      <c r="F175" s="814"/>
      <c r="H175" s="814"/>
      <c r="I175" s="814"/>
    </row>
    <row r="176" spans="2:9">
      <c r="B176" s="819"/>
      <c r="C176" s="814"/>
      <c r="D176" s="814"/>
      <c r="E176" s="814"/>
      <c r="F176" s="814"/>
      <c r="H176" s="814"/>
      <c r="I176" s="814"/>
    </row>
    <row r="177" spans="2:9">
      <c r="B177" s="819"/>
      <c r="C177" s="814"/>
      <c r="D177" s="814"/>
      <c r="E177" s="814"/>
      <c r="F177" s="814"/>
      <c r="H177" s="814"/>
      <c r="I177" s="814"/>
    </row>
    <row r="178" spans="2:9">
      <c r="B178" s="819"/>
      <c r="C178" s="814"/>
      <c r="D178" s="814"/>
      <c r="E178" s="814"/>
      <c r="F178" s="814"/>
      <c r="H178" s="814"/>
      <c r="I178" s="814"/>
    </row>
    <row r="179" spans="2:9">
      <c r="B179" s="819"/>
      <c r="C179" s="814"/>
      <c r="D179" s="814"/>
      <c r="E179" s="814"/>
      <c r="F179" s="814"/>
      <c r="H179" s="814"/>
      <c r="I179" s="814"/>
    </row>
    <row r="180" spans="2:9">
      <c r="B180" s="819"/>
      <c r="C180" s="814"/>
      <c r="D180" s="814"/>
      <c r="E180" s="814"/>
      <c r="F180" s="814"/>
      <c r="H180" s="814"/>
      <c r="I180" s="814"/>
    </row>
    <row r="181" spans="2:9">
      <c r="B181" s="819"/>
      <c r="C181" s="814"/>
      <c r="D181" s="814"/>
      <c r="E181" s="814"/>
      <c r="F181" s="814"/>
      <c r="H181" s="814"/>
      <c r="I181" s="814"/>
    </row>
    <row r="182" spans="2:9">
      <c r="B182" s="819"/>
      <c r="C182" s="814"/>
      <c r="D182" s="814"/>
      <c r="E182" s="814"/>
      <c r="F182" s="814"/>
      <c r="H182" s="814"/>
      <c r="I182" s="814"/>
    </row>
    <row r="183" spans="2:9">
      <c r="B183" s="819"/>
      <c r="C183" s="814"/>
      <c r="D183" s="814"/>
      <c r="E183" s="814"/>
      <c r="F183" s="814"/>
      <c r="H183" s="814"/>
      <c r="I183" s="814"/>
    </row>
    <row r="184" spans="2:9">
      <c r="B184" s="819"/>
      <c r="C184" s="814"/>
      <c r="D184" s="814"/>
      <c r="E184" s="814"/>
      <c r="F184" s="814"/>
      <c r="H184" s="814"/>
      <c r="I184" s="814"/>
    </row>
    <row r="185" spans="2:9">
      <c r="B185" s="819"/>
      <c r="C185" s="814"/>
      <c r="D185" s="814"/>
      <c r="E185" s="814"/>
      <c r="F185" s="814"/>
      <c r="H185" s="814"/>
      <c r="I185" s="814"/>
    </row>
    <row r="186" spans="2:9">
      <c r="B186" s="819"/>
      <c r="C186" s="814"/>
      <c r="D186" s="814"/>
      <c r="E186" s="814"/>
      <c r="F186" s="814"/>
      <c r="H186" s="814"/>
      <c r="I186" s="814"/>
    </row>
    <row r="187" spans="2:9">
      <c r="B187" s="819"/>
      <c r="C187" s="814"/>
      <c r="D187" s="814"/>
      <c r="E187" s="814"/>
      <c r="F187" s="814"/>
      <c r="H187" s="814"/>
      <c r="I187" s="814"/>
    </row>
    <row r="188" spans="2:9">
      <c r="B188" s="819"/>
      <c r="C188" s="814"/>
      <c r="D188" s="814"/>
      <c r="E188" s="814"/>
      <c r="F188" s="814"/>
      <c r="H188" s="814"/>
      <c r="I188" s="814"/>
    </row>
    <row r="189" spans="2:9">
      <c r="B189" s="819"/>
      <c r="C189" s="814"/>
      <c r="D189" s="814"/>
      <c r="E189" s="814"/>
      <c r="F189" s="814"/>
      <c r="H189" s="814"/>
      <c r="I189" s="814"/>
    </row>
    <row r="190" spans="2:9">
      <c r="B190" s="819"/>
      <c r="C190" s="814"/>
      <c r="D190" s="814"/>
      <c r="E190" s="814"/>
      <c r="F190" s="814"/>
      <c r="H190" s="814"/>
      <c r="I190" s="814"/>
    </row>
    <row r="191" spans="2:9">
      <c r="B191" s="819"/>
      <c r="C191" s="814"/>
      <c r="D191" s="814"/>
      <c r="E191" s="814"/>
      <c r="F191" s="814"/>
      <c r="H191" s="814"/>
      <c r="I191" s="814"/>
    </row>
    <row r="192" spans="2:9">
      <c r="B192" s="819"/>
      <c r="C192" s="814"/>
      <c r="D192" s="814"/>
      <c r="E192" s="814"/>
      <c r="F192" s="814"/>
      <c r="H192" s="814"/>
      <c r="I192" s="814"/>
    </row>
    <row r="193" spans="2:9">
      <c r="B193" s="819"/>
      <c r="C193" s="814"/>
      <c r="D193" s="814"/>
      <c r="E193" s="814"/>
      <c r="F193" s="814"/>
      <c r="H193" s="814"/>
      <c r="I193" s="814"/>
    </row>
    <row r="194" spans="2:9">
      <c r="B194" s="819"/>
      <c r="C194" s="814"/>
      <c r="D194" s="814"/>
      <c r="E194" s="814"/>
      <c r="F194" s="814"/>
      <c r="H194" s="814"/>
      <c r="I194" s="814"/>
    </row>
    <row r="195" spans="2:9">
      <c r="B195" s="819"/>
      <c r="C195" s="814"/>
      <c r="D195" s="814"/>
      <c r="E195" s="814"/>
      <c r="F195" s="814"/>
      <c r="H195" s="814"/>
      <c r="I195" s="814"/>
    </row>
    <row r="196" spans="2:9">
      <c r="B196" s="819"/>
      <c r="C196" s="814"/>
      <c r="D196" s="814"/>
      <c r="E196" s="814"/>
      <c r="F196" s="814"/>
      <c r="H196" s="814"/>
      <c r="I196" s="814"/>
    </row>
    <row r="197" spans="2:9">
      <c r="B197" s="819"/>
      <c r="C197" s="814"/>
      <c r="D197" s="814"/>
      <c r="E197" s="814"/>
      <c r="F197" s="814"/>
      <c r="H197" s="814"/>
      <c r="I197" s="814"/>
    </row>
    <row r="198" spans="2:9">
      <c r="B198" s="819"/>
      <c r="C198" s="814"/>
      <c r="D198" s="814"/>
      <c r="E198" s="814"/>
      <c r="F198" s="814"/>
      <c r="H198" s="814"/>
      <c r="I198" s="814"/>
    </row>
    <row r="199" spans="2:9">
      <c r="B199" s="819"/>
      <c r="C199" s="814"/>
      <c r="D199" s="814"/>
      <c r="E199" s="814"/>
      <c r="F199" s="814"/>
      <c r="H199" s="814"/>
      <c r="I199" s="814"/>
    </row>
    <row r="200" spans="2:9">
      <c r="B200" s="819"/>
      <c r="C200" s="814"/>
      <c r="D200" s="814"/>
      <c r="E200" s="814"/>
      <c r="F200" s="814"/>
      <c r="H200" s="814"/>
      <c r="I200" s="814"/>
    </row>
    <row r="201" spans="2:9">
      <c r="B201" s="819"/>
      <c r="C201" s="814"/>
      <c r="D201" s="814"/>
      <c r="E201" s="814"/>
      <c r="F201" s="814"/>
      <c r="H201" s="814"/>
      <c r="I201" s="814"/>
    </row>
    <row r="202" spans="2:9">
      <c r="B202" s="819"/>
      <c r="C202" s="814"/>
      <c r="D202" s="814"/>
      <c r="E202" s="814"/>
      <c r="F202" s="814"/>
      <c r="H202" s="814"/>
      <c r="I202" s="814"/>
    </row>
    <row r="203" spans="2:9">
      <c r="B203" s="819"/>
      <c r="C203" s="814"/>
      <c r="D203" s="814"/>
      <c r="E203" s="814"/>
      <c r="F203" s="814"/>
      <c r="H203" s="814"/>
      <c r="I203" s="814"/>
    </row>
    <row r="204" spans="2:9">
      <c r="B204" s="819"/>
      <c r="C204" s="814"/>
      <c r="D204" s="814"/>
      <c r="E204" s="814"/>
      <c r="F204" s="814"/>
      <c r="H204" s="814"/>
      <c r="I204" s="814"/>
    </row>
    <row r="205" spans="2:9">
      <c r="B205" s="819"/>
      <c r="C205" s="814"/>
      <c r="D205" s="814"/>
      <c r="E205" s="814"/>
      <c r="F205" s="814"/>
      <c r="H205" s="814"/>
      <c r="I205" s="814"/>
    </row>
    <row r="206" spans="2:9">
      <c r="B206" s="819"/>
      <c r="C206" s="814"/>
      <c r="D206" s="814"/>
      <c r="E206" s="814"/>
      <c r="F206" s="814"/>
      <c r="H206" s="814"/>
      <c r="I206" s="814"/>
    </row>
    <row r="207" spans="2:9">
      <c r="B207" s="819"/>
      <c r="C207" s="814"/>
      <c r="D207" s="814"/>
      <c r="E207" s="814"/>
      <c r="F207" s="814"/>
      <c r="H207" s="814"/>
      <c r="I207" s="814"/>
    </row>
    <row r="208" spans="2:9">
      <c r="B208" s="819"/>
      <c r="C208" s="814"/>
      <c r="D208" s="814"/>
      <c r="E208" s="814"/>
      <c r="F208" s="814"/>
      <c r="H208" s="814"/>
      <c r="I208" s="814"/>
    </row>
    <row r="209" spans="2:9">
      <c r="B209" s="819"/>
      <c r="C209" s="814"/>
      <c r="D209" s="814"/>
      <c r="E209" s="814"/>
      <c r="F209" s="814"/>
      <c r="H209" s="814"/>
      <c r="I209" s="814"/>
    </row>
    <row r="210" spans="2:9">
      <c r="B210" s="819"/>
      <c r="C210" s="814"/>
      <c r="D210" s="814"/>
      <c r="E210" s="814"/>
      <c r="F210" s="814"/>
      <c r="H210" s="814"/>
      <c r="I210" s="814"/>
    </row>
    <row r="211" spans="2:9">
      <c r="B211" s="819"/>
      <c r="C211" s="814"/>
      <c r="D211" s="814"/>
      <c r="E211" s="814"/>
      <c r="F211" s="814"/>
      <c r="H211" s="814"/>
      <c r="I211" s="814"/>
    </row>
    <row r="212" spans="2:9">
      <c r="B212" s="819"/>
      <c r="C212" s="814"/>
      <c r="D212" s="814"/>
      <c r="E212" s="814"/>
      <c r="F212" s="814"/>
      <c r="H212" s="814"/>
      <c r="I212" s="814"/>
    </row>
    <row r="213" spans="2:9">
      <c r="B213" s="819"/>
      <c r="C213" s="814"/>
      <c r="D213" s="814"/>
      <c r="E213" s="814"/>
      <c r="F213" s="814"/>
      <c r="H213" s="814"/>
      <c r="I213" s="814"/>
    </row>
    <row r="214" spans="2:9">
      <c r="B214" s="819"/>
      <c r="C214" s="814"/>
      <c r="D214" s="814"/>
      <c r="E214" s="814"/>
      <c r="F214" s="814"/>
      <c r="H214" s="814"/>
      <c r="I214" s="814"/>
    </row>
    <row r="215" spans="2:9">
      <c r="B215" s="819"/>
      <c r="C215" s="814"/>
      <c r="D215" s="814"/>
      <c r="E215" s="814"/>
      <c r="F215" s="814"/>
      <c r="H215" s="814"/>
      <c r="I215" s="814"/>
    </row>
    <row r="216" spans="2:9">
      <c r="B216" s="819"/>
      <c r="C216" s="814"/>
      <c r="D216" s="814"/>
      <c r="E216" s="814"/>
      <c r="F216" s="814"/>
      <c r="H216" s="814"/>
      <c r="I216" s="814"/>
    </row>
    <row r="217" spans="2:9">
      <c r="B217" s="819"/>
      <c r="C217" s="814"/>
      <c r="D217" s="814"/>
      <c r="E217" s="814"/>
      <c r="F217" s="814"/>
      <c r="H217" s="814"/>
      <c r="I217" s="814"/>
    </row>
    <row r="218" spans="2:9">
      <c r="B218" s="819"/>
      <c r="C218" s="814"/>
      <c r="D218" s="814"/>
      <c r="E218" s="814"/>
      <c r="F218" s="814"/>
      <c r="H218" s="814"/>
      <c r="I218" s="814"/>
    </row>
    <row r="219" spans="2:9">
      <c r="B219" s="819"/>
      <c r="C219" s="814"/>
      <c r="D219" s="814"/>
      <c r="E219" s="814"/>
      <c r="F219" s="814"/>
      <c r="H219" s="814"/>
      <c r="I219" s="814"/>
    </row>
    <row r="220" spans="2:9">
      <c r="B220" s="819"/>
      <c r="C220" s="814"/>
      <c r="D220" s="814"/>
      <c r="E220" s="814"/>
      <c r="F220" s="814"/>
      <c r="H220" s="814"/>
      <c r="I220" s="814"/>
    </row>
    <row r="221" spans="2:9">
      <c r="B221" s="819"/>
      <c r="C221" s="814"/>
      <c r="D221" s="814"/>
      <c r="E221" s="814"/>
      <c r="F221" s="814"/>
      <c r="H221" s="814"/>
      <c r="I221" s="814"/>
    </row>
    <row r="222" spans="2:9">
      <c r="B222" s="819"/>
      <c r="C222" s="814"/>
      <c r="D222" s="814"/>
      <c r="E222" s="814"/>
      <c r="F222" s="814"/>
      <c r="H222" s="814"/>
      <c r="I222" s="814"/>
    </row>
    <row r="223" spans="2:9">
      <c r="B223" s="819"/>
      <c r="C223" s="814"/>
      <c r="D223" s="814"/>
      <c r="E223" s="814"/>
      <c r="F223" s="814"/>
      <c r="H223" s="814"/>
      <c r="I223" s="814"/>
    </row>
    <row r="224" spans="2:9">
      <c r="B224" s="819"/>
      <c r="C224" s="814"/>
      <c r="D224" s="814"/>
      <c r="E224" s="814"/>
      <c r="F224" s="814"/>
      <c r="H224" s="814"/>
      <c r="I224" s="814"/>
    </row>
    <row r="225" spans="2:9">
      <c r="B225" s="819"/>
      <c r="C225" s="814"/>
      <c r="D225" s="814"/>
      <c r="E225" s="814"/>
      <c r="F225" s="814"/>
      <c r="H225" s="814"/>
      <c r="I225" s="814"/>
    </row>
    <row r="226" spans="2:9">
      <c r="B226" s="819"/>
      <c r="C226" s="814"/>
      <c r="D226" s="814"/>
      <c r="E226" s="814"/>
      <c r="F226" s="814"/>
      <c r="H226" s="814"/>
      <c r="I226" s="814"/>
    </row>
    <row r="227" spans="2:9">
      <c r="B227" s="819"/>
      <c r="C227" s="814"/>
      <c r="D227" s="814"/>
      <c r="E227" s="814"/>
      <c r="F227" s="814"/>
      <c r="H227" s="814"/>
      <c r="I227" s="814"/>
    </row>
    <row r="228" spans="2:9">
      <c r="B228" s="819"/>
      <c r="C228" s="814"/>
      <c r="D228" s="814"/>
      <c r="E228" s="814"/>
      <c r="F228" s="814"/>
      <c r="H228" s="814"/>
      <c r="I228" s="814"/>
    </row>
    <row r="229" spans="2:9">
      <c r="B229" s="819"/>
      <c r="C229" s="814"/>
      <c r="D229" s="814"/>
      <c r="E229" s="814"/>
      <c r="F229" s="814"/>
      <c r="H229" s="814"/>
      <c r="I229" s="814"/>
    </row>
    <row r="230" spans="2:9">
      <c r="B230" s="819"/>
      <c r="C230" s="814"/>
      <c r="D230" s="814"/>
      <c r="E230" s="814"/>
      <c r="F230" s="814"/>
      <c r="H230" s="814"/>
      <c r="I230" s="814"/>
    </row>
    <row r="231" spans="2:9">
      <c r="B231" s="819"/>
      <c r="C231" s="814"/>
      <c r="D231" s="814"/>
      <c r="E231" s="814"/>
      <c r="F231" s="814"/>
      <c r="H231" s="814"/>
      <c r="I231" s="814"/>
    </row>
    <row r="232" spans="2:9">
      <c r="B232" s="819"/>
      <c r="C232" s="814"/>
      <c r="D232" s="814"/>
      <c r="E232" s="814"/>
      <c r="F232" s="814"/>
      <c r="H232" s="814"/>
      <c r="I232" s="814"/>
    </row>
    <row r="233" spans="2:9">
      <c r="B233" s="819"/>
      <c r="C233" s="814"/>
      <c r="D233" s="814"/>
      <c r="E233" s="814"/>
      <c r="F233" s="814"/>
      <c r="H233" s="814"/>
      <c r="I233" s="814"/>
    </row>
    <row r="234" spans="2:9">
      <c r="B234" s="819"/>
      <c r="C234" s="814"/>
      <c r="D234" s="814"/>
      <c r="E234" s="814"/>
      <c r="F234" s="814"/>
      <c r="H234" s="814"/>
      <c r="I234" s="814"/>
    </row>
    <row r="235" spans="2:9">
      <c r="B235" s="819"/>
      <c r="C235" s="814"/>
      <c r="D235" s="814"/>
      <c r="E235" s="814"/>
      <c r="F235" s="814"/>
      <c r="H235" s="814"/>
      <c r="I235" s="814"/>
    </row>
    <row r="236" spans="2:9">
      <c r="B236" s="819"/>
      <c r="C236" s="814"/>
      <c r="D236" s="814"/>
      <c r="E236" s="814"/>
      <c r="F236" s="814"/>
      <c r="H236" s="814"/>
      <c r="I236" s="814"/>
    </row>
    <row r="237" spans="2:9">
      <c r="B237" s="819"/>
      <c r="C237" s="814"/>
      <c r="D237" s="814"/>
      <c r="E237" s="814"/>
      <c r="F237" s="814"/>
      <c r="H237" s="814"/>
      <c r="I237" s="814"/>
    </row>
    <row r="238" spans="2:9">
      <c r="B238" s="819"/>
      <c r="C238" s="814"/>
      <c r="D238" s="814"/>
      <c r="E238" s="814"/>
      <c r="F238" s="814"/>
      <c r="H238" s="814"/>
      <c r="I238" s="814"/>
    </row>
    <row r="239" spans="2:9">
      <c r="B239" s="819"/>
      <c r="C239" s="814"/>
      <c r="D239" s="814"/>
      <c r="E239" s="814"/>
      <c r="F239" s="814"/>
      <c r="H239" s="814"/>
      <c r="I239" s="814"/>
    </row>
    <row r="240" spans="2:9">
      <c r="B240" s="819"/>
      <c r="C240" s="814"/>
      <c r="D240" s="814"/>
      <c r="E240" s="814"/>
      <c r="F240" s="814"/>
      <c r="H240" s="814"/>
      <c r="I240" s="814"/>
    </row>
    <row r="241" spans="2:9">
      <c r="B241" s="819"/>
      <c r="C241" s="814"/>
      <c r="D241" s="814"/>
      <c r="E241" s="814"/>
      <c r="F241" s="814"/>
      <c r="H241" s="814"/>
      <c r="I241" s="814"/>
    </row>
    <row r="242" spans="2:9">
      <c r="B242" s="819"/>
      <c r="C242" s="814"/>
      <c r="D242" s="814"/>
      <c r="E242" s="814"/>
      <c r="F242" s="814"/>
      <c r="H242" s="814"/>
      <c r="I242" s="814"/>
    </row>
    <row r="243" spans="2:9">
      <c r="B243" s="819"/>
      <c r="C243" s="814"/>
      <c r="D243" s="814"/>
      <c r="E243" s="814"/>
      <c r="F243" s="814"/>
      <c r="H243" s="814"/>
      <c r="I243" s="814"/>
    </row>
    <row r="244" spans="2:9">
      <c r="B244" s="819"/>
      <c r="C244" s="814"/>
      <c r="D244" s="814"/>
      <c r="E244" s="814"/>
      <c r="F244" s="814"/>
      <c r="H244" s="814"/>
      <c r="I244" s="814"/>
    </row>
    <row r="245" spans="2:9">
      <c r="B245" s="819"/>
      <c r="C245" s="814"/>
      <c r="D245" s="814"/>
      <c r="E245" s="814"/>
      <c r="F245" s="814"/>
      <c r="H245" s="814"/>
      <c r="I245" s="814"/>
    </row>
    <row r="246" spans="2:9">
      <c r="B246" s="819"/>
      <c r="C246" s="814"/>
      <c r="D246" s="814"/>
      <c r="E246" s="814"/>
      <c r="F246" s="814"/>
      <c r="H246" s="814"/>
      <c r="I246" s="814"/>
    </row>
    <row r="247" spans="2:9">
      <c r="B247" s="819"/>
      <c r="C247" s="814"/>
      <c r="D247" s="814"/>
      <c r="E247" s="814"/>
      <c r="F247" s="814"/>
      <c r="H247" s="814"/>
      <c r="I247" s="814"/>
    </row>
    <row r="248" spans="2:9">
      <c r="B248" s="819"/>
      <c r="C248" s="814"/>
      <c r="D248" s="814"/>
      <c r="E248" s="814"/>
      <c r="F248" s="814"/>
      <c r="H248" s="814"/>
      <c r="I248" s="814"/>
    </row>
    <row r="249" spans="2:9">
      <c r="B249" s="819"/>
      <c r="C249" s="814"/>
      <c r="D249" s="814"/>
      <c r="E249" s="814"/>
      <c r="F249" s="814"/>
      <c r="H249" s="814"/>
      <c r="I249" s="814"/>
    </row>
    <row r="250" spans="2:9">
      <c r="B250" s="819"/>
      <c r="C250" s="814"/>
      <c r="D250" s="814"/>
      <c r="E250" s="814"/>
      <c r="F250" s="814"/>
      <c r="H250" s="814"/>
      <c r="I250" s="814"/>
    </row>
    <row r="251" spans="2:9">
      <c r="B251" s="819"/>
      <c r="C251" s="814"/>
      <c r="D251" s="814"/>
      <c r="E251" s="814"/>
      <c r="F251" s="814"/>
      <c r="H251" s="814"/>
      <c r="I251" s="814"/>
    </row>
    <row r="252" spans="2:9">
      <c r="B252" s="819"/>
      <c r="C252" s="814"/>
      <c r="D252" s="814"/>
      <c r="E252" s="814"/>
      <c r="F252" s="814"/>
      <c r="H252" s="814"/>
      <c r="I252" s="814"/>
    </row>
    <row r="253" spans="2:9">
      <c r="B253" s="819"/>
      <c r="C253" s="814"/>
      <c r="D253" s="814"/>
      <c r="E253" s="814"/>
      <c r="F253" s="814"/>
      <c r="H253" s="814"/>
      <c r="I253" s="814"/>
    </row>
    <row r="254" spans="2:9">
      <c r="B254" s="819"/>
      <c r="C254" s="814"/>
      <c r="D254" s="814"/>
      <c r="E254" s="814"/>
      <c r="F254" s="814"/>
      <c r="H254" s="814"/>
      <c r="I254" s="814"/>
    </row>
    <row r="255" spans="2:9">
      <c r="B255" s="819"/>
      <c r="C255" s="814"/>
      <c r="D255" s="814"/>
      <c r="E255" s="814"/>
      <c r="F255" s="814"/>
      <c r="H255" s="814"/>
      <c r="I255" s="814"/>
    </row>
    <row r="256" spans="2:9">
      <c r="B256" s="819"/>
      <c r="C256" s="814"/>
      <c r="D256" s="814"/>
      <c r="E256" s="814"/>
      <c r="F256" s="814"/>
      <c r="H256" s="814"/>
      <c r="I256" s="814"/>
    </row>
    <row r="257" spans="2:9">
      <c r="B257" s="819"/>
      <c r="C257" s="814"/>
      <c r="D257" s="814"/>
      <c r="E257" s="814"/>
      <c r="F257" s="814"/>
      <c r="H257" s="814"/>
      <c r="I257" s="814"/>
    </row>
    <row r="258" spans="2:9">
      <c r="B258" s="819"/>
      <c r="C258" s="814"/>
      <c r="D258" s="814"/>
      <c r="E258" s="814"/>
      <c r="F258" s="814"/>
      <c r="H258" s="814"/>
      <c r="I258" s="814"/>
    </row>
    <row r="259" spans="2:9">
      <c r="B259" s="819"/>
      <c r="C259" s="814"/>
      <c r="D259" s="814"/>
      <c r="E259" s="814"/>
      <c r="F259" s="814"/>
      <c r="H259" s="814"/>
      <c r="I259" s="814"/>
    </row>
    <row r="260" spans="2:9">
      <c r="B260" s="819"/>
      <c r="C260" s="814"/>
      <c r="D260" s="814"/>
      <c r="E260" s="814"/>
      <c r="F260" s="814"/>
      <c r="H260" s="814"/>
      <c r="I260" s="814"/>
    </row>
    <row r="261" spans="2:9">
      <c r="B261" s="819"/>
      <c r="C261" s="814"/>
      <c r="D261" s="814"/>
      <c r="E261" s="814"/>
      <c r="F261" s="814"/>
      <c r="H261" s="814"/>
      <c r="I261" s="814"/>
    </row>
    <row r="262" spans="2:9">
      <c r="B262" s="819"/>
      <c r="C262" s="814"/>
      <c r="D262" s="814"/>
      <c r="E262" s="814"/>
      <c r="F262" s="814"/>
      <c r="H262" s="814"/>
      <c r="I262" s="814"/>
    </row>
    <row r="263" spans="2:9">
      <c r="B263" s="819"/>
      <c r="C263" s="814"/>
      <c r="D263" s="814"/>
      <c r="E263" s="814"/>
      <c r="F263" s="814"/>
      <c r="H263" s="814"/>
      <c r="I263" s="814"/>
    </row>
    <row r="264" spans="2:9">
      <c r="B264" s="819"/>
      <c r="C264" s="814"/>
      <c r="D264" s="814"/>
      <c r="E264" s="814"/>
      <c r="F264" s="814"/>
      <c r="H264" s="814"/>
      <c r="I264" s="814"/>
    </row>
    <row r="265" spans="2:9">
      <c r="B265" s="819"/>
      <c r="C265" s="814"/>
      <c r="D265" s="814"/>
      <c r="E265" s="814"/>
      <c r="F265" s="814"/>
      <c r="H265" s="814"/>
      <c r="I265" s="814"/>
    </row>
    <row r="266" spans="2:9">
      <c r="B266" s="819"/>
      <c r="C266" s="814"/>
      <c r="D266" s="814"/>
      <c r="E266" s="814"/>
      <c r="F266" s="814"/>
      <c r="H266" s="814"/>
      <c r="I266" s="814"/>
    </row>
    <row r="267" spans="2:9">
      <c r="B267" s="819"/>
      <c r="C267" s="814"/>
      <c r="D267" s="814"/>
      <c r="E267" s="814"/>
      <c r="F267" s="814"/>
      <c r="H267" s="814"/>
      <c r="I267" s="814"/>
    </row>
    <row r="268" spans="2:9">
      <c r="B268" s="819"/>
      <c r="C268" s="814"/>
      <c r="D268" s="814"/>
      <c r="E268" s="814"/>
      <c r="F268" s="814"/>
      <c r="H268" s="814"/>
      <c r="I268" s="814"/>
    </row>
    <row r="269" spans="2:9">
      <c r="B269" s="819"/>
      <c r="C269" s="814"/>
      <c r="D269" s="814"/>
      <c r="E269" s="814"/>
      <c r="F269" s="814"/>
      <c r="H269" s="814"/>
      <c r="I269" s="814"/>
    </row>
    <row r="270" spans="2:9">
      <c r="B270" s="819"/>
      <c r="C270" s="814"/>
      <c r="D270" s="814"/>
      <c r="E270" s="814"/>
      <c r="F270" s="814"/>
      <c r="H270" s="814"/>
      <c r="I270" s="814"/>
    </row>
    <row r="271" spans="2:9">
      <c r="B271" s="819"/>
      <c r="C271" s="814"/>
      <c r="D271" s="814"/>
      <c r="E271" s="814"/>
      <c r="F271" s="814"/>
      <c r="H271" s="814"/>
      <c r="I271" s="814"/>
    </row>
    <row r="272" spans="2:9">
      <c r="B272" s="819"/>
      <c r="C272" s="814"/>
      <c r="D272" s="814"/>
      <c r="E272" s="814"/>
      <c r="F272" s="814"/>
      <c r="H272" s="814"/>
      <c r="I272" s="814"/>
    </row>
    <row r="273" spans="2:9">
      <c r="B273" s="819"/>
      <c r="C273" s="814"/>
      <c r="D273" s="814"/>
      <c r="E273" s="814"/>
      <c r="F273" s="814"/>
      <c r="H273" s="814"/>
      <c r="I273" s="814"/>
    </row>
    <row r="274" spans="2:9">
      <c r="B274" s="819"/>
      <c r="C274" s="814"/>
      <c r="D274" s="814"/>
      <c r="E274" s="814"/>
      <c r="F274" s="814"/>
      <c r="H274" s="814"/>
      <c r="I274" s="814"/>
    </row>
    <row r="275" spans="2:9">
      <c r="B275" s="819"/>
      <c r="C275" s="814"/>
      <c r="D275" s="814"/>
      <c r="E275" s="814"/>
      <c r="F275" s="814"/>
      <c r="H275" s="814"/>
      <c r="I275" s="814"/>
    </row>
    <row r="276" spans="2:9">
      <c r="B276" s="819"/>
      <c r="C276" s="814"/>
      <c r="D276" s="814"/>
      <c r="E276" s="814"/>
      <c r="F276" s="814"/>
      <c r="H276" s="814"/>
      <c r="I276" s="814"/>
    </row>
    <row r="277" spans="2:9">
      <c r="B277" s="819"/>
      <c r="C277" s="814"/>
      <c r="D277" s="814"/>
      <c r="E277" s="814"/>
      <c r="F277" s="814"/>
      <c r="H277" s="814"/>
      <c r="I277" s="814"/>
    </row>
    <row r="278" spans="2:9">
      <c r="B278" s="819"/>
      <c r="C278" s="814"/>
      <c r="D278" s="814"/>
      <c r="E278" s="814"/>
      <c r="F278" s="814"/>
      <c r="H278" s="814"/>
      <c r="I278" s="814"/>
    </row>
    <row r="279" spans="2:9">
      <c r="B279" s="819"/>
      <c r="C279" s="814"/>
      <c r="D279" s="814"/>
      <c r="E279" s="814"/>
      <c r="F279" s="814"/>
      <c r="H279" s="814"/>
      <c r="I279" s="814"/>
    </row>
    <row r="280" spans="2:9">
      <c r="B280" s="819"/>
      <c r="C280" s="814"/>
      <c r="D280" s="814"/>
      <c r="E280" s="814"/>
      <c r="F280" s="814"/>
      <c r="H280" s="814"/>
      <c r="I280" s="814"/>
    </row>
    <row r="281" spans="2:9">
      <c r="B281" s="819"/>
      <c r="C281" s="814"/>
      <c r="D281" s="814"/>
      <c r="E281" s="814"/>
      <c r="F281" s="814"/>
      <c r="H281" s="814"/>
      <c r="I281" s="814"/>
    </row>
    <row r="282" spans="2:9">
      <c r="B282" s="819"/>
      <c r="C282" s="814"/>
      <c r="D282" s="814"/>
      <c r="E282" s="814"/>
      <c r="F282" s="814"/>
      <c r="H282" s="814"/>
      <c r="I282" s="814"/>
    </row>
    <row r="283" spans="2:9">
      <c r="B283" s="819"/>
      <c r="C283" s="814"/>
      <c r="D283" s="814"/>
      <c r="E283" s="814"/>
      <c r="F283" s="814"/>
      <c r="H283" s="814"/>
      <c r="I283" s="814"/>
    </row>
    <row r="284" spans="2:9">
      <c r="B284" s="819"/>
      <c r="C284" s="814"/>
      <c r="D284" s="814"/>
      <c r="E284" s="814"/>
      <c r="F284" s="814"/>
      <c r="H284" s="814"/>
      <c r="I284" s="814"/>
    </row>
    <row r="285" spans="2:9">
      <c r="B285" s="819"/>
      <c r="C285" s="814"/>
      <c r="D285" s="814"/>
      <c r="E285" s="814"/>
      <c r="F285" s="814"/>
      <c r="H285" s="814"/>
      <c r="I285" s="814"/>
    </row>
    <row r="286" spans="2:9">
      <c r="B286" s="819"/>
      <c r="C286" s="814"/>
      <c r="D286" s="814"/>
      <c r="E286" s="814"/>
      <c r="F286" s="814"/>
      <c r="H286" s="814"/>
      <c r="I286" s="814"/>
    </row>
    <row r="287" spans="2:9">
      <c r="B287" s="819"/>
      <c r="C287" s="814"/>
      <c r="D287" s="814"/>
      <c r="E287" s="814"/>
      <c r="F287" s="814"/>
      <c r="H287" s="814"/>
      <c r="I287" s="814"/>
    </row>
    <row r="288" spans="2:9">
      <c r="B288" s="819"/>
      <c r="C288" s="814"/>
      <c r="D288" s="814"/>
      <c r="E288" s="814"/>
      <c r="F288" s="814"/>
      <c r="H288" s="814"/>
      <c r="I288" s="814"/>
    </row>
    <row r="289" spans="2:9">
      <c r="B289" s="819"/>
      <c r="C289" s="814"/>
      <c r="D289" s="814"/>
      <c r="E289" s="814"/>
      <c r="F289" s="814"/>
      <c r="H289" s="814"/>
      <c r="I289" s="814"/>
    </row>
    <row r="290" spans="2:9">
      <c r="B290" s="819"/>
      <c r="C290" s="814"/>
      <c r="D290" s="814"/>
      <c r="E290" s="814"/>
      <c r="F290" s="814"/>
      <c r="H290" s="814"/>
      <c r="I290" s="814"/>
    </row>
    <row r="291" spans="2:9">
      <c r="B291" s="819"/>
      <c r="C291" s="814"/>
      <c r="D291" s="814"/>
      <c r="E291" s="814"/>
      <c r="F291" s="814"/>
      <c r="H291" s="814"/>
      <c r="I291" s="814"/>
    </row>
    <row r="292" spans="2:9">
      <c r="B292" s="819"/>
      <c r="C292" s="814"/>
      <c r="D292" s="814"/>
      <c r="E292" s="814"/>
      <c r="F292" s="814"/>
      <c r="H292" s="814"/>
      <c r="I292" s="814"/>
    </row>
    <row r="293" spans="2:9">
      <c r="B293" s="819"/>
      <c r="C293" s="814"/>
      <c r="D293" s="814"/>
      <c r="E293" s="814"/>
      <c r="F293" s="814"/>
      <c r="H293" s="814"/>
      <c r="I293" s="814"/>
    </row>
    <row r="294" spans="2:9">
      <c r="B294" s="819"/>
      <c r="C294" s="814"/>
      <c r="D294" s="814"/>
      <c r="E294" s="814"/>
      <c r="F294" s="814"/>
      <c r="H294" s="814"/>
      <c r="I294" s="814"/>
    </row>
    <row r="295" spans="2:9">
      <c r="B295" s="819"/>
      <c r="C295" s="814"/>
      <c r="D295" s="814"/>
      <c r="E295" s="814"/>
      <c r="F295" s="814"/>
      <c r="H295" s="814"/>
      <c r="I295" s="814"/>
    </row>
    <row r="296" spans="2:9">
      <c r="B296" s="819"/>
      <c r="C296" s="814"/>
      <c r="D296" s="814"/>
      <c r="E296" s="814"/>
      <c r="F296" s="814"/>
      <c r="H296" s="814"/>
      <c r="I296" s="814"/>
    </row>
    <row r="297" spans="2:9">
      <c r="B297" s="819"/>
      <c r="C297" s="814"/>
      <c r="D297" s="814"/>
      <c r="E297" s="814"/>
      <c r="F297" s="814"/>
      <c r="H297" s="814"/>
      <c r="I297" s="814"/>
    </row>
    <row r="298" spans="2:9">
      <c r="B298" s="819"/>
      <c r="C298" s="814"/>
      <c r="D298" s="814"/>
      <c r="E298" s="814"/>
      <c r="F298" s="814"/>
      <c r="H298" s="814"/>
      <c r="I298" s="814"/>
    </row>
    <row r="299" spans="2:9">
      <c r="B299" s="819"/>
      <c r="C299" s="814"/>
      <c r="D299" s="814"/>
      <c r="E299" s="814"/>
      <c r="F299" s="814"/>
      <c r="H299" s="814"/>
      <c r="I299" s="814"/>
    </row>
    <row r="300" spans="2:9">
      <c r="B300" s="819"/>
      <c r="C300" s="814"/>
      <c r="D300" s="814"/>
      <c r="E300" s="814"/>
      <c r="F300" s="814"/>
      <c r="H300" s="814"/>
      <c r="I300" s="814"/>
    </row>
    <row r="301" spans="2:9">
      <c r="B301" s="819"/>
      <c r="C301" s="814"/>
      <c r="D301" s="814"/>
      <c r="E301" s="814"/>
      <c r="F301" s="814"/>
      <c r="H301" s="814"/>
      <c r="I301" s="814"/>
    </row>
    <row r="302" spans="2:9">
      <c r="B302" s="819"/>
      <c r="C302" s="814"/>
      <c r="D302" s="814"/>
      <c r="E302" s="814"/>
      <c r="F302" s="814"/>
      <c r="H302" s="814"/>
      <c r="I302" s="814"/>
    </row>
    <row r="303" spans="2:9">
      <c r="B303" s="819"/>
      <c r="C303" s="814"/>
      <c r="D303" s="814"/>
      <c r="E303" s="814"/>
      <c r="F303" s="814"/>
      <c r="H303" s="814"/>
      <c r="I303" s="814"/>
    </row>
    <row r="304" spans="2:9">
      <c r="B304" s="819"/>
      <c r="C304" s="814"/>
      <c r="D304" s="814"/>
      <c r="E304" s="814"/>
      <c r="F304" s="814"/>
      <c r="H304" s="814"/>
      <c r="I304" s="814"/>
    </row>
    <row r="305" spans="2:9">
      <c r="B305" s="819"/>
      <c r="C305" s="814"/>
      <c r="D305" s="814"/>
      <c r="E305" s="814"/>
      <c r="F305" s="814"/>
      <c r="H305" s="814"/>
      <c r="I305" s="814"/>
    </row>
    <row r="306" spans="2:9">
      <c r="B306" s="819"/>
      <c r="C306" s="814"/>
      <c r="D306" s="814"/>
      <c r="E306" s="814"/>
      <c r="F306" s="814"/>
      <c r="H306" s="814"/>
      <c r="I306" s="814"/>
    </row>
    <row r="307" spans="2:9">
      <c r="B307" s="819"/>
      <c r="C307" s="814"/>
      <c r="D307" s="814"/>
      <c r="E307" s="814"/>
      <c r="F307" s="814"/>
      <c r="H307" s="814"/>
      <c r="I307" s="814"/>
    </row>
    <row r="308" spans="2:9">
      <c r="B308" s="819"/>
      <c r="C308" s="814"/>
      <c r="D308" s="814"/>
      <c r="E308" s="814"/>
      <c r="F308" s="814"/>
      <c r="H308" s="814"/>
      <c r="I308" s="814"/>
    </row>
    <row r="309" spans="2:9">
      <c r="B309" s="819"/>
      <c r="C309" s="814"/>
      <c r="D309" s="814"/>
      <c r="E309" s="814"/>
      <c r="F309" s="814"/>
      <c r="H309" s="814"/>
      <c r="I309" s="814"/>
    </row>
    <row r="310" spans="2:9">
      <c r="B310" s="819"/>
      <c r="C310" s="814"/>
      <c r="D310" s="814"/>
      <c r="E310" s="814"/>
      <c r="F310" s="814"/>
      <c r="H310" s="814"/>
      <c r="I310" s="814"/>
    </row>
    <row r="311" spans="2:9">
      <c r="B311" s="819"/>
      <c r="C311" s="814"/>
      <c r="D311" s="814"/>
      <c r="E311" s="814"/>
      <c r="F311" s="814"/>
      <c r="H311" s="814"/>
      <c r="I311" s="814"/>
    </row>
    <row r="312" spans="2:9">
      <c r="B312" s="819"/>
      <c r="C312" s="814"/>
      <c r="D312" s="814"/>
      <c r="E312" s="814"/>
      <c r="F312" s="814"/>
      <c r="H312" s="814"/>
      <c r="I312" s="814"/>
    </row>
    <row r="313" spans="2:9">
      <c r="B313" s="819"/>
      <c r="C313" s="814"/>
      <c r="D313" s="814"/>
      <c r="E313" s="814"/>
      <c r="F313" s="814"/>
      <c r="H313" s="814"/>
      <c r="I313" s="814"/>
    </row>
    <row r="314" spans="2:9">
      <c r="B314" s="819"/>
      <c r="C314" s="814"/>
      <c r="D314" s="814"/>
      <c r="E314" s="814"/>
      <c r="F314" s="814"/>
      <c r="H314" s="814"/>
      <c r="I314" s="814"/>
    </row>
    <row r="315" spans="2:9">
      <c r="B315" s="819"/>
      <c r="C315" s="814"/>
      <c r="D315" s="814"/>
      <c r="E315" s="814"/>
      <c r="F315" s="814"/>
      <c r="H315" s="814"/>
      <c r="I315" s="814"/>
    </row>
    <row r="316" spans="2:9">
      <c r="B316" s="819"/>
      <c r="C316" s="814"/>
      <c r="D316" s="814"/>
      <c r="E316" s="814"/>
      <c r="F316" s="814"/>
      <c r="H316" s="814"/>
      <c r="I316" s="814"/>
    </row>
    <row r="317" spans="2:9">
      <c r="B317" s="819"/>
      <c r="C317" s="814"/>
      <c r="D317" s="814"/>
      <c r="E317" s="814"/>
      <c r="F317" s="814"/>
      <c r="H317" s="814"/>
      <c r="I317" s="814"/>
    </row>
    <row r="318" spans="2:9">
      <c r="B318" s="819"/>
      <c r="C318" s="814"/>
      <c r="D318" s="814"/>
      <c r="E318" s="814"/>
      <c r="F318" s="814"/>
      <c r="H318" s="814"/>
      <c r="I318" s="814"/>
    </row>
    <row r="319" spans="2:9">
      <c r="B319" s="819"/>
      <c r="C319" s="814"/>
      <c r="D319" s="814"/>
      <c r="E319" s="814"/>
      <c r="F319" s="814"/>
      <c r="H319" s="814"/>
      <c r="I319" s="814"/>
    </row>
    <row r="320" spans="2:9">
      <c r="B320" s="819"/>
      <c r="C320" s="814"/>
      <c r="D320" s="814"/>
      <c r="E320" s="814"/>
      <c r="F320" s="814"/>
      <c r="H320" s="814"/>
      <c r="I320" s="814"/>
    </row>
    <row r="321" spans="2:9">
      <c r="B321" s="819"/>
      <c r="C321" s="814"/>
      <c r="D321" s="814"/>
      <c r="E321" s="814"/>
      <c r="F321" s="814"/>
      <c r="H321" s="814"/>
      <c r="I321" s="814"/>
    </row>
    <row r="322" spans="2:9">
      <c r="B322" s="819"/>
      <c r="C322" s="814"/>
      <c r="D322" s="814"/>
      <c r="E322" s="814"/>
      <c r="F322" s="814"/>
      <c r="H322" s="814"/>
      <c r="I322" s="814"/>
    </row>
    <row r="323" spans="2:9">
      <c r="B323" s="819"/>
      <c r="C323" s="814"/>
      <c r="D323" s="814"/>
      <c r="E323" s="814"/>
      <c r="F323" s="814"/>
      <c r="H323" s="814"/>
      <c r="I323" s="814"/>
    </row>
    <row r="324" spans="2:9">
      <c r="B324" s="819"/>
      <c r="C324" s="814"/>
      <c r="D324" s="814"/>
      <c r="E324" s="814"/>
      <c r="F324" s="814"/>
      <c r="H324" s="814"/>
      <c r="I324" s="814"/>
    </row>
    <row r="325" spans="2:9">
      <c r="B325" s="819"/>
      <c r="C325" s="814"/>
      <c r="D325" s="814"/>
      <c r="E325" s="814"/>
      <c r="F325" s="814"/>
      <c r="H325" s="814"/>
      <c r="I325" s="814"/>
    </row>
    <row r="326" spans="2:9">
      <c r="B326" s="819"/>
      <c r="C326" s="814"/>
      <c r="D326" s="814"/>
      <c r="E326" s="814"/>
      <c r="F326" s="814"/>
      <c r="H326" s="814"/>
      <c r="I326" s="814"/>
    </row>
    <row r="327" spans="2:9">
      <c r="B327" s="819"/>
      <c r="C327" s="814"/>
      <c r="D327" s="814"/>
      <c r="E327" s="814"/>
      <c r="F327" s="814"/>
      <c r="H327" s="814"/>
      <c r="I327" s="814"/>
    </row>
    <row r="328" spans="2:9">
      <c r="B328" s="819"/>
      <c r="C328" s="814"/>
      <c r="D328" s="814"/>
      <c r="E328" s="814"/>
      <c r="F328" s="814"/>
      <c r="H328" s="814"/>
      <c r="I328" s="814"/>
    </row>
    <row r="329" spans="2:9">
      <c r="B329" s="819"/>
      <c r="C329" s="814"/>
      <c r="D329" s="814"/>
      <c r="E329" s="814"/>
      <c r="F329" s="814"/>
      <c r="H329" s="814"/>
      <c r="I329" s="814"/>
    </row>
    <row r="330" spans="2:9">
      <c r="B330" s="819"/>
      <c r="C330" s="814"/>
      <c r="D330" s="814"/>
      <c r="E330" s="814"/>
      <c r="F330" s="814"/>
      <c r="H330" s="814"/>
      <c r="I330" s="814"/>
    </row>
    <row r="331" spans="2:9">
      <c r="B331" s="819"/>
      <c r="C331" s="814"/>
      <c r="D331" s="814"/>
      <c r="E331" s="814"/>
      <c r="F331" s="814"/>
      <c r="H331" s="814"/>
      <c r="I331" s="814"/>
    </row>
    <row r="332" spans="2:9">
      <c r="B332" s="819"/>
      <c r="C332" s="814"/>
      <c r="D332" s="814"/>
      <c r="E332" s="814"/>
      <c r="F332" s="814"/>
      <c r="H332" s="814"/>
      <c r="I332" s="814"/>
    </row>
    <row r="333" spans="2:9">
      <c r="B333" s="819"/>
      <c r="C333" s="814"/>
      <c r="D333" s="814"/>
      <c r="E333" s="814"/>
      <c r="F333" s="814"/>
      <c r="H333" s="814"/>
      <c r="I333" s="814"/>
    </row>
    <row r="334" spans="2:9">
      <c r="B334" s="819"/>
      <c r="C334" s="814"/>
      <c r="D334" s="814"/>
      <c r="E334" s="814"/>
      <c r="F334" s="814"/>
      <c r="H334" s="814"/>
      <c r="I334" s="814"/>
    </row>
    <row r="335" spans="2:9">
      <c r="B335" s="819"/>
      <c r="C335" s="814"/>
      <c r="D335" s="814"/>
      <c r="E335" s="814"/>
      <c r="F335" s="814"/>
      <c r="H335" s="814"/>
      <c r="I335" s="814"/>
    </row>
    <row r="336" spans="2:9">
      <c r="B336" s="819"/>
      <c r="C336" s="814"/>
      <c r="D336" s="814"/>
      <c r="E336" s="814"/>
      <c r="F336" s="814"/>
      <c r="H336" s="814"/>
      <c r="I336" s="814"/>
    </row>
    <row r="337" spans="2:9">
      <c r="B337" s="819"/>
      <c r="C337" s="814"/>
      <c r="D337" s="814"/>
      <c r="E337" s="814"/>
      <c r="F337" s="814"/>
      <c r="H337" s="814"/>
      <c r="I337" s="814"/>
    </row>
    <row r="338" spans="2:9">
      <c r="B338" s="819"/>
      <c r="C338" s="814"/>
      <c r="D338" s="814"/>
      <c r="E338" s="814"/>
      <c r="F338" s="814"/>
      <c r="H338" s="814"/>
      <c r="I338" s="814"/>
    </row>
    <row r="339" spans="2:9">
      <c r="B339" s="819"/>
      <c r="C339" s="814"/>
      <c r="D339" s="814"/>
      <c r="E339" s="814"/>
      <c r="F339" s="814"/>
      <c r="H339" s="814"/>
      <c r="I339" s="814"/>
    </row>
    <row r="340" spans="2:9">
      <c r="B340" s="819"/>
      <c r="C340" s="814"/>
      <c r="D340" s="814"/>
      <c r="E340" s="814"/>
      <c r="F340" s="814"/>
      <c r="H340" s="814"/>
      <c r="I340" s="814"/>
    </row>
    <row r="341" spans="2:9">
      <c r="B341" s="819"/>
      <c r="C341" s="814"/>
      <c r="D341" s="814"/>
      <c r="E341" s="814"/>
      <c r="F341" s="814"/>
      <c r="H341" s="814"/>
      <c r="I341" s="814"/>
    </row>
    <row r="342" spans="2:9">
      <c r="B342" s="819"/>
      <c r="C342" s="814"/>
      <c r="D342" s="814"/>
      <c r="E342" s="814"/>
      <c r="F342" s="814"/>
      <c r="H342" s="814"/>
      <c r="I342" s="814"/>
    </row>
    <row r="343" spans="2:9">
      <c r="B343" s="819"/>
      <c r="C343" s="814"/>
      <c r="D343" s="814"/>
      <c r="E343" s="814"/>
      <c r="F343" s="814"/>
      <c r="H343" s="814"/>
      <c r="I343" s="814"/>
    </row>
    <row r="344" spans="2:9">
      <c r="B344" s="819"/>
      <c r="C344" s="814"/>
      <c r="D344" s="814"/>
      <c r="E344" s="814"/>
      <c r="F344" s="814"/>
      <c r="H344" s="814"/>
      <c r="I344" s="814"/>
    </row>
    <row r="345" spans="2:9">
      <c r="B345" s="819"/>
      <c r="C345" s="814"/>
      <c r="D345" s="814"/>
      <c r="E345" s="814"/>
      <c r="F345" s="814"/>
      <c r="H345" s="814"/>
      <c r="I345" s="814"/>
    </row>
    <row r="346" spans="2:9">
      <c r="B346" s="819"/>
      <c r="C346" s="814"/>
      <c r="D346" s="814"/>
      <c r="E346" s="814"/>
      <c r="F346" s="814"/>
      <c r="H346" s="814"/>
      <c r="I346" s="814"/>
    </row>
    <row r="347" spans="2:9">
      <c r="B347" s="819"/>
      <c r="C347" s="814"/>
      <c r="D347" s="814"/>
      <c r="E347" s="814"/>
      <c r="F347" s="814"/>
      <c r="H347" s="814"/>
      <c r="I347" s="814"/>
    </row>
    <row r="348" spans="2:9">
      <c r="B348" s="819"/>
      <c r="C348" s="814"/>
      <c r="D348" s="814"/>
      <c r="E348" s="814"/>
      <c r="F348" s="814"/>
      <c r="H348" s="814"/>
      <c r="I348" s="814"/>
    </row>
    <row r="349" spans="2:9">
      <c r="B349" s="819"/>
      <c r="C349" s="814"/>
      <c r="D349" s="814"/>
      <c r="E349" s="814"/>
      <c r="F349" s="814"/>
      <c r="H349" s="814"/>
      <c r="I349" s="814"/>
    </row>
    <row r="350" spans="2:9">
      <c r="B350" s="819"/>
      <c r="C350" s="814"/>
      <c r="D350" s="814"/>
      <c r="E350" s="814"/>
      <c r="F350" s="814"/>
      <c r="H350" s="814"/>
      <c r="I350" s="814"/>
    </row>
    <row r="351" spans="2:9">
      <c r="B351" s="819"/>
      <c r="C351" s="814"/>
      <c r="D351" s="814"/>
      <c r="E351" s="814"/>
      <c r="F351" s="814"/>
      <c r="H351" s="814"/>
      <c r="I351" s="814"/>
    </row>
    <row r="352" spans="2:9">
      <c r="B352" s="819"/>
      <c r="C352" s="814"/>
      <c r="D352" s="814"/>
      <c r="E352" s="814"/>
      <c r="F352" s="814"/>
      <c r="H352" s="814"/>
      <c r="I352" s="814"/>
    </row>
    <row r="353" spans="2:9">
      <c r="B353" s="819"/>
      <c r="C353" s="814"/>
      <c r="D353" s="814"/>
      <c r="E353" s="814"/>
      <c r="F353" s="814"/>
      <c r="H353" s="814"/>
      <c r="I353" s="814"/>
    </row>
    <row r="354" spans="2:9">
      <c r="B354" s="819"/>
      <c r="C354" s="814"/>
      <c r="D354" s="814"/>
      <c r="E354" s="814"/>
      <c r="F354" s="814"/>
      <c r="H354" s="814"/>
      <c r="I354" s="814"/>
    </row>
    <row r="355" spans="2:9">
      <c r="B355" s="819"/>
      <c r="C355" s="814"/>
      <c r="D355" s="814"/>
      <c r="E355" s="814"/>
      <c r="F355" s="814"/>
      <c r="H355" s="814"/>
      <c r="I355" s="814"/>
    </row>
    <row r="356" spans="2:9">
      <c r="B356" s="819"/>
      <c r="C356" s="814"/>
      <c r="D356" s="814"/>
      <c r="E356" s="814"/>
      <c r="F356" s="814"/>
      <c r="H356" s="814"/>
      <c r="I356" s="814"/>
    </row>
    <row r="357" spans="2:9">
      <c r="B357" s="819"/>
      <c r="C357" s="814"/>
      <c r="D357" s="814"/>
      <c r="E357" s="814"/>
      <c r="F357" s="814"/>
      <c r="H357" s="814"/>
      <c r="I357" s="814"/>
    </row>
    <row r="358" spans="2:9">
      <c r="B358" s="819"/>
      <c r="C358" s="814"/>
      <c r="D358" s="814"/>
      <c r="E358" s="814"/>
      <c r="F358" s="814"/>
      <c r="H358" s="814"/>
      <c r="I358" s="814"/>
    </row>
    <row r="359" spans="2:9">
      <c r="B359" s="819"/>
      <c r="C359" s="814"/>
      <c r="D359" s="814"/>
      <c r="E359" s="814"/>
      <c r="F359" s="814"/>
      <c r="H359" s="814"/>
      <c r="I359" s="814"/>
    </row>
    <row r="360" spans="2:9">
      <c r="B360" s="819"/>
      <c r="C360" s="814"/>
      <c r="D360" s="814"/>
      <c r="E360" s="814"/>
      <c r="F360" s="814"/>
      <c r="H360" s="814"/>
      <c r="I360" s="814"/>
    </row>
    <row r="361" spans="2:9">
      <c r="B361" s="819"/>
      <c r="C361" s="814"/>
      <c r="D361" s="814"/>
      <c r="E361" s="814"/>
      <c r="F361" s="814"/>
      <c r="H361" s="814"/>
      <c r="I361" s="814"/>
    </row>
    <row r="362" spans="2:9">
      <c r="B362" s="819"/>
      <c r="C362" s="814"/>
      <c r="D362" s="814"/>
      <c r="E362" s="814"/>
      <c r="F362" s="814"/>
      <c r="H362" s="814"/>
      <c r="I362" s="814"/>
    </row>
    <row r="363" spans="2:9">
      <c r="B363" s="819"/>
      <c r="C363" s="814"/>
      <c r="D363" s="814"/>
      <c r="E363" s="814"/>
      <c r="F363" s="814"/>
      <c r="H363" s="814"/>
      <c r="I363" s="814"/>
    </row>
    <row r="364" spans="2:9">
      <c r="B364" s="819"/>
      <c r="C364" s="814"/>
      <c r="D364" s="814"/>
      <c r="E364" s="814"/>
      <c r="F364" s="814"/>
      <c r="H364" s="814"/>
      <c r="I364" s="814"/>
    </row>
    <row r="365" spans="2:9">
      <c r="B365" s="819"/>
      <c r="C365" s="814"/>
      <c r="D365" s="814"/>
      <c r="E365" s="814"/>
      <c r="F365" s="814"/>
      <c r="H365" s="814"/>
      <c r="I365" s="814"/>
    </row>
    <row r="366" spans="2:9">
      <c r="B366" s="819"/>
      <c r="C366" s="814"/>
      <c r="D366" s="814"/>
      <c r="E366" s="814"/>
      <c r="F366" s="814"/>
      <c r="H366" s="814"/>
      <c r="I366" s="814"/>
    </row>
    <row r="367" spans="2:9">
      <c r="B367" s="819"/>
      <c r="C367" s="814"/>
      <c r="D367" s="814"/>
      <c r="E367" s="814"/>
      <c r="F367" s="814"/>
      <c r="H367" s="814"/>
      <c r="I367" s="814"/>
    </row>
    <row r="368" spans="2:9">
      <c r="B368" s="819"/>
      <c r="C368" s="814"/>
      <c r="D368" s="814"/>
      <c r="E368" s="814"/>
      <c r="F368" s="814"/>
      <c r="H368" s="814"/>
      <c r="I368" s="814"/>
    </row>
    <row r="369" spans="2:9">
      <c r="B369" s="819"/>
      <c r="C369" s="814"/>
      <c r="D369" s="814"/>
      <c r="E369" s="814"/>
      <c r="F369" s="814"/>
      <c r="H369" s="814"/>
      <c r="I369" s="814"/>
    </row>
    <row r="370" spans="2:9">
      <c r="B370" s="819"/>
      <c r="C370" s="814"/>
      <c r="D370" s="814"/>
      <c r="E370" s="814"/>
      <c r="F370" s="814"/>
      <c r="H370" s="814"/>
      <c r="I370" s="814"/>
    </row>
    <row r="371" spans="2:9">
      <c r="B371" s="819"/>
      <c r="C371" s="814"/>
      <c r="D371" s="814"/>
      <c r="E371" s="814"/>
      <c r="F371" s="814"/>
      <c r="H371" s="814"/>
      <c r="I371" s="814"/>
    </row>
    <row r="372" spans="2:9">
      <c r="B372" s="819"/>
      <c r="C372" s="814"/>
      <c r="D372" s="814"/>
      <c r="E372" s="814"/>
      <c r="F372" s="814"/>
      <c r="H372" s="814"/>
      <c r="I372" s="814"/>
    </row>
    <row r="373" spans="2:9">
      <c r="B373" s="819"/>
      <c r="C373" s="814"/>
      <c r="D373" s="814"/>
      <c r="E373" s="814"/>
      <c r="F373" s="814"/>
      <c r="H373" s="814"/>
      <c r="I373" s="814"/>
    </row>
    <row r="374" spans="2:9">
      <c r="B374" s="819"/>
      <c r="C374" s="814"/>
      <c r="D374" s="814"/>
      <c r="E374" s="814"/>
      <c r="F374" s="814"/>
      <c r="H374" s="814"/>
      <c r="I374" s="814"/>
    </row>
    <row r="375" spans="2:9">
      <c r="B375" s="819"/>
      <c r="C375" s="814"/>
      <c r="D375" s="814"/>
      <c r="E375" s="814"/>
      <c r="F375" s="814"/>
      <c r="H375" s="814"/>
      <c r="I375" s="814"/>
    </row>
    <row r="376" spans="2:9">
      <c r="B376" s="819"/>
      <c r="C376" s="814"/>
      <c r="D376" s="814"/>
      <c r="E376" s="814"/>
      <c r="F376" s="814"/>
      <c r="H376" s="814"/>
      <c r="I376" s="814"/>
    </row>
    <row r="377" spans="2:9">
      <c r="B377" s="819"/>
      <c r="C377" s="814"/>
      <c r="D377" s="814"/>
      <c r="E377" s="814"/>
      <c r="F377" s="814"/>
      <c r="H377" s="814"/>
      <c r="I377" s="814"/>
    </row>
    <row r="378" spans="2:9">
      <c r="B378" s="819"/>
      <c r="C378" s="814"/>
      <c r="D378" s="814"/>
      <c r="E378" s="814"/>
      <c r="F378" s="814"/>
      <c r="H378" s="814"/>
      <c r="I378" s="814"/>
    </row>
    <row r="379" spans="2:9">
      <c r="B379" s="819"/>
      <c r="C379" s="814"/>
      <c r="D379" s="814"/>
      <c r="E379" s="814"/>
      <c r="F379" s="814"/>
      <c r="H379" s="814"/>
      <c r="I379" s="814"/>
    </row>
    <row r="380" spans="2:9">
      <c r="B380" s="819"/>
      <c r="C380" s="814"/>
      <c r="D380" s="814"/>
      <c r="E380" s="814"/>
      <c r="F380" s="814"/>
      <c r="H380" s="814"/>
      <c r="I380" s="814"/>
    </row>
    <row r="381" spans="2:9">
      <c r="B381" s="819"/>
      <c r="C381" s="814"/>
      <c r="D381" s="814"/>
      <c r="E381" s="814"/>
      <c r="F381" s="814"/>
      <c r="H381" s="814"/>
      <c r="I381" s="814"/>
    </row>
    <row r="382" spans="2:9">
      <c r="B382" s="819"/>
      <c r="C382" s="814"/>
      <c r="D382" s="814"/>
      <c r="E382" s="814"/>
      <c r="F382" s="814"/>
      <c r="H382" s="814"/>
      <c r="I382" s="814"/>
    </row>
    <row r="383" spans="2:9">
      <c r="B383" s="819"/>
      <c r="C383" s="814"/>
      <c r="D383" s="814"/>
      <c r="E383" s="814"/>
      <c r="F383" s="814"/>
      <c r="H383" s="814"/>
      <c r="I383" s="814"/>
    </row>
    <row r="384" spans="2:9">
      <c r="B384" s="819"/>
      <c r="C384" s="814"/>
      <c r="D384" s="814"/>
      <c r="E384" s="814"/>
      <c r="F384" s="814"/>
      <c r="H384" s="814"/>
      <c r="I384" s="814"/>
    </row>
    <row r="385" spans="2:9">
      <c r="B385" s="819"/>
      <c r="C385" s="814"/>
      <c r="D385" s="814"/>
      <c r="E385" s="814"/>
      <c r="F385" s="814"/>
      <c r="H385" s="814"/>
      <c r="I385" s="814"/>
    </row>
    <row r="386" spans="2:9">
      <c r="B386" s="819"/>
      <c r="C386" s="814"/>
      <c r="D386" s="814"/>
      <c r="E386" s="814"/>
      <c r="F386" s="814"/>
      <c r="H386" s="814"/>
      <c r="I386" s="814"/>
    </row>
    <row r="387" spans="2:9">
      <c r="B387" s="819"/>
      <c r="C387" s="814"/>
      <c r="D387" s="814"/>
      <c r="E387" s="814"/>
      <c r="F387" s="814"/>
      <c r="H387" s="814"/>
      <c r="I387" s="814"/>
    </row>
    <row r="388" spans="2:9">
      <c r="B388" s="819"/>
      <c r="C388" s="814"/>
      <c r="D388" s="814"/>
      <c r="E388" s="814"/>
      <c r="F388" s="814"/>
      <c r="H388" s="814"/>
      <c r="I388" s="814"/>
    </row>
    <row r="389" spans="2:9">
      <c r="B389" s="819"/>
      <c r="C389" s="814"/>
      <c r="D389" s="814"/>
      <c r="E389" s="814"/>
      <c r="F389" s="814"/>
      <c r="H389" s="814"/>
      <c r="I389" s="814"/>
    </row>
    <row r="390" spans="2:9">
      <c r="B390" s="819"/>
      <c r="C390" s="814"/>
      <c r="D390" s="814"/>
      <c r="E390" s="814"/>
      <c r="F390" s="814"/>
      <c r="H390" s="814"/>
      <c r="I390" s="814"/>
    </row>
    <row r="391" spans="2:9">
      <c r="B391" s="819"/>
      <c r="C391" s="814"/>
      <c r="D391" s="814"/>
      <c r="E391" s="814"/>
      <c r="F391" s="814"/>
      <c r="H391" s="814"/>
      <c r="I391" s="814"/>
    </row>
    <row r="392" spans="2:9">
      <c r="B392" s="819"/>
      <c r="C392" s="814"/>
      <c r="D392" s="814"/>
      <c r="E392" s="814"/>
      <c r="F392" s="814"/>
      <c r="H392" s="814"/>
      <c r="I392" s="814"/>
    </row>
    <row r="393" spans="2:9">
      <c r="B393" s="819"/>
      <c r="C393" s="814"/>
      <c r="D393" s="814"/>
      <c r="E393" s="814"/>
      <c r="F393" s="814"/>
      <c r="H393" s="814"/>
      <c r="I393" s="814"/>
    </row>
    <row r="394" spans="2:9">
      <c r="B394" s="819"/>
      <c r="C394" s="814"/>
      <c r="D394" s="814"/>
      <c r="E394" s="814"/>
      <c r="F394" s="814"/>
      <c r="H394" s="814"/>
      <c r="I394" s="814"/>
    </row>
    <row r="395" spans="2:9">
      <c r="B395" s="819"/>
      <c r="C395" s="814"/>
      <c r="D395" s="814"/>
      <c r="E395" s="814"/>
      <c r="F395" s="814"/>
      <c r="H395" s="814"/>
      <c r="I395" s="814"/>
    </row>
    <row r="396" spans="2:9">
      <c r="B396" s="819"/>
      <c r="C396" s="814"/>
      <c r="D396" s="814"/>
      <c r="E396" s="814"/>
      <c r="F396" s="814"/>
      <c r="H396" s="814"/>
      <c r="I396" s="814"/>
    </row>
    <row r="397" spans="2:9">
      <c r="B397" s="819"/>
      <c r="C397" s="814"/>
      <c r="D397" s="814"/>
      <c r="E397" s="814"/>
      <c r="F397" s="814"/>
      <c r="H397" s="814"/>
      <c r="I397" s="814"/>
    </row>
    <row r="398" spans="2:9">
      <c r="B398" s="819"/>
      <c r="C398" s="814"/>
      <c r="D398" s="814"/>
      <c r="E398" s="814"/>
      <c r="F398" s="814"/>
      <c r="H398" s="814"/>
      <c r="I398" s="814"/>
    </row>
    <row r="399" spans="2:9">
      <c r="B399" s="819"/>
      <c r="C399" s="814"/>
      <c r="D399" s="814"/>
      <c r="E399" s="814"/>
      <c r="F399" s="814"/>
      <c r="H399" s="814"/>
      <c r="I399" s="814"/>
    </row>
    <row r="400" spans="2:9">
      <c r="B400" s="819"/>
      <c r="C400" s="814"/>
      <c r="D400" s="814"/>
      <c r="E400" s="814"/>
      <c r="F400" s="814"/>
      <c r="H400" s="814"/>
      <c r="I400" s="814"/>
    </row>
    <row r="401" spans="2:9">
      <c r="B401" s="819"/>
      <c r="C401" s="814"/>
      <c r="D401" s="814"/>
      <c r="E401" s="814"/>
      <c r="F401" s="814"/>
      <c r="H401" s="814"/>
      <c r="I401" s="814"/>
    </row>
    <row r="402" spans="2:9">
      <c r="B402" s="819"/>
      <c r="C402" s="814"/>
      <c r="D402" s="814"/>
      <c r="E402" s="814"/>
      <c r="F402" s="814"/>
      <c r="H402" s="814"/>
      <c r="I402" s="814"/>
    </row>
    <row r="403" spans="2:9">
      <c r="B403" s="819"/>
      <c r="C403" s="814"/>
      <c r="D403" s="814"/>
      <c r="E403" s="814"/>
      <c r="F403" s="814"/>
      <c r="H403" s="814"/>
      <c r="I403" s="814"/>
    </row>
    <row r="404" spans="2:9">
      <c r="B404" s="819"/>
      <c r="C404" s="814"/>
      <c r="D404" s="814"/>
      <c r="E404" s="814"/>
      <c r="F404" s="814"/>
      <c r="H404" s="814"/>
      <c r="I404" s="814"/>
    </row>
    <row r="405" spans="2:9">
      <c r="B405" s="819"/>
      <c r="C405" s="814"/>
      <c r="D405" s="814"/>
      <c r="E405" s="814"/>
      <c r="F405" s="814"/>
      <c r="H405" s="814"/>
      <c r="I405" s="814"/>
    </row>
    <row r="406" spans="2:9">
      <c r="B406" s="819"/>
      <c r="C406" s="814"/>
      <c r="D406" s="814"/>
      <c r="E406" s="814"/>
      <c r="F406" s="814"/>
      <c r="H406" s="814"/>
      <c r="I406" s="814"/>
    </row>
    <row r="407" spans="2:9">
      <c r="B407" s="819"/>
      <c r="C407" s="814"/>
      <c r="D407" s="814"/>
      <c r="E407" s="814"/>
      <c r="F407" s="814"/>
      <c r="H407" s="814"/>
      <c r="I407" s="814"/>
    </row>
    <row r="408" spans="2:9">
      <c r="B408" s="819"/>
      <c r="C408" s="814"/>
      <c r="D408" s="814"/>
      <c r="E408" s="814"/>
      <c r="F408" s="814"/>
      <c r="H408" s="814"/>
      <c r="I408" s="814"/>
    </row>
    <row r="409" spans="2:9">
      <c r="B409" s="819"/>
      <c r="C409" s="814"/>
      <c r="D409" s="814"/>
      <c r="E409" s="814"/>
      <c r="F409" s="814"/>
      <c r="H409" s="814"/>
      <c r="I409" s="814"/>
    </row>
    <row r="410" spans="2:9">
      <c r="B410" s="819"/>
      <c r="C410" s="814"/>
      <c r="D410" s="814"/>
      <c r="E410" s="814"/>
      <c r="F410" s="814"/>
      <c r="H410" s="814"/>
      <c r="I410" s="814"/>
    </row>
    <row r="411" spans="2:9">
      <c r="B411" s="819"/>
      <c r="C411" s="814"/>
      <c r="D411" s="814"/>
      <c r="E411" s="814"/>
      <c r="F411" s="814"/>
      <c r="H411" s="814"/>
      <c r="I411" s="814"/>
    </row>
    <row r="412" spans="2:9">
      <c r="B412" s="819"/>
      <c r="C412" s="814"/>
      <c r="D412" s="814"/>
      <c r="E412" s="814"/>
      <c r="F412" s="814"/>
      <c r="H412" s="814"/>
      <c r="I412" s="814"/>
    </row>
    <row r="413" spans="2:9">
      <c r="B413" s="819"/>
      <c r="C413" s="814"/>
      <c r="D413" s="814"/>
      <c r="E413" s="814"/>
      <c r="F413" s="814"/>
      <c r="H413" s="814"/>
      <c r="I413" s="814"/>
    </row>
    <row r="414" spans="2:9">
      <c r="B414" s="819"/>
      <c r="C414" s="814"/>
      <c r="D414" s="814"/>
      <c r="E414" s="814"/>
      <c r="F414" s="814"/>
      <c r="H414" s="814"/>
      <c r="I414" s="814"/>
    </row>
    <row r="415" spans="2:9">
      <c r="B415" s="819"/>
      <c r="C415" s="814"/>
      <c r="D415" s="814"/>
      <c r="E415" s="814"/>
      <c r="F415" s="814"/>
      <c r="H415" s="814"/>
      <c r="I415" s="814"/>
    </row>
    <row r="416" spans="2:9">
      <c r="B416" s="819"/>
      <c r="C416" s="814"/>
      <c r="D416" s="814"/>
      <c r="E416" s="814"/>
      <c r="F416" s="814"/>
      <c r="H416" s="814"/>
      <c r="I416" s="814"/>
    </row>
    <row r="417" spans="2:9">
      <c r="B417" s="819"/>
      <c r="C417" s="814"/>
      <c r="D417" s="814"/>
      <c r="E417" s="814"/>
      <c r="F417" s="814"/>
      <c r="H417" s="814"/>
      <c r="I417" s="814"/>
    </row>
    <row r="418" spans="2:9">
      <c r="B418" s="819"/>
      <c r="C418" s="814"/>
      <c r="D418" s="814"/>
      <c r="E418" s="814"/>
      <c r="F418" s="814"/>
      <c r="H418" s="814"/>
      <c r="I418" s="814"/>
    </row>
    <row r="419" spans="2:9">
      <c r="B419" s="819"/>
      <c r="C419" s="814"/>
      <c r="D419" s="814"/>
      <c r="E419" s="814"/>
      <c r="F419" s="814"/>
      <c r="H419" s="814"/>
      <c r="I419" s="814"/>
    </row>
    <row r="420" spans="2:9">
      <c r="B420" s="819"/>
      <c r="C420" s="814"/>
      <c r="D420" s="814"/>
      <c r="E420" s="814"/>
      <c r="F420" s="814"/>
      <c r="H420" s="814"/>
      <c r="I420" s="814"/>
    </row>
    <row r="421" spans="2:9">
      <c r="B421" s="819"/>
      <c r="C421" s="814"/>
      <c r="D421" s="814"/>
      <c r="E421" s="814"/>
      <c r="F421" s="814"/>
      <c r="H421" s="814"/>
      <c r="I421" s="814"/>
    </row>
    <row r="422" spans="2:9">
      <c r="B422" s="819"/>
      <c r="C422" s="814"/>
      <c r="D422" s="814"/>
      <c r="E422" s="814"/>
      <c r="F422" s="814"/>
      <c r="H422" s="814"/>
      <c r="I422" s="814"/>
    </row>
    <row r="423" spans="2:9">
      <c r="B423" s="819"/>
      <c r="C423" s="814"/>
      <c r="D423" s="814"/>
      <c r="E423" s="814"/>
      <c r="F423" s="814"/>
      <c r="H423" s="814"/>
      <c r="I423" s="814"/>
    </row>
    <row r="424" spans="2:9">
      <c r="B424" s="819"/>
      <c r="C424" s="814"/>
      <c r="D424" s="814"/>
      <c r="E424" s="814"/>
      <c r="F424" s="814"/>
      <c r="H424" s="814"/>
      <c r="I424" s="814"/>
    </row>
    <row r="425" spans="2:9">
      <c r="B425" s="819"/>
      <c r="C425" s="814"/>
      <c r="D425" s="814"/>
      <c r="E425" s="814"/>
      <c r="F425" s="814"/>
      <c r="H425" s="814"/>
      <c r="I425" s="814"/>
    </row>
    <row r="426" spans="2:9">
      <c r="B426" s="819"/>
      <c r="C426" s="814"/>
      <c r="D426" s="814"/>
      <c r="E426" s="814"/>
      <c r="F426" s="814"/>
      <c r="H426" s="814"/>
      <c r="I426" s="814"/>
    </row>
    <row r="427" spans="2:9">
      <c r="B427" s="819"/>
      <c r="C427" s="814"/>
      <c r="D427" s="814"/>
      <c r="E427" s="814"/>
      <c r="F427" s="814"/>
      <c r="H427" s="814"/>
      <c r="I427" s="814"/>
    </row>
    <row r="428" spans="2:9">
      <c r="B428" s="819"/>
      <c r="C428" s="814"/>
      <c r="D428" s="814"/>
      <c r="E428" s="814"/>
      <c r="F428" s="814"/>
      <c r="H428" s="814"/>
      <c r="I428" s="814"/>
    </row>
    <row r="429" spans="2:9">
      <c r="B429" s="819"/>
      <c r="C429" s="814"/>
      <c r="D429" s="814"/>
      <c r="E429" s="814"/>
      <c r="F429" s="814"/>
      <c r="H429" s="814"/>
      <c r="I429" s="814"/>
    </row>
    <row r="430" spans="2:9">
      <c r="B430" s="819"/>
      <c r="C430" s="814"/>
      <c r="D430" s="814"/>
      <c r="E430" s="814"/>
      <c r="F430" s="814"/>
      <c r="H430" s="814"/>
      <c r="I430" s="814"/>
    </row>
    <row r="431" spans="2:9">
      <c r="B431" s="819"/>
      <c r="C431" s="814"/>
      <c r="D431" s="814"/>
      <c r="E431" s="814"/>
      <c r="F431" s="814"/>
      <c r="H431" s="814"/>
      <c r="I431" s="814"/>
    </row>
    <row r="432" spans="2:9">
      <c r="B432" s="819"/>
      <c r="C432" s="814"/>
      <c r="D432" s="814"/>
      <c r="E432" s="814"/>
      <c r="F432" s="814"/>
      <c r="H432" s="814"/>
      <c r="I432" s="814"/>
    </row>
    <row r="433" spans="2:9">
      <c r="B433" s="819"/>
      <c r="C433" s="814"/>
      <c r="D433" s="814"/>
      <c r="E433" s="814"/>
      <c r="F433" s="814"/>
      <c r="H433" s="814"/>
      <c r="I433" s="814"/>
    </row>
    <row r="434" spans="2:9">
      <c r="B434" s="819"/>
      <c r="C434" s="814"/>
      <c r="D434" s="814"/>
      <c r="E434" s="814"/>
      <c r="F434" s="814"/>
      <c r="H434" s="814"/>
      <c r="I434" s="814"/>
    </row>
    <row r="435" spans="2:9">
      <c r="B435" s="819"/>
      <c r="C435" s="814"/>
      <c r="D435" s="814"/>
      <c r="E435" s="814"/>
      <c r="F435" s="814"/>
      <c r="H435" s="814"/>
      <c r="I435" s="814"/>
    </row>
    <row r="436" spans="2:9">
      <c r="B436" s="819"/>
      <c r="C436" s="814"/>
      <c r="D436" s="814"/>
      <c r="E436" s="814"/>
      <c r="F436" s="814"/>
      <c r="H436" s="814"/>
      <c r="I436" s="814"/>
    </row>
    <row r="437" spans="2:9">
      <c r="B437" s="819"/>
      <c r="C437" s="814"/>
      <c r="D437" s="814"/>
      <c r="E437" s="814"/>
      <c r="F437" s="814"/>
      <c r="H437" s="814"/>
      <c r="I437" s="814"/>
    </row>
    <row r="438" spans="2:9">
      <c r="B438" s="819"/>
      <c r="C438" s="814"/>
      <c r="D438" s="814"/>
      <c r="E438" s="814"/>
      <c r="F438" s="814"/>
      <c r="H438" s="814"/>
      <c r="I438" s="814"/>
    </row>
    <row r="439" spans="2:9">
      <c r="B439" s="819"/>
      <c r="C439" s="814"/>
      <c r="D439" s="814"/>
      <c r="E439" s="814"/>
      <c r="F439" s="814"/>
      <c r="H439" s="814"/>
      <c r="I439" s="814"/>
    </row>
    <row r="440" spans="2:9">
      <c r="B440" s="819"/>
      <c r="C440" s="814"/>
      <c r="D440" s="814"/>
      <c r="E440" s="814"/>
      <c r="F440" s="814"/>
      <c r="H440" s="814"/>
      <c r="I440" s="814"/>
    </row>
    <row r="441" spans="2:9">
      <c r="B441" s="819"/>
      <c r="C441" s="814"/>
      <c r="D441" s="814"/>
      <c r="E441" s="814"/>
      <c r="F441" s="814"/>
      <c r="H441" s="814"/>
      <c r="I441" s="814"/>
    </row>
    <row r="442" spans="2:9">
      <c r="B442" s="819"/>
      <c r="C442" s="814"/>
      <c r="D442" s="814"/>
      <c r="E442" s="814"/>
      <c r="F442" s="814"/>
      <c r="H442" s="814"/>
      <c r="I442" s="814"/>
    </row>
    <row r="443" spans="2:9">
      <c r="B443" s="819"/>
      <c r="C443" s="814"/>
      <c r="D443" s="814"/>
      <c r="E443" s="814"/>
      <c r="F443" s="814"/>
      <c r="H443" s="814"/>
      <c r="I443" s="814"/>
    </row>
    <row r="444" spans="2:9">
      <c r="B444" s="819"/>
      <c r="C444" s="814"/>
      <c r="D444" s="814"/>
      <c r="E444" s="814"/>
      <c r="F444" s="814"/>
      <c r="H444" s="814"/>
      <c r="I444" s="814"/>
    </row>
    <row r="445" spans="2:9">
      <c r="B445" s="819"/>
      <c r="C445" s="814"/>
      <c r="D445" s="814"/>
      <c r="E445" s="814"/>
      <c r="F445" s="814"/>
      <c r="H445" s="814"/>
      <c r="I445" s="814"/>
    </row>
    <row r="446" spans="2:9">
      <c r="B446" s="819"/>
      <c r="C446" s="814"/>
      <c r="D446" s="814"/>
      <c r="E446" s="814"/>
      <c r="F446" s="814"/>
      <c r="H446" s="814"/>
      <c r="I446" s="814"/>
    </row>
    <row r="447" spans="2:9">
      <c r="B447" s="819"/>
      <c r="C447" s="814"/>
      <c r="D447" s="814"/>
      <c r="E447" s="814"/>
      <c r="F447" s="814"/>
      <c r="H447" s="814"/>
      <c r="I447" s="814"/>
    </row>
    <row r="448" spans="2:9">
      <c r="B448" s="819"/>
      <c r="C448" s="814"/>
      <c r="D448" s="814"/>
      <c r="E448" s="814"/>
      <c r="F448" s="814"/>
      <c r="H448" s="814"/>
      <c r="I448" s="814"/>
    </row>
    <row r="449" spans="2:9">
      <c r="B449" s="819"/>
      <c r="C449" s="814"/>
      <c r="D449" s="814"/>
      <c r="E449" s="814"/>
      <c r="F449" s="814"/>
      <c r="H449" s="814"/>
      <c r="I449" s="814"/>
    </row>
    <row r="450" spans="2:9">
      <c r="B450" s="819"/>
      <c r="C450" s="814"/>
      <c r="D450" s="814"/>
      <c r="E450" s="814"/>
      <c r="F450" s="814"/>
      <c r="H450" s="814"/>
      <c r="I450" s="814"/>
    </row>
    <row r="451" spans="2:9">
      <c r="B451" s="819"/>
      <c r="C451" s="814"/>
      <c r="D451" s="814"/>
      <c r="E451" s="814"/>
      <c r="F451" s="814"/>
      <c r="H451" s="814"/>
      <c r="I451" s="814"/>
    </row>
    <row r="452" spans="2:9">
      <c r="B452" s="819"/>
      <c r="C452" s="814"/>
      <c r="D452" s="814"/>
      <c r="E452" s="814"/>
      <c r="F452" s="814"/>
      <c r="H452" s="814"/>
      <c r="I452" s="814"/>
    </row>
    <row r="453" spans="2:9">
      <c r="B453" s="819"/>
      <c r="C453" s="814"/>
      <c r="D453" s="814"/>
      <c r="E453" s="814"/>
      <c r="F453" s="814"/>
      <c r="H453" s="814"/>
      <c r="I453" s="814"/>
    </row>
    <row r="454" spans="2:9">
      <c r="B454" s="819"/>
      <c r="C454" s="814"/>
      <c r="D454" s="814"/>
      <c r="E454" s="814"/>
      <c r="F454" s="814"/>
      <c r="H454" s="814"/>
      <c r="I454" s="814"/>
    </row>
    <row r="455" spans="2:9">
      <c r="B455" s="819"/>
      <c r="C455" s="814"/>
      <c r="D455" s="814"/>
      <c r="E455" s="814"/>
      <c r="F455" s="814"/>
      <c r="H455" s="814"/>
      <c r="I455" s="814"/>
    </row>
    <row r="456" spans="2:9">
      <c r="B456" s="819"/>
      <c r="C456" s="814"/>
      <c r="D456" s="814"/>
      <c r="E456" s="814"/>
      <c r="F456" s="814"/>
      <c r="H456" s="814"/>
      <c r="I456" s="814"/>
    </row>
    <row r="457" spans="2:9">
      <c r="B457" s="819"/>
      <c r="C457" s="814"/>
      <c r="D457" s="814"/>
      <c r="E457" s="814"/>
      <c r="F457" s="814"/>
      <c r="H457" s="814"/>
      <c r="I457" s="814"/>
    </row>
    <row r="458" spans="2:9">
      <c r="B458" s="819"/>
      <c r="C458" s="814"/>
      <c r="D458" s="814"/>
      <c r="E458" s="814"/>
      <c r="F458" s="814"/>
      <c r="H458" s="814"/>
      <c r="I458" s="814"/>
    </row>
    <row r="459" spans="2:9">
      <c r="B459" s="819"/>
      <c r="C459" s="814"/>
      <c r="D459" s="814"/>
      <c r="E459" s="814"/>
      <c r="F459" s="814"/>
      <c r="H459" s="814"/>
      <c r="I459" s="814"/>
    </row>
    <row r="460" spans="2:9">
      <c r="B460" s="819"/>
      <c r="C460" s="814"/>
      <c r="D460" s="814"/>
      <c r="E460" s="814"/>
      <c r="F460" s="814"/>
      <c r="H460" s="814"/>
      <c r="I460" s="814"/>
    </row>
    <row r="461" spans="2:9">
      <c r="B461" s="819"/>
      <c r="C461" s="814"/>
      <c r="D461" s="814"/>
      <c r="E461" s="814"/>
      <c r="F461" s="814"/>
      <c r="H461" s="814"/>
      <c r="I461" s="814"/>
    </row>
    <row r="462" spans="2:9">
      <c r="B462" s="819"/>
      <c r="C462" s="814"/>
      <c r="D462" s="814"/>
      <c r="E462" s="814"/>
      <c r="F462" s="814"/>
      <c r="H462" s="814"/>
      <c r="I462" s="814"/>
    </row>
    <row r="463" spans="2:9">
      <c r="B463" s="819"/>
      <c r="C463" s="814"/>
      <c r="D463" s="814"/>
      <c r="E463" s="814"/>
      <c r="F463" s="814"/>
      <c r="H463" s="814"/>
      <c r="I463" s="814"/>
    </row>
    <row r="464" spans="2:9">
      <c r="B464" s="819"/>
      <c r="C464" s="814"/>
      <c r="D464" s="814"/>
      <c r="E464" s="814"/>
      <c r="F464" s="814"/>
      <c r="H464" s="814"/>
      <c r="I464" s="814"/>
    </row>
    <row r="465" spans="2:9">
      <c r="B465" s="819"/>
      <c r="C465" s="814"/>
      <c r="D465" s="814"/>
      <c r="E465" s="814"/>
      <c r="F465" s="814"/>
      <c r="H465" s="814"/>
      <c r="I465" s="814"/>
    </row>
    <row r="466" spans="2:9">
      <c r="B466" s="819"/>
      <c r="C466" s="814"/>
      <c r="D466" s="814"/>
      <c r="E466" s="814"/>
      <c r="F466" s="814"/>
      <c r="H466" s="814"/>
      <c r="I466" s="814"/>
    </row>
    <row r="467" spans="2:9">
      <c r="B467" s="819"/>
      <c r="C467" s="814"/>
      <c r="D467" s="814"/>
      <c r="E467" s="814"/>
      <c r="F467" s="814"/>
      <c r="H467" s="814"/>
      <c r="I467" s="814"/>
    </row>
    <row r="468" spans="2:9">
      <c r="B468" s="819"/>
      <c r="C468" s="814"/>
      <c r="D468" s="814"/>
      <c r="E468" s="814"/>
      <c r="F468" s="814"/>
      <c r="H468" s="814"/>
      <c r="I468" s="814"/>
    </row>
    <row r="469" spans="2:9">
      <c r="B469" s="819"/>
      <c r="C469" s="814"/>
      <c r="D469" s="814"/>
      <c r="E469" s="814"/>
      <c r="F469" s="814"/>
      <c r="H469" s="814"/>
      <c r="I469" s="814"/>
    </row>
    <row r="470" spans="2:9">
      <c r="B470" s="819"/>
      <c r="C470" s="814"/>
      <c r="D470" s="814"/>
      <c r="E470" s="814"/>
      <c r="F470" s="814"/>
      <c r="H470" s="814"/>
      <c r="I470" s="814"/>
    </row>
    <row r="471" spans="2:9">
      <c r="B471" s="819"/>
      <c r="C471" s="814"/>
      <c r="D471" s="814"/>
      <c r="E471" s="814"/>
      <c r="F471" s="814"/>
      <c r="H471" s="814"/>
      <c r="I471" s="814"/>
    </row>
    <row r="472" spans="2:9">
      <c r="B472" s="819"/>
      <c r="C472" s="814"/>
      <c r="D472" s="814"/>
      <c r="E472" s="814"/>
      <c r="F472" s="814"/>
      <c r="H472" s="814"/>
      <c r="I472" s="814"/>
    </row>
    <row r="473" spans="2:9">
      <c r="B473" s="819"/>
      <c r="C473" s="814"/>
      <c r="D473" s="814"/>
      <c r="E473" s="814"/>
      <c r="F473" s="814"/>
      <c r="H473" s="814"/>
      <c r="I473" s="814"/>
    </row>
    <row r="474" spans="2:9">
      <c r="B474" s="819"/>
      <c r="C474" s="814"/>
      <c r="D474" s="814"/>
      <c r="E474" s="814"/>
      <c r="F474" s="814"/>
      <c r="H474" s="814"/>
      <c r="I474" s="814"/>
    </row>
    <row r="475" spans="2:9">
      <c r="B475" s="819"/>
      <c r="C475" s="814"/>
      <c r="D475" s="814"/>
      <c r="E475" s="814"/>
      <c r="F475" s="814"/>
      <c r="H475" s="814"/>
      <c r="I475" s="814"/>
    </row>
    <row r="476" spans="2:9">
      <c r="B476" s="819"/>
      <c r="C476" s="814"/>
      <c r="D476" s="814"/>
      <c r="E476" s="814"/>
      <c r="F476" s="814"/>
      <c r="H476" s="814"/>
      <c r="I476" s="814"/>
    </row>
    <row r="477" spans="2:9">
      <c r="B477" s="819"/>
      <c r="C477" s="814"/>
      <c r="D477" s="814"/>
      <c r="E477" s="814"/>
      <c r="F477" s="814"/>
      <c r="H477" s="814"/>
      <c r="I477" s="814"/>
    </row>
    <row r="478" spans="2:9">
      <c r="B478" s="819"/>
      <c r="C478" s="814"/>
      <c r="D478" s="814"/>
      <c r="E478" s="814"/>
      <c r="F478" s="814"/>
      <c r="H478" s="814"/>
      <c r="I478" s="814"/>
    </row>
    <row r="479" spans="2:9">
      <c r="B479" s="819"/>
      <c r="C479" s="814"/>
      <c r="D479" s="814"/>
      <c r="E479" s="814"/>
      <c r="F479" s="814"/>
      <c r="H479" s="814"/>
      <c r="I479" s="814"/>
    </row>
    <row r="480" spans="2:9">
      <c r="B480" s="819"/>
      <c r="C480" s="814"/>
      <c r="D480" s="814"/>
      <c r="E480" s="814"/>
      <c r="F480" s="814"/>
      <c r="H480" s="814"/>
      <c r="I480" s="814"/>
    </row>
    <row r="481" spans="2:9">
      <c r="B481" s="819"/>
      <c r="C481" s="814"/>
      <c r="D481" s="814"/>
      <c r="E481" s="814"/>
      <c r="F481" s="814"/>
      <c r="H481" s="814"/>
      <c r="I481" s="814"/>
    </row>
    <row r="482" spans="2:9">
      <c r="B482" s="819"/>
      <c r="C482" s="814"/>
      <c r="D482" s="814"/>
      <c r="E482" s="814"/>
      <c r="F482" s="814"/>
      <c r="H482" s="814"/>
      <c r="I482" s="814"/>
    </row>
    <row r="483" spans="2:9">
      <c r="B483" s="819"/>
      <c r="C483" s="814"/>
      <c r="D483" s="814"/>
      <c r="E483" s="814"/>
      <c r="F483" s="814"/>
      <c r="H483" s="814"/>
      <c r="I483" s="814"/>
    </row>
    <row r="484" spans="2:9">
      <c r="B484" s="819"/>
      <c r="C484" s="814"/>
      <c r="D484" s="814"/>
      <c r="E484" s="814"/>
      <c r="F484" s="814"/>
      <c r="H484" s="814"/>
      <c r="I484" s="814"/>
    </row>
    <row r="485" spans="2:9">
      <c r="B485" s="819"/>
      <c r="C485" s="814"/>
      <c r="D485" s="814"/>
      <c r="E485" s="814"/>
      <c r="F485" s="814"/>
      <c r="H485" s="814"/>
      <c r="I485" s="814"/>
    </row>
    <row r="486" spans="2:9">
      <c r="B486" s="819"/>
      <c r="C486" s="814"/>
      <c r="D486" s="814"/>
      <c r="E486" s="814"/>
      <c r="F486" s="814"/>
      <c r="H486" s="814"/>
      <c r="I486" s="814"/>
    </row>
    <row r="487" spans="2:9">
      <c r="B487" s="819"/>
      <c r="C487" s="814"/>
      <c r="D487" s="814"/>
      <c r="E487" s="814"/>
      <c r="F487" s="814"/>
      <c r="H487" s="814"/>
      <c r="I487" s="814"/>
    </row>
    <row r="488" spans="2:9">
      <c r="B488" s="819"/>
      <c r="C488" s="814"/>
      <c r="D488" s="814"/>
      <c r="E488" s="814"/>
      <c r="F488" s="814"/>
      <c r="H488" s="814"/>
      <c r="I488" s="814"/>
    </row>
    <row r="489" spans="2:9">
      <c r="B489" s="819"/>
      <c r="C489" s="814"/>
      <c r="D489" s="814"/>
      <c r="E489" s="814"/>
      <c r="F489" s="814"/>
      <c r="H489" s="814"/>
      <c r="I489" s="814"/>
    </row>
    <row r="490" spans="2:9">
      <c r="B490" s="819"/>
      <c r="C490" s="814"/>
      <c r="D490" s="814"/>
      <c r="E490" s="814"/>
      <c r="F490" s="814"/>
      <c r="H490" s="814"/>
      <c r="I490" s="814"/>
    </row>
    <row r="491" spans="2:9">
      <c r="B491" s="819"/>
      <c r="C491" s="814"/>
      <c r="D491" s="814"/>
      <c r="E491" s="814"/>
      <c r="F491" s="814"/>
      <c r="H491" s="814"/>
      <c r="I491" s="814"/>
    </row>
    <row r="492" spans="2:9">
      <c r="B492" s="819"/>
      <c r="C492" s="814"/>
      <c r="D492" s="814"/>
      <c r="E492" s="814"/>
      <c r="F492" s="814"/>
      <c r="H492" s="814"/>
      <c r="I492" s="814"/>
    </row>
    <row r="493" spans="2:9">
      <c r="B493" s="819"/>
      <c r="C493" s="814"/>
      <c r="D493" s="814"/>
      <c r="E493" s="814"/>
      <c r="F493" s="814"/>
      <c r="H493" s="814"/>
      <c r="I493" s="814"/>
    </row>
    <row r="494" spans="2:9">
      <c r="B494" s="819"/>
      <c r="C494" s="814"/>
      <c r="D494" s="814"/>
      <c r="E494" s="814"/>
      <c r="F494" s="814"/>
      <c r="H494" s="814"/>
      <c r="I494" s="814"/>
    </row>
    <row r="495" spans="2:9">
      <c r="B495" s="819"/>
      <c r="C495" s="814"/>
      <c r="D495" s="814"/>
      <c r="E495" s="814"/>
      <c r="F495" s="814"/>
      <c r="H495" s="814"/>
      <c r="I495" s="814"/>
    </row>
    <row r="496" spans="2:9">
      <c r="B496" s="819"/>
      <c r="C496" s="814"/>
      <c r="D496" s="814"/>
      <c r="E496" s="814"/>
      <c r="F496" s="814"/>
      <c r="H496" s="814"/>
      <c r="I496" s="814"/>
    </row>
    <row r="497" spans="2:9">
      <c r="B497" s="819"/>
      <c r="C497" s="814"/>
      <c r="D497" s="814"/>
      <c r="E497" s="814"/>
      <c r="F497" s="814"/>
      <c r="H497" s="814"/>
      <c r="I497" s="814"/>
    </row>
    <row r="498" spans="2:9">
      <c r="B498" s="819"/>
      <c r="C498" s="814"/>
      <c r="D498" s="814"/>
      <c r="E498" s="814"/>
      <c r="F498" s="814"/>
      <c r="H498" s="814"/>
      <c r="I498" s="814"/>
    </row>
    <row r="499" spans="2:9">
      <c r="B499" s="819"/>
      <c r="C499" s="814"/>
      <c r="D499" s="814"/>
      <c r="E499" s="814"/>
      <c r="F499" s="814"/>
      <c r="H499" s="814"/>
      <c r="I499" s="814"/>
    </row>
    <row r="500" spans="2:9">
      <c r="B500" s="819"/>
      <c r="C500" s="814"/>
      <c r="D500" s="814"/>
      <c r="E500" s="814"/>
      <c r="F500" s="814"/>
      <c r="H500" s="814"/>
      <c r="I500" s="814"/>
    </row>
    <row r="501" spans="2:9">
      <c r="B501" s="819"/>
      <c r="C501" s="814"/>
      <c r="D501" s="814"/>
      <c r="E501" s="814"/>
      <c r="F501" s="814"/>
      <c r="H501" s="814"/>
      <c r="I501" s="814"/>
    </row>
    <row r="502" spans="2:9">
      <c r="B502" s="819"/>
      <c r="C502" s="814"/>
      <c r="D502" s="814"/>
      <c r="E502" s="814"/>
      <c r="F502" s="814"/>
      <c r="H502" s="814"/>
      <c r="I502" s="814"/>
    </row>
    <row r="503" spans="2:9">
      <c r="B503" s="819"/>
      <c r="C503" s="814"/>
      <c r="D503" s="814"/>
      <c r="E503" s="814"/>
      <c r="F503" s="814"/>
      <c r="H503" s="814"/>
      <c r="I503" s="814"/>
    </row>
    <row r="504" spans="2:9">
      <c r="B504" s="819"/>
      <c r="C504" s="814"/>
      <c r="D504" s="814"/>
      <c r="E504" s="814"/>
      <c r="F504" s="814"/>
      <c r="H504" s="814"/>
      <c r="I504" s="814"/>
    </row>
    <row r="505" spans="2:9">
      <c r="B505" s="819"/>
      <c r="C505" s="814"/>
      <c r="D505" s="814"/>
      <c r="E505" s="814"/>
      <c r="F505" s="814"/>
      <c r="H505" s="814"/>
      <c r="I505" s="814"/>
    </row>
    <row r="506" spans="2:9">
      <c r="B506" s="819"/>
      <c r="C506" s="814"/>
      <c r="D506" s="814"/>
      <c r="E506" s="814"/>
      <c r="F506" s="814"/>
      <c r="H506" s="814"/>
      <c r="I506" s="814"/>
    </row>
    <row r="507" spans="2:9">
      <c r="B507" s="819"/>
      <c r="C507" s="814"/>
      <c r="D507" s="814"/>
      <c r="E507" s="814"/>
      <c r="F507" s="814"/>
      <c r="H507" s="814"/>
      <c r="I507" s="814"/>
    </row>
    <row r="508" spans="2:9">
      <c r="B508" s="819"/>
      <c r="C508" s="814"/>
      <c r="D508" s="814"/>
      <c r="E508" s="814"/>
      <c r="F508" s="814"/>
      <c r="H508" s="814"/>
      <c r="I508" s="814"/>
    </row>
    <row r="509" spans="2:9">
      <c r="B509" s="819"/>
      <c r="C509" s="814"/>
      <c r="D509" s="814"/>
      <c r="E509" s="814"/>
      <c r="F509" s="814"/>
      <c r="H509" s="814"/>
      <c r="I509" s="814"/>
    </row>
    <row r="510" spans="2:9">
      <c r="B510" s="819"/>
      <c r="C510" s="814"/>
      <c r="D510" s="814"/>
      <c r="E510" s="814"/>
      <c r="F510" s="814"/>
      <c r="H510" s="814"/>
      <c r="I510" s="814"/>
    </row>
    <row r="511" spans="2:9">
      <c r="B511" s="819"/>
      <c r="C511" s="814"/>
      <c r="D511" s="814"/>
      <c r="E511" s="814"/>
      <c r="F511" s="814"/>
      <c r="H511" s="814"/>
      <c r="I511" s="814"/>
    </row>
    <row r="512" spans="2:9">
      <c r="B512" s="819"/>
      <c r="C512" s="814"/>
      <c r="D512" s="814"/>
      <c r="E512" s="814"/>
      <c r="F512" s="814"/>
      <c r="H512" s="814"/>
      <c r="I512" s="814"/>
    </row>
    <row r="513" spans="2:9">
      <c r="B513" s="819"/>
      <c r="C513" s="814"/>
      <c r="D513" s="814"/>
      <c r="E513" s="814"/>
      <c r="F513" s="814"/>
      <c r="H513" s="814"/>
      <c r="I513" s="814"/>
    </row>
    <row r="514" spans="2:9">
      <c r="B514" s="819"/>
      <c r="C514" s="814"/>
      <c r="D514" s="814"/>
      <c r="E514" s="814"/>
      <c r="F514" s="814"/>
      <c r="H514" s="814"/>
      <c r="I514" s="814"/>
    </row>
    <row r="515" spans="2:9">
      <c r="B515" s="819"/>
      <c r="C515" s="814"/>
      <c r="D515" s="814"/>
      <c r="E515" s="814"/>
      <c r="F515" s="814"/>
      <c r="H515" s="814"/>
      <c r="I515" s="814"/>
    </row>
    <row r="516" spans="2:9">
      <c r="B516" s="819"/>
      <c r="C516" s="814"/>
      <c r="D516" s="814"/>
      <c r="E516" s="814"/>
      <c r="F516" s="814"/>
      <c r="H516" s="814"/>
      <c r="I516" s="814"/>
    </row>
    <row r="517" spans="2:9">
      <c r="B517" s="819"/>
      <c r="C517" s="814"/>
      <c r="D517" s="814"/>
      <c r="E517" s="814"/>
      <c r="F517" s="814"/>
      <c r="H517" s="814"/>
      <c r="I517" s="814"/>
    </row>
    <row r="518" spans="2:9">
      <c r="B518" s="819"/>
      <c r="C518" s="814"/>
      <c r="D518" s="814"/>
      <c r="E518" s="814"/>
      <c r="F518" s="814"/>
      <c r="H518" s="814"/>
      <c r="I518" s="814"/>
    </row>
    <row r="519" spans="2:9">
      <c r="B519" s="819"/>
      <c r="C519" s="814"/>
      <c r="D519" s="814"/>
      <c r="E519" s="814"/>
      <c r="F519" s="814"/>
      <c r="H519" s="814"/>
      <c r="I519" s="814"/>
    </row>
    <row r="520" spans="2:9">
      <c r="B520" s="819"/>
      <c r="C520" s="814"/>
      <c r="D520" s="814"/>
      <c r="E520" s="814"/>
      <c r="F520" s="814"/>
      <c r="H520" s="814"/>
      <c r="I520" s="814"/>
    </row>
    <row r="521" spans="2:9">
      <c r="B521" s="819"/>
      <c r="C521" s="814"/>
      <c r="D521" s="814"/>
      <c r="E521" s="814"/>
      <c r="F521" s="814"/>
      <c r="H521" s="814"/>
      <c r="I521" s="814"/>
    </row>
    <row r="522" spans="2:9">
      <c r="B522" s="819"/>
      <c r="C522" s="814"/>
      <c r="D522" s="814"/>
      <c r="E522" s="814"/>
      <c r="F522" s="814"/>
      <c r="H522" s="814"/>
      <c r="I522" s="814"/>
    </row>
    <row r="523" spans="2:9">
      <c r="B523" s="819"/>
      <c r="C523" s="814"/>
      <c r="D523" s="814"/>
      <c r="E523" s="814"/>
      <c r="F523" s="814"/>
      <c r="H523" s="814"/>
      <c r="I523" s="814"/>
    </row>
    <row r="524" spans="2:9">
      <c r="B524" s="819"/>
      <c r="C524" s="814"/>
      <c r="D524" s="814"/>
      <c r="E524" s="814"/>
      <c r="F524" s="814"/>
      <c r="H524" s="814"/>
      <c r="I524" s="814"/>
    </row>
    <row r="525" spans="2:9">
      <c r="B525" s="819"/>
      <c r="C525" s="814"/>
      <c r="D525" s="814"/>
      <c r="E525" s="814"/>
      <c r="F525" s="814"/>
      <c r="H525" s="814"/>
      <c r="I525" s="814"/>
    </row>
    <row r="526" spans="2:9">
      <c r="B526" s="819"/>
      <c r="C526" s="814"/>
      <c r="D526" s="814"/>
      <c r="E526" s="814"/>
      <c r="F526" s="814"/>
      <c r="H526" s="814"/>
      <c r="I526" s="814"/>
    </row>
    <row r="527" spans="2:9">
      <c r="B527" s="819"/>
      <c r="C527" s="814"/>
      <c r="D527" s="814"/>
      <c r="E527" s="814"/>
      <c r="F527" s="814"/>
      <c r="H527" s="814"/>
      <c r="I527" s="814"/>
    </row>
    <row r="528" spans="2:9">
      <c r="B528" s="819"/>
      <c r="C528" s="814"/>
      <c r="D528" s="814"/>
      <c r="E528" s="814"/>
      <c r="F528" s="814"/>
      <c r="H528" s="814"/>
      <c r="I528" s="814"/>
    </row>
    <row r="529" spans="2:9">
      <c r="B529" s="819"/>
      <c r="C529" s="814"/>
      <c r="D529" s="814"/>
      <c r="E529" s="814"/>
      <c r="F529" s="814"/>
      <c r="H529" s="814"/>
      <c r="I529" s="814"/>
    </row>
    <row r="530" spans="2:9">
      <c r="B530" s="819"/>
      <c r="C530" s="814"/>
      <c r="D530" s="814"/>
      <c r="E530" s="814"/>
      <c r="F530" s="814"/>
      <c r="H530" s="814"/>
      <c r="I530" s="814"/>
    </row>
    <row r="531" spans="2:9">
      <c r="B531" s="819"/>
      <c r="C531" s="814"/>
      <c r="D531" s="814"/>
      <c r="E531" s="814"/>
      <c r="F531" s="814"/>
      <c r="H531" s="814"/>
      <c r="I531" s="814"/>
    </row>
    <row r="532" spans="2:9">
      <c r="B532" s="819"/>
      <c r="C532" s="814"/>
      <c r="D532" s="814"/>
      <c r="E532" s="814"/>
      <c r="F532" s="814"/>
      <c r="H532" s="814"/>
      <c r="I532" s="814"/>
    </row>
    <row r="533" spans="2:9">
      <c r="B533" s="819"/>
      <c r="C533" s="814"/>
      <c r="D533" s="814"/>
      <c r="E533" s="814"/>
      <c r="F533" s="814"/>
      <c r="H533" s="814"/>
      <c r="I533" s="814"/>
    </row>
    <row r="534" spans="2:9">
      <c r="B534" s="819"/>
      <c r="C534" s="814"/>
      <c r="D534" s="814"/>
      <c r="E534" s="814"/>
      <c r="F534" s="814"/>
      <c r="H534" s="814"/>
      <c r="I534" s="814"/>
    </row>
    <row r="535" spans="2:9">
      <c r="B535" s="819"/>
      <c r="C535" s="814"/>
      <c r="D535" s="814"/>
      <c r="E535" s="814"/>
      <c r="F535" s="814"/>
      <c r="H535" s="814"/>
      <c r="I535" s="814"/>
    </row>
    <row r="536" spans="2:9">
      <c r="B536" s="819"/>
      <c r="C536" s="814"/>
      <c r="D536" s="814"/>
      <c r="E536" s="814"/>
      <c r="F536" s="814"/>
      <c r="H536" s="814"/>
      <c r="I536" s="814"/>
    </row>
    <row r="537" spans="2:9">
      <c r="B537" s="819"/>
      <c r="C537" s="814"/>
      <c r="D537" s="814"/>
      <c r="E537" s="814"/>
      <c r="F537" s="814"/>
      <c r="H537" s="814"/>
      <c r="I537" s="814"/>
    </row>
    <row r="538" spans="2:9">
      <c r="B538" s="819"/>
      <c r="C538" s="814"/>
      <c r="D538" s="814"/>
      <c r="E538" s="814"/>
      <c r="F538" s="814"/>
      <c r="H538" s="814"/>
      <c r="I538" s="814"/>
    </row>
    <row r="539" spans="2:9">
      <c r="B539" s="819"/>
      <c r="C539" s="814"/>
      <c r="D539" s="814"/>
      <c r="E539" s="814"/>
      <c r="F539" s="814"/>
      <c r="H539" s="814"/>
      <c r="I539" s="814"/>
    </row>
    <row r="540" spans="2:9">
      <c r="B540" s="819"/>
      <c r="C540" s="814"/>
      <c r="D540" s="814"/>
      <c r="E540" s="814"/>
      <c r="F540" s="814"/>
      <c r="H540" s="814"/>
      <c r="I540" s="814"/>
    </row>
    <row r="541" spans="2:9">
      <c r="B541" s="819"/>
      <c r="C541" s="814"/>
      <c r="D541" s="814"/>
      <c r="E541" s="814"/>
      <c r="F541" s="814"/>
      <c r="H541" s="814"/>
      <c r="I541" s="814"/>
    </row>
    <row r="542" spans="2:9">
      <c r="B542" s="819"/>
      <c r="C542" s="814"/>
      <c r="D542" s="814"/>
      <c r="E542" s="814"/>
      <c r="F542" s="814"/>
      <c r="H542" s="814"/>
      <c r="I542" s="814"/>
    </row>
    <row r="543" spans="2:9">
      <c r="B543" s="819"/>
      <c r="C543" s="814"/>
      <c r="D543" s="814"/>
      <c r="E543" s="814"/>
      <c r="F543" s="814"/>
      <c r="H543" s="814"/>
      <c r="I543" s="814"/>
    </row>
    <row r="544" spans="2:9">
      <c r="B544" s="819"/>
      <c r="C544" s="814"/>
      <c r="D544" s="814"/>
      <c r="E544" s="814"/>
      <c r="F544" s="814"/>
      <c r="H544" s="814"/>
      <c r="I544" s="814"/>
    </row>
    <row r="545" spans="2:9">
      <c r="B545" s="819"/>
      <c r="C545" s="814"/>
      <c r="D545" s="814"/>
      <c r="E545" s="814"/>
      <c r="F545" s="814"/>
      <c r="H545" s="814"/>
      <c r="I545" s="814"/>
    </row>
    <row r="546" spans="2:9">
      <c r="B546" s="819"/>
      <c r="C546" s="814"/>
      <c r="D546" s="814"/>
      <c r="E546" s="814"/>
      <c r="F546" s="814"/>
      <c r="H546" s="814"/>
      <c r="I546" s="814"/>
    </row>
    <row r="547" spans="2:9">
      <c r="B547" s="819"/>
      <c r="C547" s="814"/>
      <c r="D547" s="814"/>
      <c r="E547" s="814"/>
      <c r="F547" s="814"/>
      <c r="H547" s="814"/>
      <c r="I547" s="814"/>
    </row>
    <row r="548" spans="2:9">
      <c r="B548" s="819"/>
      <c r="C548" s="814"/>
      <c r="D548" s="814"/>
      <c r="E548" s="814"/>
      <c r="F548" s="814"/>
      <c r="H548" s="814"/>
      <c r="I548" s="814"/>
    </row>
    <row r="549" spans="2:9">
      <c r="B549" s="819"/>
      <c r="C549" s="814"/>
      <c r="D549" s="814"/>
      <c r="E549" s="814"/>
      <c r="F549" s="814"/>
      <c r="H549" s="814"/>
      <c r="I549" s="814"/>
    </row>
    <row r="550" spans="2:9">
      <c r="B550" s="819"/>
      <c r="C550" s="814"/>
      <c r="D550" s="814"/>
      <c r="E550" s="814"/>
      <c r="F550" s="814"/>
      <c r="H550" s="814"/>
      <c r="I550" s="814"/>
    </row>
    <row r="551" spans="2:9">
      <c r="B551" s="819"/>
      <c r="C551" s="814"/>
      <c r="D551" s="814"/>
      <c r="E551" s="814"/>
      <c r="F551" s="814"/>
      <c r="H551" s="814"/>
      <c r="I551" s="814"/>
    </row>
    <row r="552" spans="2:9">
      <c r="B552" s="819"/>
      <c r="C552" s="814"/>
      <c r="D552" s="814"/>
      <c r="E552" s="814"/>
      <c r="F552" s="814"/>
      <c r="H552" s="814"/>
      <c r="I552" s="814"/>
    </row>
    <row r="553" spans="2:9">
      <c r="B553" s="819"/>
      <c r="C553" s="814"/>
      <c r="D553" s="814"/>
      <c r="E553" s="814"/>
      <c r="F553" s="814"/>
      <c r="H553" s="814"/>
      <c r="I553" s="814"/>
    </row>
    <row r="554" spans="2:9">
      <c r="B554" s="819"/>
      <c r="C554" s="814"/>
      <c r="D554" s="814"/>
      <c r="E554" s="814"/>
      <c r="F554" s="814"/>
      <c r="H554" s="814"/>
      <c r="I554" s="814"/>
    </row>
    <row r="555" spans="2:9">
      <c r="B555" s="819"/>
      <c r="C555" s="814"/>
      <c r="D555" s="814"/>
      <c r="E555" s="814"/>
      <c r="F555" s="814"/>
      <c r="H555" s="814"/>
      <c r="I555" s="814"/>
    </row>
    <row r="556" spans="2:9">
      <c r="B556" s="819"/>
      <c r="C556" s="814"/>
      <c r="D556" s="814"/>
      <c r="E556" s="814"/>
      <c r="F556" s="814"/>
      <c r="H556" s="814"/>
      <c r="I556" s="814"/>
    </row>
    <row r="557" spans="2:9">
      <c r="B557" s="819"/>
      <c r="C557" s="814"/>
      <c r="D557" s="814"/>
      <c r="E557" s="814"/>
      <c r="F557" s="814"/>
      <c r="H557" s="814"/>
      <c r="I557" s="814"/>
    </row>
    <row r="558" spans="2:9">
      <c r="B558" s="819"/>
      <c r="C558" s="814"/>
      <c r="D558" s="814"/>
      <c r="E558" s="814"/>
      <c r="F558" s="814"/>
      <c r="H558" s="814"/>
      <c r="I558" s="814"/>
    </row>
    <row r="559" spans="2:9">
      <c r="B559" s="819"/>
      <c r="C559" s="814"/>
      <c r="D559" s="814"/>
      <c r="E559" s="814"/>
      <c r="F559" s="814"/>
      <c r="H559" s="814"/>
      <c r="I559" s="814"/>
    </row>
    <row r="560" spans="2:9">
      <c r="B560" s="819"/>
      <c r="C560" s="814"/>
      <c r="D560" s="814"/>
      <c r="E560" s="814"/>
      <c r="F560" s="814"/>
      <c r="H560" s="814"/>
      <c r="I560" s="814"/>
    </row>
    <row r="561" spans="2:9">
      <c r="B561" s="819"/>
      <c r="C561" s="814"/>
      <c r="D561" s="814"/>
      <c r="E561" s="814"/>
      <c r="F561" s="814"/>
      <c r="H561" s="814"/>
      <c r="I561" s="814"/>
    </row>
    <row r="562" spans="2:9">
      <c r="B562" s="819"/>
      <c r="C562" s="814"/>
      <c r="D562" s="814"/>
      <c r="E562" s="814"/>
      <c r="F562" s="814"/>
      <c r="H562" s="814"/>
      <c r="I562" s="814"/>
    </row>
    <row r="563" spans="2:9">
      <c r="B563" s="819"/>
      <c r="C563" s="814"/>
      <c r="D563" s="814"/>
      <c r="E563" s="814"/>
      <c r="F563" s="814"/>
      <c r="H563" s="814"/>
      <c r="I563" s="814"/>
    </row>
    <row r="564" spans="2:9">
      <c r="B564" s="819"/>
      <c r="C564" s="814"/>
      <c r="D564" s="814"/>
      <c r="E564" s="814"/>
      <c r="F564" s="814"/>
      <c r="H564" s="814"/>
      <c r="I564" s="814"/>
    </row>
    <row r="565" spans="2:9">
      <c r="B565" s="819"/>
      <c r="C565" s="814"/>
      <c r="D565" s="814"/>
      <c r="E565" s="814"/>
      <c r="F565" s="814"/>
      <c r="H565" s="814"/>
      <c r="I565" s="814"/>
    </row>
    <row r="566" spans="2:9">
      <c r="B566" s="819"/>
      <c r="C566" s="814"/>
      <c r="D566" s="814"/>
      <c r="E566" s="814"/>
      <c r="F566" s="814"/>
      <c r="H566" s="814"/>
      <c r="I566" s="814"/>
    </row>
    <row r="567" spans="2:9">
      <c r="B567" s="819"/>
      <c r="C567" s="814"/>
      <c r="D567" s="814"/>
      <c r="E567" s="814"/>
      <c r="F567" s="814"/>
      <c r="H567" s="814"/>
      <c r="I567" s="814"/>
    </row>
    <row r="568" spans="2:9">
      <c r="B568" s="819"/>
      <c r="C568" s="814"/>
      <c r="D568" s="814"/>
      <c r="E568" s="814"/>
      <c r="F568" s="814"/>
      <c r="H568" s="814"/>
      <c r="I568" s="814"/>
    </row>
    <row r="569" spans="2:9">
      <c r="B569" s="819"/>
      <c r="C569" s="814"/>
      <c r="D569" s="814"/>
      <c r="E569" s="814"/>
      <c r="F569" s="814"/>
      <c r="H569" s="814"/>
      <c r="I569" s="814"/>
    </row>
    <row r="570" spans="2:9">
      <c r="B570" s="819"/>
      <c r="C570" s="814"/>
      <c r="D570" s="814"/>
      <c r="E570" s="814"/>
      <c r="F570" s="814"/>
      <c r="H570" s="814"/>
      <c r="I570" s="814"/>
    </row>
    <row r="571" spans="2:9">
      <c r="B571" s="819"/>
      <c r="C571" s="814"/>
      <c r="D571" s="814"/>
      <c r="E571" s="814"/>
      <c r="F571" s="814"/>
      <c r="H571" s="814"/>
      <c r="I571" s="814"/>
    </row>
    <row r="572" spans="2:9">
      <c r="B572" s="819"/>
      <c r="C572" s="814"/>
      <c r="D572" s="814"/>
      <c r="E572" s="814"/>
      <c r="F572" s="814"/>
      <c r="H572" s="814"/>
      <c r="I572" s="814"/>
    </row>
    <row r="573" spans="2:9">
      <c r="B573" s="819"/>
      <c r="C573" s="814"/>
      <c r="D573" s="814"/>
      <c r="E573" s="814"/>
      <c r="F573" s="814"/>
      <c r="H573" s="814"/>
      <c r="I573" s="814"/>
    </row>
    <row r="574" spans="2:9">
      <c r="B574" s="819"/>
      <c r="C574" s="814"/>
      <c r="D574" s="814"/>
      <c r="E574" s="814"/>
      <c r="F574" s="814"/>
      <c r="H574" s="814"/>
      <c r="I574" s="814"/>
    </row>
    <row r="575" spans="2:9">
      <c r="B575" s="819"/>
      <c r="C575" s="814"/>
      <c r="D575" s="814"/>
      <c r="E575" s="814"/>
      <c r="F575" s="814"/>
      <c r="H575" s="814"/>
      <c r="I575" s="814"/>
    </row>
    <row r="576" spans="2:9">
      <c r="B576" s="819"/>
      <c r="C576" s="814"/>
      <c r="D576" s="814"/>
      <c r="E576" s="814"/>
      <c r="F576" s="814"/>
      <c r="H576" s="814"/>
      <c r="I576" s="814"/>
    </row>
    <row r="577" spans="2:9">
      <c r="B577" s="819"/>
      <c r="C577" s="814"/>
      <c r="D577" s="814"/>
      <c r="E577" s="814"/>
      <c r="F577" s="814"/>
      <c r="H577" s="814"/>
      <c r="I577" s="814"/>
    </row>
    <row r="578" spans="2:9">
      <c r="B578" s="819"/>
      <c r="C578" s="814"/>
      <c r="D578" s="814"/>
      <c r="E578" s="814"/>
      <c r="F578" s="814"/>
      <c r="H578" s="814"/>
      <c r="I578" s="814"/>
    </row>
    <row r="579" spans="2:9">
      <c r="B579" s="819"/>
      <c r="C579" s="814"/>
      <c r="D579" s="814"/>
      <c r="E579" s="814"/>
      <c r="F579" s="814"/>
      <c r="H579" s="814"/>
      <c r="I579" s="814"/>
    </row>
    <row r="580" spans="2:9">
      <c r="B580" s="819"/>
      <c r="C580" s="814"/>
      <c r="D580" s="814"/>
      <c r="E580" s="814"/>
      <c r="F580" s="814"/>
      <c r="H580" s="814"/>
      <c r="I580" s="814"/>
    </row>
    <row r="581" spans="2:9">
      <c r="B581" s="819"/>
      <c r="C581" s="814"/>
      <c r="D581" s="814"/>
      <c r="E581" s="814"/>
      <c r="F581" s="814"/>
      <c r="H581" s="814"/>
      <c r="I581" s="814"/>
    </row>
    <row r="582" spans="2:9">
      <c r="B582" s="819"/>
      <c r="C582" s="814"/>
      <c r="D582" s="814"/>
      <c r="E582" s="814"/>
      <c r="F582" s="814"/>
      <c r="H582" s="814"/>
      <c r="I582" s="814"/>
    </row>
    <row r="583" spans="2:9">
      <c r="B583" s="819"/>
      <c r="C583" s="814"/>
      <c r="D583" s="814"/>
      <c r="E583" s="814"/>
      <c r="F583" s="814"/>
      <c r="H583" s="814"/>
      <c r="I583" s="814"/>
    </row>
    <row r="584" spans="2:9">
      <c r="B584" s="819"/>
      <c r="C584" s="814"/>
      <c r="D584" s="814"/>
      <c r="E584" s="814"/>
      <c r="F584" s="814"/>
      <c r="H584" s="814"/>
      <c r="I584" s="814"/>
    </row>
    <row r="585" spans="2:9">
      <c r="B585" s="819"/>
      <c r="C585" s="814"/>
      <c r="D585" s="814"/>
      <c r="E585" s="814"/>
      <c r="F585" s="814"/>
      <c r="H585" s="814"/>
      <c r="I585" s="814"/>
    </row>
    <row r="586" spans="2:9">
      <c r="B586" s="819"/>
      <c r="C586" s="814"/>
      <c r="D586" s="814"/>
      <c r="E586" s="814"/>
      <c r="F586" s="814"/>
      <c r="H586" s="814"/>
      <c r="I586" s="814"/>
    </row>
    <row r="587" spans="2:9">
      <c r="B587" s="819"/>
      <c r="C587" s="814"/>
      <c r="D587" s="814"/>
      <c r="E587" s="814"/>
      <c r="F587" s="814"/>
      <c r="H587" s="814"/>
      <c r="I587" s="814"/>
    </row>
    <row r="588" spans="2:9">
      <c r="B588" s="819"/>
      <c r="C588" s="814"/>
      <c r="D588" s="814"/>
      <c r="E588" s="814"/>
      <c r="F588" s="814"/>
      <c r="H588" s="814"/>
      <c r="I588" s="814"/>
    </row>
    <row r="589" spans="2:9">
      <c r="B589" s="819"/>
      <c r="C589" s="814"/>
      <c r="D589" s="814"/>
      <c r="E589" s="814"/>
      <c r="F589" s="814"/>
      <c r="H589" s="814"/>
      <c r="I589" s="814"/>
    </row>
    <row r="590" spans="2:9">
      <c r="B590" s="819"/>
      <c r="C590" s="814"/>
      <c r="D590" s="814"/>
      <c r="E590" s="814"/>
      <c r="F590" s="814"/>
      <c r="H590" s="814"/>
      <c r="I590" s="814"/>
    </row>
    <row r="591" spans="2:9">
      <c r="B591" s="819"/>
      <c r="C591" s="814"/>
      <c r="D591" s="814"/>
      <c r="E591" s="814"/>
      <c r="F591" s="814"/>
      <c r="H591" s="814"/>
      <c r="I591" s="814"/>
    </row>
    <row r="592" spans="2:9">
      <c r="B592" s="819"/>
      <c r="C592" s="814"/>
      <c r="D592" s="814"/>
      <c r="E592" s="814"/>
      <c r="F592" s="814"/>
      <c r="H592" s="814"/>
      <c r="I592" s="814"/>
    </row>
    <row r="593" spans="2:9">
      <c r="B593" s="819"/>
      <c r="C593" s="814"/>
      <c r="D593" s="814"/>
      <c r="E593" s="814"/>
      <c r="F593" s="814"/>
      <c r="H593" s="814"/>
      <c r="I593" s="814"/>
    </row>
    <row r="594" spans="2:9">
      <c r="B594" s="819"/>
      <c r="C594" s="814"/>
      <c r="D594" s="814"/>
      <c r="E594" s="814"/>
      <c r="F594" s="814"/>
      <c r="H594" s="814"/>
      <c r="I594" s="814"/>
    </row>
    <row r="595" spans="2:9">
      <c r="B595" s="819"/>
      <c r="C595" s="814"/>
      <c r="D595" s="814"/>
      <c r="E595" s="814"/>
      <c r="F595" s="814"/>
      <c r="H595" s="814"/>
      <c r="I595" s="814"/>
    </row>
    <row r="596" spans="2:9">
      <c r="B596" s="819"/>
      <c r="C596" s="814"/>
      <c r="D596" s="814"/>
      <c r="E596" s="814"/>
      <c r="F596" s="814"/>
      <c r="H596" s="814"/>
      <c r="I596" s="814"/>
    </row>
    <row r="597" spans="2:9">
      <c r="B597" s="819"/>
      <c r="C597" s="814"/>
      <c r="D597" s="814"/>
      <c r="E597" s="814"/>
      <c r="F597" s="814"/>
      <c r="H597" s="814"/>
      <c r="I597" s="814"/>
    </row>
    <row r="598" spans="2:9">
      <c r="B598" s="819"/>
      <c r="C598" s="814"/>
      <c r="D598" s="814"/>
      <c r="E598" s="814"/>
      <c r="F598" s="814"/>
      <c r="H598" s="814"/>
      <c r="I598" s="814"/>
    </row>
    <row r="599" spans="2:9">
      <c r="B599" s="819"/>
      <c r="C599" s="814"/>
      <c r="D599" s="814"/>
      <c r="E599" s="814"/>
      <c r="F599" s="814"/>
      <c r="H599" s="814"/>
      <c r="I599" s="814"/>
    </row>
    <row r="600" spans="2:9">
      <c r="B600" s="819"/>
      <c r="C600" s="814"/>
      <c r="D600" s="814"/>
      <c r="E600" s="814"/>
      <c r="F600" s="814"/>
      <c r="H600" s="814"/>
      <c r="I600" s="814"/>
    </row>
    <row r="601" spans="2:9">
      <c r="B601" s="819"/>
      <c r="C601" s="814"/>
      <c r="D601" s="814"/>
      <c r="E601" s="814"/>
      <c r="F601" s="814"/>
      <c r="H601" s="814"/>
      <c r="I601" s="814"/>
    </row>
    <row r="602" spans="2:9">
      <c r="B602" s="819"/>
      <c r="C602" s="814"/>
      <c r="D602" s="814"/>
      <c r="E602" s="814"/>
      <c r="F602" s="814"/>
      <c r="H602" s="814"/>
      <c r="I602" s="814"/>
    </row>
    <row r="603" spans="2:9">
      <c r="B603" s="819"/>
      <c r="C603" s="814"/>
      <c r="D603" s="814"/>
      <c r="E603" s="814"/>
      <c r="F603" s="814"/>
      <c r="H603" s="814"/>
      <c r="I603" s="814"/>
    </row>
    <row r="604" spans="2:9">
      <c r="B604" s="819"/>
      <c r="C604" s="814"/>
      <c r="D604" s="814"/>
      <c r="E604" s="814"/>
      <c r="F604" s="814"/>
      <c r="H604" s="814"/>
      <c r="I604" s="814"/>
    </row>
    <row r="605" spans="2:9">
      <c r="B605" s="819"/>
      <c r="C605" s="814"/>
      <c r="D605" s="814"/>
      <c r="E605" s="814"/>
      <c r="F605" s="814"/>
      <c r="H605" s="814"/>
      <c r="I605" s="814"/>
    </row>
    <row r="606" spans="2:9">
      <c r="B606" s="819"/>
      <c r="C606" s="814"/>
      <c r="D606" s="814"/>
      <c r="E606" s="814"/>
      <c r="F606" s="814"/>
      <c r="H606" s="814"/>
      <c r="I606" s="814"/>
    </row>
    <row r="607" spans="2:9">
      <c r="B607" s="819"/>
      <c r="C607" s="814"/>
      <c r="D607" s="814"/>
      <c r="E607" s="814"/>
      <c r="F607" s="814"/>
      <c r="H607" s="814"/>
      <c r="I607" s="814"/>
    </row>
    <row r="608" spans="2:9">
      <c r="B608" s="819"/>
      <c r="C608" s="814"/>
      <c r="D608" s="814"/>
      <c r="E608" s="814"/>
      <c r="F608" s="814"/>
      <c r="H608" s="814"/>
      <c r="I608" s="814"/>
    </row>
    <row r="609" spans="2:9">
      <c r="B609" s="819"/>
      <c r="C609" s="814"/>
      <c r="D609" s="814"/>
      <c r="E609" s="814"/>
      <c r="F609" s="814"/>
      <c r="H609" s="814"/>
      <c r="I609" s="814"/>
    </row>
    <row r="610" spans="2:9">
      <c r="B610" s="819"/>
      <c r="C610" s="814"/>
      <c r="D610" s="814"/>
      <c r="E610" s="814"/>
      <c r="F610" s="814"/>
      <c r="H610" s="814"/>
      <c r="I610" s="814"/>
    </row>
    <row r="611" spans="2:9">
      <c r="B611" s="819"/>
      <c r="C611" s="814"/>
      <c r="D611" s="814"/>
      <c r="E611" s="814"/>
      <c r="F611" s="814"/>
      <c r="H611" s="814"/>
      <c r="I611" s="814"/>
    </row>
    <row r="612" spans="2:9">
      <c r="B612" s="819"/>
      <c r="C612" s="814"/>
      <c r="D612" s="814"/>
      <c r="E612" s="814"/>
      <c r="F612" s="814"/>
      <c r="H612" s="814"/>
      <c r="I612" s="814"/>
    </row>
    <row r="613" spans="2:9">
      <c r="B613" s="819"/>
      <c r="C613" s="814"/>
      <c r="D613" s="814"/>
      <c r="E613" s="814"/>
      <c r="F613" s="814"/>
      <c r="H613" s="814"/>
      <c r="I613" s="814"/>
    </row>
    <row r="614" spans="2:9">
      <c r="B614" s="819"/>
      <c r="C614" s="814"/>
      <c r="D614" s="814"/>
      <c r="E614" s="814"/>
      <c r="F614" s="814"/>
      <c r="H614" s="814"/>
      <c r="I614" s="814"/>
    </row>
    <row r="615" spans="2:9">
      <c r="B615" s="819"/>
      <c r="C615" s="814"/>
      <c r="D615" s="814"/>
      <c r="E615" s="814"/>
      <c r="F615" s="814"/>
      <c r="H615" s="814"/>
      <c r="I615" s="814"/>
    </row>
    <row r="616" spans="2:9">
      <c r="B616" s="819"/>
      <c r="C616" s="814"/>
      <c r="D616" s="814"/>
      <c r="E616" s="814"/>
      <c r="F616" s="814"/>
      <c r="H616" s="814"/>
      <c r="I616" s="814"/>
    </row>
    <row r="617" spans="2:9">
      <c r="B617" s="819"/>
      <c r="C617" s="814"/>
      <c r="D617" s="814"/>
      <c r="E617" s="814"/>
      <c r="F617" s="814"/>
      <c r="H617" s="814"/>
      <c r="I617" s="814"/>
    </row>
    <row r="618" spans="2:9">
      <c r="B618" s="819"/>
      <c r="C618" s="814"/>
      <c r="D618" s="814"/>
      <c r="E618" s="814"/>
      <c r="F618" s="814"/>
      <c r="H618" s="814"/>
      <c r="I618" s="814"/>
    </row>
    <row r="619" spans="2:9">
      <c r="B619" s="819"/>
      <c r="C619" s="814"/>
      <c r="D619" s="814"/>
      <c r="E619" s="814"/>
      <c r="F619" s="814"/>
      <c r="H619" s="814"/>
      <c r="I619" s="814"/>
    </row>
    <row r="620" spans="2:9">
      <c r="B620" s="819"/>
      <c r="C620" s="814"/>
      <c r="D620" s="814"/>
      <c r="E620" s="814"/>
      <c r="F620" s="814"/>
      <c r="H620" s="814"/>
      <c r="I620" s="814"/>
    </row>
    <row r="621" spans="2:9">
      <c r="B621" s="819"/>
      <c r="C621" s="814"/>
      <c r="D621" s="814"/>
      <c r="E621" s="814"/>
      <c r="F621" s="814"/>
      <c r="H621" s="814"/>
      <c r="I621" s="814"/>
    </row>
    <row r="622" spans="2:9">
      <c r="B622" s="819"/>
      <c r="C622" s="814"/>
      <c r="D622" s="814"/>
      <c r="E622" s="814"/>
      <c r="F622" s="814"/>
      <c r="H622" s="814"/>
      <c r="I622" s="814"/>
    </row>
    <row r="623" spans="2:9">
      <c r="B623" s="819"/>
      <c r="C623" s="814"/>
      <c r="D623" s="814"/>
      <c r="E623" s="814"/>
      <c r="F623" s="814"/>
      <c r="H623" s="814"/>
      <c r="I623" s="814"/>
    </row>
    <row r="624" spans="2:9">
      <c r="B624" s="819"/>
      <c r="C624" s="814"/>
      <c r="D624" s="814"/>
      <c r="E624" s="814"/>
      <c r="F624" s="814"/>
      <c r="H624" s="814"/>
      <c r="I624" s="814"/>
    </row>
    <row r="625" spans="2:9">
      <c r="B625" s="819"/>
      <c r="C625" s="814"/>
      <c r="D625" s="814"/>
      <c r="E625" s="814"/>
      <c r="F625" s="814"/>
      <c r="H625" s="814"/>
      <c r="I625" s="814"/>
    </row>
    <row r="626" spans="2:9">
      <c r="B626" s="819"/>
      <c r="C626" s="814"/>
      <c r="D626" s="814"/>
      <c r="E626" s="814"/>
      <c r="F626" s="814"/>
      <c r="H626" s="814"/>
      <c r="I626" s="814"/>
    </row>
    <row r="627" spans="2:9">
      <c r="B627" s="819"/>
      <c r="C627" s="814"/>
      <c r="D627" s="814"/>
      <c r="E627" s="814"/>
      <c r="F627" s="814"/>
      <c r="H627" s="814"/>
      <c r="I627" s="814"/>
    </row>
    <row r="628" spans="2:9">
      <c r="B628" s="819"/>
      <c r="C628" s="814"/>
      <c r="D628" s="814"/>
      <c r="E628" s="814"/>
      <c r="F628" s="814"/>
      <c r="H628" s="814"/>
      <c r="I628" s="814"/>
    </row>
    <row r="629" spans="2:9">
      <c r="B629" s="819"/>
      <c r="C629" s="814"/>
      <c r="D629" s="814"/>
      <c r="E629" s="814"/>
      <c r="F629" s="814"/>
      <c r="H629" s="814"/>
      <c r="I629" s="814"/>
    </row>
    <row r="630" spans="2:9">
      <c r="B630" s="819"/>
      <c r="C630" s="814"/>
      <c r="D630" s="814"/>
      <c r="E630" s="814"/>
      <c r="F630" s="814"/>
      <c r="H630" s="814"/>
      <c r="I630" s="814"/>
    </row>
    <row r="631" spans="2:9">
      <c r="B631" s="819"/>
      <c r="C631" s="814"/>
      <c r="D631" s="814"/>
      <c r="E631" s="814"/>
      <c r="F631" s="814"/>
      <c r="H631" s="814"/>
      <c r="I631" s="814"/>
    </row>
    <row r="632" spans="2:9">
      <c r="B632" s="819"/>
      <c r="C632" s="814"/>
      <c r="D632" s="814"/>
      <c r="E632" s="814"/>
      <c r="F632" s="814"/>
      <c r="H632" s="814"/>
      <c r="I632" s="814"/>
    </row>
    <row r="633" spans="2:9">
      <c r="B633" s="819"/>
      <c r="C633" s="814"/>
      <c r="D633" s="814"/>
      <c r="E633" s="814"/>
      <c r="F633" s="814"/>
      <c r="H633" s="814"/>
      <c r="I633" s="814"/>
    </row>
    <row r="634" spans="2:9">
      <c r="B634" s="819"/>
      <c r="C634" s="814"/>
      <c r="D634" s="814"/>
      <c r="E634" s="814"/>
      <c r="F634" s="814"/>
      <c r="H634" s="814"/>
      <c r="I634" s="814"/>
    </row>
    <row r="635" spans="2:9">
      <c r="B635" s="819"/>
      <c r="C635" s="814"/>
      <c r="D635" s="814"/>
      <c r="E635" s="814"/>
      <c r="F635" s="814"/>
      <c r="H635" s="814"/>
      <c r="I635" s="814"/>
    </row>
    <row r="636" spans="2:9">
      <c r="B636" s="819"/>
      <c r="C636" s="814"/>
      <c r="D636" s="814"/>
      <c r="E636" s="814"/>
      <c r="F636" s="814"/>
      <c r="H636" s="814"/>
      <c r="I636" s="814"/>
    </row>
    <row r="637" spans="2:9">
      <c r="B637" s="819"/>
      <c r="C637" s="814"/>
      <c r="D637" s="814"/>
      <c r="E637" s="814"/>
      <c r="F637" s="814"/>
      <c r="H637" s="814"/>
      <c r="I637" s="814"/>
    </row>
    <row r="638" spans="2:9">
      <c r="B638" s="819"/>
      <c r="C638" s="814"/>
      <c r="D638" s="814"/>
      <c r="E638" s="814"/>
      <c r="F638" s="814"/>
      <c r="H638" s="814"/>
      <c r="I638" s="814"/>
    </row>
    <row r="639" spans="2:9">
      <c r="B639" s="819"/>
      <c r="C639" s="814"/>
      <c r="D639" s="814"/>
      <c r="E639" s="814"/>
      <c r="F639" s="814"/>
      <c r="H639" s="814"/>
      <c r="I639" s="814"/>
    </row>
    <row r="640" spans="2:9">
      <c r="B640" s="819"/>
      <c r="C640" s="814"/>
      <c r="D640" s="814"/>
      <c r="E640" s="814"/>
      <c r="F640" s="814"/>
      <c r="H640" s="814"/>
      <c r="I640" s="814"/>
    </row>
    <row r="641" spans="2:9">
      <c r="B641" s="819"/>
      <c r="C641" s="814"/>
      <c r="D641" s="814"/>
      <c r="E641" s="814"/>
      <c r="F641" s="814"/>
      <c r="H641" s="814"/>
      <c r="I641" s="814"/>
    </row>
    <row r="642" spans="2:9">
      <c r="B642" s="819"/>
      <c r="C642" s="814"/>
      <c r="D642" s="814"/>
      <c r="E642" s="814"/>
      <c r="F642" s="814"/>
      <c r="H642" s="814"/>
      <c r="I642" s="814"/>
    </row>
    <row r="643" spans="2:9">
      <c r="B643" s="819"/>
      <c r="C643" s="814"/>
      <c r="D643" s="814"/>
      <c r="E643" s="814"/>
      <c r="F643" s="814"/>
      <c r="H643" s="814"/>
      <c r="I643" s="814"/>
    </row>
    <row r="644" spans="2:9">
      <c r="B644" s="819"/>
      <c r="C644" s="814"/>
      <c r="D644" s="814"/>
      <c r="E644" s="814"/>
      <c r="F644" s="814"/>
      <c r="H644" s="814"/>
      <c r="I644" s="814"/>
    </row>
    <row r="645" spans="2:9">
      <c r="B645" s="819"/>
      <c r="C645" s="814"/>
      <c r="D645" s="814"/>
      <c r="E645" s="814"/>
      <c r="F645" s="814"/>
      <c r="H645" s="814"/>
      <c r="I645" s="814"/>
    </row>
    <row r="646" spans="2:9">
      <c r="B646" s="819"/>
      <c r="C646" s="814"/>
      <c r="D646" s="814"/>
      <c r="E646" s="814"/>
      <c r="F646" s="814"/>
      <c r="H646" s="814"/>
      <c r="I646" s="814"/>
    </row>
    <row r="647" spans="2:9">
      <c r="B647" s="819"/>
      <c r="C647" s="814"/>
      <c r="D647" s="814"/>
      <c r="E647" s="814"/>
      <c r="F647" s="814"/>
      <c r="H647" s="814"/>
      <c r="I647" s="814"/>
    </row>
    <row r="648" spans="2:9">
      <c r="B648" s="819"/>
      <c r="C648" s="814"/>
      <c r="D648" s="814"/>
      <c r="E648" s="814"/>
      <c r="F648" s="814"/>
      <c r="H648" s="814"/>
      <c r="I648" s="814"/>
    </row>
    <row r="649" spans="2:9">
      <c r="B649" s="819"/>
      <c r="C649" s="814"/>
      <c r="D649" s="814"/>
      <c r="E649" s="814"/>
      <c r="F649" s="814"/>
      <c r="H649" s="814"/>
      <c r="I649" s="814"/>
    </row>
    <row r="650" spans="2:9">
      <c r="B650" s="819"/>
      <c r="C650" s="814"/>
      <c r="D650" s="814"/>
      <c r="E650" s="814"/>
      <c r="F650" s="814"/>
      <c r="H650" s="814"/>
      <c r="I650" s="814"/>
    </row>
    <row r="651" spans="2:9">
      <c r="B651" s="819"/>
      <c r="C651" s="814"/>
      <c r="D651" s="814"/>
      <c r="E651" s="814"/>
      <c r="F651" s="814"/>
      <c r="H651" s="814"/>
      <c r="I651" s="814"/>
    </row>
    <row r="652" spans="2:9">
      <c r="B652" s="819"/>
      <c r="C652" s="814"/>
      <c r="D652" s="814"/>
      <c r="E652" s="814"/>
      <c r="F652" s="814"/>
      <c r="H652" s="814"/>
      <c r="I652" s="814"/>
    </row>
    <row r="653" spans="2:9">
      <c r="B653" s="819"/>
      <c r="C653" s="814"/>
      <c r="D653" s="814"/>
      <c r="E653" s="814"/>
      <c r="F653" s="814"/>
      <c r="H653" s="814"/>
      <c r="I653" s="814"/>
    </row>
    <row r="654" spans="2:9">
      <c r="B654" s="819"/>
      <c r="C654" s="814"/>
      <c r="D654" s="814"/>
      <c r="E654" s="814"/>
      <c r="F654" s="814"/>
      <c r="H654" s="814"/>
      <c r="I654" s="814"/>
    </row>
    <row r="655" spans="2:9">
      <c r="B655" s="819"/>
      <c r="C655" s="814"/>
      <c r="D655" s="814"/>
      <c r="E655" s="814"/>
      <c r="F655" s="814"/>
      <c r="H655" s="814"/>
      <c r="I655" s="814"/>
    </row>
    <row r="656" spans="2:9">
      <c r="B656" s="819"/>
      <c r="C656" s="814"/>
      <c r="D656" s="814"/>
      <c r="E656" s="814"/>
      <c r="F656" s="814"/>
      <c r="H656" s="814"/>
      <c r="I656" s="814"/>
    </row>
    <row r="657" spans="2:9">
      <c r="B657" s="819"/>
      <c r="C657" s="814"/>
      <c r="D657" s="814"/>
      <c r="E657" s="814"/>
      <c r="F657" s="814"/>
      <c r="H657" s="814"/>
      <c r="I657" s="814"/>
    </row>
    <row r="658" spans="2:9">
      <c r="B658" s="819"/>
      <c r="C658" s="814"/>
      <c r="D658" s="814"/>
      <c r="E658" s="814"/>
      <c r="F658" s="814"/>
      <c r="H658" s="814"/>
      <c r="I658" s="814"/>
    </row>
    <row r="659" spans="2:9">
      <c r="B659" s="819"/>
      <c r="C659" s="814"/>
      <c r="D659" s="814"/>
      <c r="E659" s="814"/>
      <c r="F659" s="814"/>
      <c r="H659" s="814"/>
      <c r="I659" s="814"/>
    </row>
    <row r="660" spans="2:9">
      <c r="B660" s="819"/>
      <c r="C660" s="814"/>
      <c r="D660" s="814"/>
      <c r="E660" s="814"/>
      <c r="F660" s="814"/>
      <c r="H660" s="814"/>
      <c r="I660" s="814"/>
    </row>
    <row r="661" spans="2:9">
      <c r="B661" s="819"/>
      <c r="C661" s="814"/>
      <c r="D661" s="814"/>
      <c r="E661" s="814"/>
      <c r="F661" s="814"/>
      <c r="H661" s="814"/>
      <c r="I661" s="814"/>
    </row>
    <row r="662" spans="2:9">
      <c r="B662" s="819"/>
      <c r="C662" s="814"/>
      <c r="D662" s="814"/>
      <c r="E662" s="814"/>
      <c r="F662" s="814"/>
      <c r="H662" s="814"/>
      <c r="I662" s="814"/>
    </row>
    <row r="663" spans="2:9">
      <c r="B663" s="819"/>
      <c r="C663" s="814"/>
      <c r="D663" s="814"/>
      <c r="E663" s="814"/>
      <c r="F663" s="814"/>
      <c r="H663" s="814"/>
      <c r="I663" s="814"/>
    </row>
    <row r="664" spans="2:9">
      <c r="B664" s="819"/>
      <c r="C664" s="814"/>
      <c r="D664" s="814"/>
      <c r="E664" s="814"/>
      <c r="F664" s="814"/>
      <c r="H664" s="814"/>
      <c r="I664" s="814"/>
    </row>
    <row r="665" spans="2:9">
      <c r="B665" s="819"/>
      <c r="C665" s="814"/>
      <c r="D665" s="814"/>
      <c r="E665" s="814"/>
      <c r="F665" s="814"/>
      <c r="H665" s="814"/>
      <c r="I665" s="814"/>
    </row>
    <row r="666" spans="2:9">
      <c r="B666" s="819"/>
      <c r="C666" s="814"/>
      <c r="D666" s="814"/>
      <c r="E666" s="814"/>
      <c r="F666" s="814"/>
      <c r="H666" s="814"/>
      <c r="I666" s="814"/>
    </row>
    <row r="667" spans="2:9">
      <c r="B667" s="819"/>
      <c r="C667" s="814"/>
      <c r="D667" s="814"/>
      <c r="E667" s="814"/>
      <c r="F667" s="814"/>
      <c r="H667" s="814"/>
      <c r="I667" s="814"/>
    </row>
    <row r="668" spans="2:9">
      <c r="B668" s="819"/>
      <c r="C668" s="814"/>
      <c r="D668" s="814"/>
      <c r="E668" s="814"/>
      <c r="F668" s="814"/>
      <c r="H668" s="814"/>
      <c r="I668" s="814"/>
    </row>
    <row r="669" spans="2:9">
      <c r="B669" s="819"/>
      <c r="C669" s="814"/>
      <c r="D669" s="814"/>
      <c r="E669" s="814"/>
      <c r="F669" s="814"/>
      <c r="H669" s="814"/>
      <c r="I669" s="814"/>
    </row>
    <row r="670" spans="2:9">
      <c r="B670" s="819"/>
      <c r="C670" s="814"/>
      <c r="D670" s="814"/>
      <c r="E670" s="814"/>
      <c r="F670" s="814"/>
      <c r="H670" s="814"/>
      <c r="I670" s="814"/>
    </row>
    <row r="671" spans="2:9">
      <c r="B671" s="819"/>
      <c r="C671" s="814"/>
      <c r="D671" s="814"/>
      <c r="E671" s="814"/>
      <c r="F671" s="814"/>
      <c r="H671" s="814"/>
      <c r="I671" s="814"/>
    </row>
    <row r="672" spans="2:9">
      <c r="B672" s="819"/>
      <c r="C672" s="814"/>
      <c r="D672" s="814"/>
      <c r="E672" s="814"/>
      <c r="F672" s="814"/>
      <c r="H672" s="814"/>
      <c r="I672" s="814"/>
    </row>
    <row r="673" spans="2:9">
      <c r="B673" s="819"/>
      <c r="C673" s="814"/>
      <c r="D673" s="814"/>
      <c r="E673" s="814"/>
      <c r="F673" s="814"/>
      <c r="H673" s="814"/>
      <c r="I673" s="814"/>
    </row>
    <row r="674" spans="2:9">
      <c r="B674" s="819"/>
      <c r="C674" s="814"/>
      <c r="D674" s="814"/>
      <c r="E674" s="814"/>
      <c r="F674" s="814"/>
      <c r="H674" s="814"/>
      <c r="I674" s="814"/>
    </row>
    <row r="675" spans="2:9">
      <c r="B675" s="819"/>
      <c r="C675" s="814"/>
      <c r="D675" s="814"/>
      <c r="E675" s="814"/>
      <c r="F675" s="814"/>
      <c r="H675" s="814"/>
      <c r="I675" s="814"/>
    </row>
    <row r="676" spans="2:9">
      <c r="B676" s="819"/>
      <c r="C676" s="814"/>
      <c r="D676" s="814"/>
      <c r="E676" s="814"/>
      <c r="F676" s="814"/>
      <c r="H676" s="814"/>
      <c r="I676" s="814"/>
    </row>
    <row r="677" spans="2:9">
      <c r="B677" s="819"/>
      <c r="C677" s="814"/>
      <c r="D677" s="814"/>
      <c r="E677" s="814"/>
      <c r="F677" s="814"/>
      <c r="H677" s="814"/>
      <c r="I677" s="814"/>
    </row>
    <row r="678" spans="2:9">
      <c r="B678" s="819"/>
      <c r="C678" s="814"/>
      <c r="D678" s="814"/>
      <c r="E678" s="814"/>
      <c r="F678" s="814"/>
      <c r="H678" s="814"/>
      <c r="I678" s="814"/>
    </row>
    <row r="679" spans="2:9">
      <c r="B679" s="819"/>
      <c r="C679" s="814"/>
      <c r="D679" s="814"/>
      <c r="E679" s="814"/>
      <c r="F679" s="814"/>
      <c r="H679" s="814"/>
      <c r="I679" s="814"/>
    </row>
    <row r="680" spans="2:9">
      <c r="B680" s="819"/>
      <c r="C680" s="814"/>
      <c r="D680" s="814"/>
      <c r="E680" s="814"/>
      <c r="F680" s="814"/>
      <c r="H680" s="814"/>
      <c r="I680" s="814"/>
    </row>
    <row r="681" spans="2:9">
      <c r="B681" s="819"/>
      <c r="C681" s="814"/>
      <c r="D681" s="814"/>
      <c r="E681" s="814"/>
      <c r="F681" s="814"/>
      <c r="H681" s="814"/>
      <c r="I681" s="814"/>
    </row>
    <row r="682" spans="2:9">
      <c r="B682" s="819"/>
      <c r="C682" s="814"/>
      <c r="D682" s="814"/>
      <c r="E682" s="814"/>
      <c r="F682" s="814"/>
      <c r="H682" s="814"/>
      <c r="I682" s="814"/>
    </row>
    <row r="683" spans="2:9">
      <c r="B683" s="819"/>
      <c r="C683" s="814"/>
      <c r="D683" s="814"/>
      <c r="E683" s="814"/>
      <c r="F683" s="814"/>
      <c r="H683" s="814"/>
      <c r="I683" s="814"/>
    </row>
    <row r="684" spans="2:9">
      <c r="B684" s="819"/>
      <c r="C684" s="814"/>
      <c r="D684" s="814"/>
      <c r="E684" s="814"/>
      <c r="F684" s="814"/>
      <c r="H684" s="814"/>
      <c r="I684" s="814"/>
    </row>
    <row r="685" spans="2:9">
      <c r="B685" s="819"/>
      <c r="C685" s="814"/>
      <c r="D685" s="814"/>
      <c r="E685" s="814"/>
      <c r="F685" s="814"/>
      <c r="H685" s="814"/>
      <c r="I685" s="814"/>
    </row>
    <row r="686" spans="2:9">
      <c r="B686" s="819"/>
      <c r="C686" s="814"/>
      <c r="D686" s="814"/>
      <c r="E686" s="814"/>
      <c r="F686" s="814"/>
      <c r="H686" s="814"/>
      <c r="I686" s="814"/>
    </row>
    <row r="687" spans="2:9">
      <c r="B687" s="819"/>
      <c r="C687" s="814"/>
      <c r="D687" s="814"/>
      <c r="E687" s="814"/>
      <c r="F687" s="814"/>
      <c r="H687" s="814"/>
      <c r="I687" s="814"/>
    </row>
    <row r="688" spans="2:9">
      <c r="B688" s="819"/>
      <c r="C688" s="814"/>
      <c r="D688" s="814"/>
      <c r="E688" s="814"/>
      <c r="F688" s="814"/>
      <c r="H688" s="814"/>
      <c r="I688" s="814"/>
    </row>
    <row r="689" spans="2:9">
      <c r="B689" s="819"/>
      <c r="C689" s="814"/>
      <c r="D689" s="814"/>
      <c r="E689" s="814"/>
      <c r="F689" s="814"/>
      <c r="H689" s="814"/>
      <c r="I689" s="814"/>
    </row>
    <row r="690" spans="2:9">
      <c r="B690" s="819"/>
      <c r="C690" s="814"/>
      <c r="D690" s="814"/>
      <c r="E690" s="814"/>
      <c r="F690" s="814"/>
      <c r="H690" s="814"/>
      <c r="I690" s="814"/>
    </row>
    <row r="691" spans="2:9">
      <c r="B691" s="819"/>
      <c r="C691" s="814"/>
      <c r="D691" s="814"/>
      <c r="E691" s="814"/>
      <c r="F691" s="814"/>
      <c r="H691" s="814"/>
      <c r="I691" s="814"/>
    </row>
    <row r="692" spans="2:9">
      <c r="B692" s="819"/>
      <c r="C692" s="814"/>
      <c r="D692" s="814"/>
      <c r="E692" s="814"/>
      <c r="F692" s="814"/>
      <c r="H692" s="814"/>
      <c r="I692" s="814"/>
    </row>
    <row r="693" spans="2:9">
      <c r="B693" s="819"/>
      <c r="C693" s="814"/>
      <c r="D693" s="814"/>
      <c r="E693" s="814"/>
      <c r="F693" s="814"/>
      <c r="H693" s="814"/>
      <c r="I693" s="814"/>
    </row>
    <row r="694" spans="2:9">
      <c r="B694" s="819"/>
      <c r="C694" s="814"/>
      <c r="D694" s="814"/>
      <c r="E694" s="814"/>
      <c r="F694" s="814"/>
      <c r="H694" s="814"/>
      <c r="I694" s="814"/>
    </row>
    <row r="695" spans="2:9">
      <c r="B695" s="819"/>
      <c r="C695" s="814"/>
      <c r="D695" s="814"/>
      <c r="E695" s="814"/>
      <c r="F695" s="814"/>
      <c r="H695" s="814"/>
      <c r="I695" s="814"/>
    </row>
    <row r="696" spans="2:9">
      <c r="B696" s="819"/>
      <c r="C696" s="814"/>
      <c r="D696" s="814"/>
      <c r="E696" s="814"/>
      <c r="F696" s="814"/>
      <c r="H696" s="814"/>
      <c r="I696" s="814"/>
    </row>
    <row r="697" spans="2:9">
      <c r="B697" s="819"/>
      <c r="C697" s="814"/>
      <c r="D697" s="814"/>
      <c r="E697" s="814"/>
      <c r="F697" s="814"/>
      <c r="H697" s="814"/>
      <c r="I697" s="814"/>
    </row>
    <row r="698" spans="2:9">
      <c r="B698" s="819"/>
      <c r="C698" s="814"/>
      <c r="D698" s="814"/>
      <c r="E698" s="814"/>
      <c r="F698" s="814"/>
      <c r="H698" s="814"/>
      <c r="I698" s="814"/>
    </row>
    <row r="699" spans="2:9">
      <c r="B699" s="819"/>
      <c r="C699" s="814"/>
      <c r="D699" s="814"/>
      <c r="E699" s="814"/>
      <c r="F699" s="814"/>
      <c r="H699" s="814"/>
      <c r="I699" s="814"/>
    </row>
    <row r="700" spans="2:9">
      <c r="B700" s="819"/>
      <c r="C700" s="814"/>
      <c r="D700" s="814"/>
      <c r="E700" s="814"/>
      <c r="F700" s="814"/>
      <c r="H700" s="814"/>
      <c r="I700" s="814"/>
    </row>
    <row r="701" spans="2:9">
      <c r="B701" s="819"/>
      <c r="C701" s="814"/>
      <c r="D701" s="814"/>
      <c r="E701" s="814"/>
      <c r="F701" s="814"/>
      <c r="H701" s="814"/>
      <c r="I701" s="814"/>
    </row>
    <row r="702" spans="2:9">
      <c r="B702" s="819"/>
      <c r="C702" s="814"/>
      <c r="D702" s="814"/>
      <c r="E702" s="814"/>
      <c r="F702" s="814"/>
      <c r="H702" s="814"/>
      <c r="I702" s="814"/>
    </row>
    <row r="703" spans="2:9">
      <c r="B703" s="819"/>
      <c r="C703" s="814"/>
      <c r="D703" s="814"/>
      <c r="E703" s="814"/>
      <c r="F703" s="814"/>
      <c r="H703" s="814"/>
      <c r="I703" s="814"/>
    </row>
    <row r="704" spans="2:9">
      <c r="B704" s="819"/>
      <c r="C704" s="814"/>
      <c r="D704" s="814"/>
      <c r="E704" s="814"/>
      <c r="F704" s="814"/>
      <c r="H704" s="814"/>
      <c r="I704" s="814"/>
    </row>
    <row r="705" spans="2:9">
      <c r="B705" s="819"/>
      <c r="C705" s="814"/>
      <c r="D705" s="814"/>
      <c r="E705" s="814"/>
      <c r="F705" s="814"/>
      <c r="H705" s="814"/>
      <c r="I705" s="814"/>
    </row>
    <row r="706" spans="2:9">
      <c r="B706" s="819"/>
      <c r="C706" s="814"/>
      <c r="D706" s="814"/>
      <c r="E706" s="814"/>
      <c r="F706" s="814"/>
      <c r="H706" s="814"/>
      <c r="I706" s="814"/>
    </row>
    <row r="707" spans="2:9">
      <c r="B707" s="819"/>
      <c r="C707" s="814"/>
      <c r="D707" s="814"/>
      <c r="E707" s="814"/>
      <c r="F707" s="814"/>
      <c r="H707" s="814"/>
      <c r="I707" s="814"/>
    </row>
    <row r="708" spans="2:9">
      <c r="B708" s="819"/>
      <c r="C708" s="814"/>
      <c r="D708" s="814"/>
      <c r="E708" s="814"/>
      <c r="F708" s="814"/>
      <c r="H708" s="814"/>
      <c r="I708" s="814"/>
    </row>
    <row r="709" spans="2:9">
      <c r="B709" s="819"/>
      <c r="C709" s="814"/>
      <c r="D709" s="814"/>
      <c r="E709" s="814"/>
      <c r="F709" s="814"/>
      <c r="H709" s="814"/>
      <c r="I709" s="814"/>
    </row>
    <row r="710" spans="2:9">
      <c r="B710" s="819"/>
      <c r="C710" s="814"/>
      <c r="D710" s="814"/>
      <c r="E710" s="814"/>
      <c r="F710" s="814"/>
      <c r="H710" s="814"/>
      <c r="I710" s="814"/>
    </row>
    <row r="711" spans="2:9">
      <c r="B711" s="819"/>
      <c r="C711" s="814"/>
      <c r="D711" s="814"/>
      <c r="E711" s="814"/>
      <c r="F711" s="814"/>
      <c r="H711" s="814"/>
      <c r="I711" s="814"/>
    </row>
    <row r="712" spans="2:9">
      <c r="B712" s="819"/>
      <c r="C712" s="814"/>
      <c r="D712" s="814"/>
      <c r="E712" s="814"/>
      <c r="F712" s="814"/>
      <c r="H712" s="814"/>
      <c r="I712" s="814"/>
    </row>
    <row r="713" spans="2:9">
      <c r="B713" s="819"/>
      <c r="C713" s="814"/>
      <c r="D713" s="814"/>
      <c r="E713" s="814"/>
      <c r="F713" s="814"/>
      <c r="H713" s="814"/>
      <c r="I713" s="814"/>
    </row>
    <row r="714" spans="2:9">
      <c r="B714" s="819"/>
      <c r="C714" s="814"/>
      <c r="D714" s="814"/>
      <c r="E714" s="814"/>
      <c r="F714" s="814"/>
      <c r="H714" s="814"/>
      <c r="I714" s="814"/>
    </row>
    <row r="715" spans="2:9">
      <c r="B715" s="819"/>
      <c r="C715" s="814"/>
      <c r="D715" s="814"/>
      <c r="E715" s="814"/>
      <c r="F715" s="814"/>
      <c r="H715" s="814"/>
      <c r="I715" s="814"/>
    </row>
    <row r="716" spans="2:9">
      <c r="B716" s="819"/>
      <c r="C716" s="814"/>
      <c r="D716" s="814"/>
      <c r="E716" s="814"/>
      <c r="F716" s="814"/>
      <c r="H716" s="814"/>
      <c r="I716" s="814"/>
    </row>
    <row r="717" spans="2:9">
      <c r="B717" s="819"/>
      <c r="C717" s="814"/>
      <c r="D717" s="814"/>
      <c r="E717" s="814"/>
      <c r="F717" s="814"/>
      <c r="H717" s="814"/>
      <c r="I717" s="814"/>
    </row>
    <row r="718" spans="2:9">
      <c r="B718" s="819"/>
      <c r="C718" s="814"/>
      <c r="D718" s="814"/>
      <c r="E718" s="814"/>
      <c r="F718" s="814"/>
      <c r="H718" s="814"/>
      <c r="I718" s="814"/>
    </row>
    <row r="719" spans="2:9">
      <c r="B719" s="819"/>
      <c r="C719" s="814"/>
      <c r="D719" s="814"/>
      <c r="E719" s="814"/>
      <c r="F719" s="814"/>
      <c r="H719" s="814"/>
      <c r="I719" s="814"/>
    </row>
    <row r="720" spans="2:9">
      <c r="B720" s="819"/>
      <c r="C720" s="814"/>
      <c r="D720" s="814"/>
      <c r="E720" s="814"/>
      <c r="F720" s="814"/>
      <c r="H720" s="814"/>
      <c r="I720" s="814"/>
    </row>
    <row r="721" spans="2:9">
      <c r="B721" s="819"/>
      <c r="C721" s="814"/>
      <c r="D721" s="814"/>
      <c r="E721" s="814"/>
      <c r="F721" s="814"/>
      <c r="H721" s="814"/>
      <c r="I721" s="814"/>
    </row>
    <row r="722" spans="2:9">
      <c r="B722" s="819"/>
      <c r="C722" s="814"/>
      <c r="D722" s="814"/>
      <c r="E722" s="814"/>
      <c r="F722" s="814"/>
      <c r="H722" s="814"/>
      <c r="I722" s="814"/>
    </row>
    <row r="723" spans="2:9">
      <c r="B723" s="819"/>
      <c r="C723" s="814"/>
      <c r="D723" s="814"/>
      <c r="E723" s="814"/>
      <c r="F723" s="814"/>
      <c r="H723" s="814"/>
      <c r="I723" s="814"/>
    </row>
    <row r="724" spans="2:9">
      <c r="B724" s="819"/>
      <c r="C724" s="814"/>
      <c r="D724" s="814"/>
      <c r="E724" s="814"/>
      <c r="F724" s="814"/>
      <c r="H724" s="814"/>
      <c r="I724" s="814"/>
    </row>
    <row r="725" spans="2:9">
      <c r="B725" s="819"/>
      <c r="C725" s="814"/>
      <c r="D725" s="814"/>
      <c r="E725" s="814"/>
      <c r="F725" s="814"/>
      <c r="H725" s="814"/>
      <c r="I725" s="814"/>
    </row>
    <row r="726" spans="2:9">
      <c r="B726" s="819"/>
      <c r="C726" s="814"/>
      <c r="D726" s="814"/>
      <c r="E726" s="814"/>
      <c r="F726" s="814"/>
      <c r="H726" s="814"/>
      <c r="I726" s="814"/>
    </row>
    <row r="727" spans="2:9">
      <c r="B727" s="819"/>
      <c r="C727" s="814"/>
      <c r="D727" s="814"/>
      <c r="E727" s="814"/>
      <c r="F727" s="814"/>
      <c r="H727" s="814"/>
      <c r="I727" s="814"/>
    </row>
    <row r="728" spans="2:9">
      <c r="B728" s="819"/>
      <c r="C728" s="814"/>
      <c r="D728" s="814"/>
      <c r="E728" s="814"/>
      <c r="F728" s="814"/>
      <c r="H728" s="814"/>
      <c r="I728" s="814"/>
    </row>
    <row r="729" spans="2:9">
      <c r="B729" s="819"/>
      <c r="C729" s="814"/>
      <c r="D729" s="814"/>
      <c r="E729" s="814"/>
      <c r="F729" s="814"/>
      <c r="H729" s="814"/>
      <c r="I729" s="814"/>
    </row>
    <row r="730" spans="2:9">
      <c r="B730" s="819"/>
      <c r="C730" s="814"/>
      <c r="D730" s="814"/>
      <c r="E730" s="814"/>
      <c r="F730" s="814"/>
      <c r="H730" s="814"/>
      <c r="I730" s="814"/>
    </row>
    <row r="731" spans="2:9">
      <c r="B731" s="819"/>
      <c r="C731" s="814"/>
      <c r="D731" s="814"/>
      <c r="E731" s="814"/>
      <c r="F731" s="814"/>
      <c r="H731" s="814"/>
      <c r="I731" s="814"/>
    </row>
    <row r="732" spans="2:9">
      <c r="B732" s="819"/>
      <c r="C732" s="814"/>
      <c r="D732" s="814"/>
      <c r="E732" s="814"/>
      <c r="F732" s="814"/>
      <c r="H732" s="814"/>
      <c r="I732" s="814"/>
    </row>
    <row r="733" spans="2:9">
      <c r="B733" s="819"/>
      <c r="C733" s="814"/>
      <c r="D733" s="814"/>
      <c r="E733" s="814"/>
      <c r="F733" s="814"/>
      <c r="H733" s="814"/>
      <c r="I733" s="814"/>
    </row>
    <row r="734" spans="2:9">
      <c r="B734" s="819"/>
      <c r="C734" s="814"/>
      <c r="D734" s="814"/>
      <c r="E734" s="814"/>
      <c r="F734" s="814"/>
      <c r="H734" s="814"/>
      <c r="I734" s="814"/>
    </row>
    <row r="735" spans="2:9">
      <c r="B735" s="819"/>
      <c r="C735" s="814"/>
      <c r="D735" s="814"/>
      <c r="E735" s="814"/>
      <c r="F735" s="814"/>
      <c r="H735" s="814"/>
      <c r="I735" s="814"/>
    </row>
    <row r="736" spans="2:9">
      <c r="B736" s="819"/>
      <c r="C736" s="814"/>
      <c r="D736" s="814"/>
      <c r="E736" s="814"/>
      <c r="F736" s="814"/>
      <c r="H736" s="814"/>
      <c r="I736" s="814"/>
    </row>
    <row r="737" spans="2:9">
      <c r="B737" s="819"/>
      <c r="C737" s="814"/>
      <c r="D737" s="814"/>
      <c r="E737" s="814"/>
      <c r="F737" s="814"/>
      <c r="H737" s="814"/>
      <c r="I737" s="814"/>
    </row>
    <row r="738" spans="2:9">
      <c r="B738" s="819"/>
      <c r="C738" s="814"/>
      <c r="D738" s="814"/>
      <c r="E738" s="814"/>
      <c r="F738" s="814"/>
      <c r="H738" s="814"/>
      <c r="I738" s="814"/>
    </row>
    <row r="739" spans="2:9">
      <c r="B739" s="819"/>
      <c r="C739" s="814"/>
      <c r="D739" s="814"/>
      <c r="E739" s="814"/>
      <c r="F739" s="814"/>
      <c r="H739" s="814"/>
      <c r="I739" s="814"/>
    </row>
    <row r="740" spans="2:9">
      <c r="B740" s="819"/>
      <c r="C740" s="814"/>
      <c r="D740" s="814"/>
      <c r="E740" s="814"/>
      <c r="F740" s="814"/>
      <c r="H740" s="814"/>
      <c r="I740" s="814"/>
    </row>
    <row r="741" spans="2:9">
      <c r="B741" s="819"/>
      <c r="C741" s="814"/>
      <c r="D741" s="814"/>
      <c r="E741" s="814"/>
      <c r="F741" s="814"/>
      <c r="H741" s="814"/>
      <c r="I741" s="814"/>
    </row>
    <row r="742" spans="2:9">
      <c r="B742" s="819"/>
      <c r="C742" s="814"/>
      <c r="D742" s="814"/>
      <c r="E742" s="814"/>
      <c r="F742" s="814"/>
      <c r="H742" s="814"/>
      <c r="I742" s="814"/>
    </row>
    <row r="743" spans="2:9">
      <c r="B743" s="819"/>
      <c r="C743" s="814"/>
      <c r="D743" s="814"/>
      <c r="E743" s="814"/>
      <c r="F743" s="814"/>
      <c r="H743" s="814"/>
      <c r="I743" s="814"/>
    </row>
    <row r="744" spans="2:9">
      <c r="B744" s="819"/>
      <c r="C744" s="814"/>
      <c r="D744" s="814"/>
      <c r="E744" s="814"/>
      <c r="F744" s="814"/>
      <c r="H744" s="814"/>
      <c r="I744" s="814"/>
    </row>
    <row r="745" spans="2:9">
      <c r="B745" s="819"/>
      <c r="C745" s="814"/>
      <c r="D745" s="814"/>
      <c r="E745" s="814"/>
      <c r="F745" s="814"/>
      <c r="H745" s="814"/>
      <c r="I745" s="814"/>
    </row>
    <row r="746" spans="2:9">
      <c r="B746" s="819"/>
      <c r="C746" s="814"/>
      <c r="D746" s="814"/>
      <c r="E746" s="814"/>
      <c r="F746" s="814"/>
      <c r="H746" s="814"/>
      <c r="I746" s="814"/>
    </row>
    <row r="747" spans="2:9">
      <c r="B747" s="819"/>
      <c r="C747" s="814"/>
      <c r="D747" s="814"/>
      <c r="E747" s="814"/>
      <c r="F747" s="814"/>
      <c r="H747" s="814"/>
      <c r="I747" s="814"/>
    </row>
    <row r="748" spans="2:9">
      <c r="B748" s="819"/>
      <c r="C748" s="814"/>
      <c r="D748" s="814"/>
      <c r="E748" s="814"/>
      <c r="F748" s="814"/>
      <c r="H748" s="814"/>
      <c r="I748" s="814"/>
    </row>
    <row r="749" spans="2:9">
      <c r="B749" s="819"/>
      <c r="C749" s="814"/>
      <c r="D749" s="814"/>
      <c r="E749" s="814"/>
      <c r="F749" s="814"/>
      <c r="H749" s="814"/>
      <c r="I749" s="814"/>
    </row>
    <row r="750" spans="2:9">
      <c r="B750" s="819"/>
      <c r="C750" s="814"/>
      <c r="D750" s="814"/>
      <c r="E750" s="814"/>
      <c r="F750" s="814"/>
      <c r="H750" s="814"/>
      <c r="I750" s="814"/>
    </row>
    <row r="751" spans="2:9">
      <c r="B751" s="819"/>
      <c r="C751" s="814"/>
      <c r="D751" s="814"/>
      <c r="E751" s="814"/>
      <c r="F751" s="814"/>
      <c r="H751" s="814"/>
      <c r="I751" s="814"/>
    </row>
    <row r="752" spans="2:9">
      <c r="B752" s="819"/>
      <c r="C752" s="814"/>
      <c r="D752" s="814"/>
      <c r="E752" s="814"/>
      <c r="F752" s="814"/>
      <c r="H752" s="814"/>
      <c r="I752" s="814"/>
    </row>
    <row r="753" spans="2:9">
      <c r="B753" s="819"/>
      <c r="C753" s="814"/>
      <c r="D753" s="814"/>
      <c r="E753" s="814"/>
      <c r="F753" s="814"/>
      <c r="H753" s="814"/>
      <c r="I753" s="814"/>
    </row>
    <row r="754" spans="2:9">
      <c r="B754" s="819"/>
      <c r="C754" s="814"/>
      <c r="D754" s="814"/>
      <c r="E754" s="814"/>
      <c r="F754" s="814"/>
      <c r="H754" s="814"/>
      <c r="I754" s="814"/>
    </row>
    <row r="755" spans="2:9">
      <c r="B755" s="819"/>
      <c r="C755" s="814"/>
      <c r="D755" s="814"/>
      <c r="E755" s="814"/>
      <c r="F755" s="814"/>
      <c r="H755" s="814"/>
      <c r="I755" s="814"/>
    </row>
    <row r="756" spans="2:9">
      <c r="B756" s="819"/>
      <c r="C756" s="814"/>
      <c r="D756" s="814"/>
      <c r="E756" s="814"/>
      <c r="F756" s="814"/>
      <c r="H756" s="814"/>
      <c r="I756" s="814"/>
    </row>
    <row r="757" spans="2:9">
      <c r="B757" s="819"/>
      <c r="C757" s="814"/>
      <c r="D757" s="814"/>
      <c r="E757" s="814"/>
      <c r="F757" s="814"/>
      <c r="H757" s="814"/>
      <c r="I757" s="814"/>
    </row>
    <row r="758" spans="2:9">
      <c r="B758" s="819"/>
      <c r="C758" s="814"/>
      <c r="D758" s="814"/>
      <c r="E758" s="814"/>
      <c r="F758" s="814"/>
      <c r="H758" s="814"/>
      <c r="I758" s="814"/>
    </row>
    <row r="759" spans="2:9">
      <c r="B759" s="819"/>
      <c r="C759" s="814"/>
      <c r="D759" s="814"/>
      <c r="E759" s="814"/>
      <c r="F759" s="814"/>
      <c r="H759" s="814"/>
      <c r="I759" s="814"/>
    </row>
    <row r="760" spans="2:9">
      <c r="B760" s="819"/>
      <c r="C760" s="814"/>
      <c r="D760" s="814"/>
      <c r="E760" s="814"/>
      <c r="F760" s="814"/>
      <c r="H760" s="814"/>
      <c r="I760" s="814"/>
    </row>
    <row r="761" spans="2:9">
      <c r="B761" s="819"/>
      <c r="C761" s="814"/>
      <c r="D761" s="814"/>
      <c r="E761" s="814"/>
      <c r="F761" s="814"/>
      <c r="H761" s="814"/>
      <c r="I761" s="814"/>
    </row>
    <row r="762" spans="2:9">
      <c r="B762" s="819"/>
      <c r="C762" s="814"/>
      <c r="D762" s="814"/>
      <c r="E762" s="814"/>
      <c r="F762" s="814"/>
      <c r="H762" s="814"/>
      <c r="I762" s="814"/>
    </row>
    <row r="763" spans="2:9">
      <c r="B763" s="819"/>
      <c r="C763" s="814"/>
      <c r="D763" s="814"/>
      <c r="E763" s="814"/>
      <c r="F763" s="814"/>
      <c r="H763" s="814"/>
      <c r="I763" s="814"/>
    </row>
    <row r="764" spans="2:9">
      <c r="B764" s="819"/>
      <c r="C764" s="814"/>
      <c r="D764" s="814"/>
      <c r="E764" s="814"/>
      <c r="F764" s="814"/>
      <c r="H764" s="814"/>
      <c r="I764" s="814"/>
    </row>
    <row r="765" spans="2:9">
      <c r="B765" s="819"/>
      <c r="C765" s="814"/>
      <c r="D765" s="814"/>
      <c r="E765" s="814"/>
      <c r="F765" s="814"/>
      <c r="H765" s="814"/>
      <c r="I765" s="814"/>
    </row>
    <row r="766" spans="2:9">
      <c r="B766" s="819"/>
      <c r="C766" s="814"/>
      <c r="D766" s="814"/>
      <c r="E766" s="814"/>
      <c r="F766" s="814"/>
      <c r="H766" s="814"/>
      <c r="I766" s="814"/>
    </row>
    <row r="767" spans="2:9">
      <c r="B767" s="819"/>
      <c r="C767" s="814"/>
      <c r="D767" s="814"/>
      <c r="E767" s="814"/>
      <c r="F767" s="814"/>
      <c r="H767" s="814"/>
      <c r="I767" s="814"/>
    </row>
    <row r="768" spans="2:9">
      <c r="B768" s="819"/>
      <c r="C768" s="814"/>
      <c r="D768" s="814"/>
      <c r="E768" s="814"/>
      <c r="F768" s="814"/>
      <c r="H768" s="814"/>
      <c r="I768" s="814"/>
    </row>
    <row r="769" spans="2:9">
      <c r="B769" s="819"/>
      <c r="C769" s="814"/>
      <c r="D769" s="814"/>
      <c r="E769" s="814"/>
      <c r="F769" s="814"/>
      <c r="H769" s="814"/>
      <c r="I769" s="814"/>
    </row>
    <row r="770" spans="2:9">
      <c r="B770" s="819"/>
      <c r="C770" s="814"/>
      <c r="D770" s="814"/>
      <c r="E770" s="814"/>
      <c r="F770" s="814"/>
      <c r="H770" s="814"/>
      <c r="I770" s="814"/>
    </row>
    <row r="771" spans="2:9">
      <c r="B771" s="819"/>
      <c r="C771" s="814"/>
      <c r="D771" s="814"/>
      <c r="E771" s="814"/>
      <c r="F771" s="814"/>
      <c r="H771" s="814"/>
      <c r="I771" s="814"/>
    </row>
    <row r="772" spans="2:9">
      <c r="B772" s="819"/>
      <c r="C772" s="814"/>
      <c r="D772" s="814"/>
      <c r="E772" s="814"/>
      <c r="F772" s="814"/>
      <c r="H772" s="814"/>
      <c r="I772" s="814"/>
    </row>
    <row r="773" spans="2:9">
      <c r="B773" s="819"/>
      <c r="C773" s="814"/>
      <c r="D773" s="814"/>
      <c r="E773" s="814"/>
      <c r="F773" s="814"/>
      <c r="H773" s="814"/>
      <c r="I773" s="814"/>
    </row>
    <row r="774" spans="2:9">
      <c r="B774" s="819"/>
      <c r="C774" s="814"/>
      <c r="D774" s="814"/>
      <c r="E774" s="814"/>
      <c r="F774" s="814"/>
      <c r="H774" s="814"/>
      <c r="I774" s="814"/>
    </row>
    <row r="775" spans="2:9">
      <c r="B775" s="819"/>
      <c r="C775" s="814"/>
      <c r="D775" s="814"/>
      <c r="E775" s="814"/>
      <c r="F775" s="814"/>
      <c r="H775" s="814"/>
      <c r="I775" s="814"/>
    </row>
    <row r="776" spans="2:9">
      <c r="B776" s="819"/>
      <c r="C776" s="814"/>
      <c r="D776" s="814"/>
      <c r="E776" s="814"/>
      <c r="F776" s="814"/>
      <c r="H776" s="814"/>
      <c r="I776" s="814"/>
    </row>
    <row r="777" spans="2:9">
      <c r="B777" s="819"/>
      <c r="C777" s="814"/>
      <c r="D777" s="814"/>
      <c r="E777" s="814"/>
      <c r="F777" s="814"/>
      <c r="H777" s="814"/>
      <c r="I777" s="814"/>
    </row>
    <row r="778" spans="2:9">
      <c r="B778" s="819"/>
      <c r="C778" s="814"/>
      <c r="D778" s="814"/>
      <c r="E778" s="814"/>
      <c r="F778" s="814"/>
      <c r="H778" s="814"/>
      <c r="I778" s="814"/>
    </row>
    <row r="779" spans="2:9">
      <c r="B779" s="819"/>
      <c r="C779" s="814"/>
      <c r="D779" s="814"/>
      <c r="E779" s="814"/>
      <c r="F779" s="814"/>
      <c r="H779" s="814"/>
      <c r="I779" s="814"/>
    </row>
    <row r="780" spans="2:9">
      <c r="B780" s="819"/>
      <c r="C780" s="814"/>
      <c r="D780" s="814"/>
      <c r="E780" s="814"/>
      <c r="F780" s="814"/>
      <c r="H780" s="814"/>
      <c r="I780" s="814"/>
    </row>
    <row r="781" spans="2:9">
      <c r="B781" s="819"/>
      <c r="C781" s="814"/>
      <c r="D781" s="814"/>
      <c r="E781" s="814"/>
      <c r="F781" s="814"/>
      <c r="H781" s="814"/>
      <c r="I781" s="814"/>
    </row>
    <row r="782" spans="2:9">
      <c r="B782" s="819"/>
      <c r="C782" s="814"/>
      <c r="D782" s="814"/>
      <c r="E782" s="814"/>
      <c r="F782" s="814"/>
      <c r="H782" s="814"/>
      <c r="I782" s="814"/>
    </row>
    <row r="783" spans="2:9">
      <c r="B783" s="819"/>
      <c r="C783" s="814"/>
      <c r="D783" s="814"/>
      <c r="E783" s="814"/>
      <c r="F783" s="814"/>
      <c r="H783" s="814"/>
      <c r="I783" s="814"/>
    </row>
    <row r="784" spans="2:9">
      <c r="B784" s="819"/>
      <c r="C784" s="814"/>
      <c r="D784" s="814"/>
      <c r="E784" s="814"/>
      <c r="F784" s="814"/>
      <c r="H784" s="814"/>
      <c r="I784" s="814"/>
    </row>
    <row r="785" spans="2:9">
      <c r="B785" s="819"/>
      <c r="C785" s="814"/>
      <c r="D785" s="814"/>
      <c r="E785" s="814"/>
      <c r="F785" s="814"/>
      <c r="H785" s="814"/>
      <c r="I785" s="814"/>
    </row>
    <row r="786" spans="2:9">
      <c r="B786" s="819"/>
      <c r="C786" s="814"/>
      <c r="D786" s="814"/>
      <c r="E786" s="814"/>
      <c r="F786" s="814"/>
      <c r="H786" s="814"/>
      <c r="I786" s="814"/>
    </row>
    <row r="787" spans="2:9">
      <c r="B787" s="819"/>
      <c r="C787" s="814"/>
      <c r="D787" s="814"/>
      <c r="E787" s="814"/>
      <c r="F787" s="814"/>
      <c r="H787" s="814"/>
      <c r="I787" s="814"/>
    </row>
    <row r="788" spans="2:9">
      <c r="B788" s="819"/>
      <c r="C788" s="814"/>
      <c r="D788" s="814"/>
      <c r="E788" s="814"/>
      <c r="F788" s="814"/>
      <c r="H788" s="814"/>
      <c r="I788" s="814"/>
    </row>
    <row r="789" spans="2:9">
      <c r="B789" s="819"/>
      <c r="C789" s="814"/>
      <c r="D789" s="814"/>
      <c r="E789" s="814"/>
      <c r="F789" s="814"/>
      <c r="H789" s="814"/>
      <c r="I789" s="814"/>
    </row>
    <row r="790" spans="2:9">
      <c r="B790" s="819"/>
      <c r="C790" s="814"/>
      <c r="D790" s="814"/>
      <c r="E790" s="814"/>
      <c r="F790" s="814"/>
      <c r="H790" s="814"/>
      <c r="I790" s="814"/>
    </row>
    <row r="791" spans="2:9">
      <c r="B791" s="819"/>
      <c r="C791" s="814"/>
      <c r="D791" s="814"/>
      <c r="E791" s="814"/>
      <c r="F791" s="814"/>
      <c r="H791" s="814"/>
      <c r="I791" s="814"/>
    </row>
    <row r="792" spans="2:9">
      <c r="B792" s="819"/>
      <c r="C792" s="814"/>
      <c r="D792" s="814"/>
      <c r="E792" s="814"/>
      <c r="F792" s="814"/>
      <c r="H792" s="814"/>
      <c r="I792" s="814"/>
    </row>
    <row r="793" spans="2:9">
      <c r="B793" s="819"/>
      <c r="C793" s="814"/>
      <c r="D793" s="814"/>
      <c r="E793" s="814"/>
      <c r="F793" s="814"/>
      <c r="H793" s="814"/>
      <c r="I793" s="814"/>
    </row>
    <row r="794" spans="2:9">
      <c r="B794" s="819"/>
      <c r="C794" s="814"/>
      <c r="D794" s="814"/>
      <c r="E794" s="814"/>
      <c r="F794" s="814"/>
      <c r="H794" s="814"/>
      <c r="I794" s="814"/>
    </row>
    <row r="795" spans="2:9">
      <c r="B795" s="819"/>
      <c r="C795" s="814"/>
      <c r="D795" s="814"/>
      <c r="E795" s="814"/>
      <c r="F795" s="814"/>
      <c r="H795" s="814"/>
      <c r="I795" s="814"/>
    </row>
    <row r="796" spans="2:9">
      <c r="B796" s="819"/>
      <c r="C796" s="814"/>
      <c r="D796" s="814"/>
      <c r="E796" s="814"/>
      <c r="F796" s="814"/>
      <c r="H796" s="814"/>
      <c r="I796" s="814"/>
    </row>
    <row r="797" spans="2:9">
      <c r="B797" s="819"/>
      <c r="C797" s="814"/>
      <c r="D797" s="814"/>
      <c r="E797" s="814"/>
      <c r="F797" s="814"/>
      <c r="H797" s="814"/>
      <c r="I797" s="814"/>
    </row>
    <row r="798" spans="2:9">
      <c r="B798" s="819"/>
      <c r="C798" s="814"/>
      <c r="D798" s="814"/>
      <c r="E798" s="814"/>
      <c r="F798" s="814"/>
      <c r="H798" s="814"/>
      <c r="I798" s="814"/>
    </row>
    <row r="799" spans="2:9">
      <c r="B799" s="819"/>
      <c r="C799" s="814"/>
      <c r="D799" s="814"/>
      <c r="E799" s="814"/>
      <c r="F799" s="814"/>
      <c r="H799" s="814"/>
      <c r="I799" s="814"/>
    </row>
    <row r="800" spans="2:9">
      <c r="B800" s="819"/>
      <c r="C800" s="814"/>
      <c r="D800" s="814"/>
      <c r="E800" s="814"/>
      <c r="F800" s="814"/>
      <c r="H800" s="814"/>
      <c r="I800" s="814"/>
    </row>
    <row r="801" spans="2:9">
      <c r="B801" s="819"/>
      <c r="C801" s="814"/>
      <c r="D801" s="814"/>
      <c r="E801" s="814"/>
      <c r="F801" s="814"/>
      <c r="H801" s="814"/>
      <c r="I801" s="814"/>
    </row>
    <row r="802" spans="2:9">
      <c r="B802" s="819"/>
      <c r="C802" s="814"/>
      <c r="D802" s="814"/>
      <c r="E802" s="814"/>
      <c r="F802" s="814"/>
      <c r="H802" s="814"/>
      <c r="I802" s="814"/>
    </row>
    <row r="803" spans="2:9">
      <c r="B803" s="819"/>
      <c r="C803" s="814"/>
      <c r="D803" s="814"/>
      <c r="E803" s="814"/>
      <c r="F803" s="814"/>
      <c r="H803" s="814"/>
      <c r="I803" s="814"/>
    </row>
    <row r="804" spans="2:9">
      <c r="B804" s="819"/>
      <c r="C804" s="814"/>
      <c r="D804" s="814"/>
      <c r="E804" s="814"/>
      <c r="F804" s="814"/>
      <c r="H804" s="814"/>
      <c r="I804" s="814"/>
    </row>
    <row r="805" spans="2:9">
      <c r="B805" s="819"/>
      <c r="C805" s="814"/>
      <c r="D805" s="814"/>
      <c r="E805" s="814"/>
      <c r="F805" s="814"/>
      <c r="H805" s="814"/>
      <c r="I805" s="814"/>
    </row>
    <row r="806" spans="2:9">
      <c r="B806" s="819"/>
      <c r="C806" s="814"/>
      <c r="D806" s="814"/>
      <c r="E806" s="814"/>
      <c r="F806" s="814"/>
      <c r="H806" s="814"/>
      <c r="I806" s="814"/>
    </row>
    <row r="807" spans="2:9">
      <c r="B807" s="819"/>
      <c r="C807" s="814"/>
      <c r="D807" s="814"/>
      <c r="E807" s="814"/>
      <c r="F807" s="814"/>
      <c r="H807" s="814"/>
      <c r="I807" s="814"/>
    </row>
    <row r="808" spans="2:9">
      <c r="B808" s="819"/>
      <c r="C808" s="814"/>
      <c r="D808" s="814"/>
      <c r="E808" s="814"/>
      <c r="F808" s="814"/>
      <c r="H808" s="814"/>
      <c r="I808" s="814"/>
    </row>
    <row r="809" spans="2:9">
      <c r="B809" s="819"/>
      <c r="C809" s="814"/>
      <c r="D809" s="814"/>
      <c r="E809" s="814"/>
      <c r="F809" s="814"/>
      <c r="H809" s="814"/>
      <c r="I809" s="814"/>
    </row>
    <row r="810" spans="2:9">
      <c r="B810" s="819"/>
      <c r="C810" s="814"/>
      <c r="D810" s="814"/>
      <c r="E810" s="814"/>
      <c r="F810" s="814"/>
      <c r="H810" s="814"/>
      <c r="I810" s="814"/>
    </row>
    <row r="811" spans="2:9">
      <c r="B811" s="819"/>
      <c r="C811" s="814"/>
      <c r="D811" s="814"/>
      <c r="E811" s="814"/>
      <c r="F811" s="814"/>
      <c r="H811" s="814"/>
      <c r="I811" s="814"/>
    </row>
    <row r="812" spans="2:9">
      <c r="B812" s="819"/>
      <c r="C812" s="814"/>
      <c r="D812" s="814"/>
      <c r="E812" s="814"/>
      <c r="F812" s="814"/>
      <c r="H812" s="814"/>
      <c r="I812" s="814"/>
    </row>
    <row r="813" spans="2:9">
      <c r="B813" s="819"/>
      <c r="C813" s="814"/>
      <c r="D813" s="814"/>
      <c r="E813" s="814"/>
      <c r="F813" s="814"/>
      <c r="H813" s="814"/>
      <c r="I813" s="814"/>
    </row>
    <row r="814" spans="2:9">
      <c r="B814" s="819"/>
      <c r="C814" s="814"/>
      <c r="D814" s="814"/>
      <c r="E814" s="814"/>
      <c r="F814" s="814"/>
      <c r="H814" s="814"/>
      <c r="I814" s="814"/>
    </row>
    <row r="815" spans="2:9">
      <c r="B815" s="819"/>
      <c r="C815" s="814"/>
      <c r="D815" s="814"/>
      <c r="E815" s="814"/>
      <c r="F815" s="814"/>
      <c r="H815" s="814"/>
      <c r="I815" s="814"/>
    </row>
    <row r="816" spans="2:9">
      <c r="B816" s="819"/>
      <c r="C816" s="814"/>
      <c r="D816" s="814"/>
      <c r="E816" s="814"/>
      <c r="F816" s="814"/>
      <c r="H816" s="814"/>
      <c r="I816" s="814"/>
    </row>
    <row r="817" spans="2:9">
      <c r="B817" s="819"/>
      <c r="C817" s="814"/>
      <c r="D817" s="814"/>
      <c r="E817" s="814"/>
      <c r="F817" s="814"/>
      <c r="H817" s="814"/>
      <c r="I817" s="814"/>
    </row>
    <row r="818" spans="2:9">
      <c r="B818" s="819"/>
      <c r="C818" s="814"/>
      <c r="D818" s="814"/>
      <c r="E818" s="814"/>
      <c r="F818" s="814"/>
      <c r="H818" s="814"/>
      <c r="I818" s="814"/>
    </row>
    <row r="819" spans="2:9">
      <c r="B819" s="819"/>
      <c r="C819" s="814"/>
      <c r="D819" s="814"/>
      <c r="E819" s="814"/>
      <c r="F819" s="814"/>
      <c r="H819" s="814"/>
      <c r="I819" s="814"/>
    </row>
    <row r="820" spans="2:9">
      <c r="B820" s="819"/>
      <c r="C820" s="814"/>
      <c r="D820" s="814"/>
      <c r="E820" s="814"/>
      <c r="F820" s="814"/>
      <c r="H820" s="814"/>
      <c r="I820" s="814"/>
    </row>
    <row r="821" spans="2:9">
      <c r="B821" s="819"/>
      <c r="C821" s="814"/>
      <c r="D821" s="814"/>
      <c r="E821" s="814"/>
      <c r="F821" s="814"/>
      <c r="H821" s="814"/>
      <c r="I821" s="814"/>
    </row>
    <row r="822" spans="2:9">
      <c r="B822" s="819"/>
      <c r="C822" s="814"/>
      <c r="D822" s="814"/>
      <c r="E822" s="814"/>
      <c r="F822" s="814"/>
      <c r="H822" s="814"/>
      <c r="I822" s="814"/>
    </row>
    <row r="823" spans="2:9">
      <c r="B823" s="819"/>
      <c r="C823" s="814"/>
      <c r="D823" s="814"/>
      <c r="E823" s="814"/>
      <c r="F823" s="814"/>
      <c r="H823" s="814"/>
      <c r="I823" s="814"/>
    </row>
    <row r="824" spans="2:9">
      <c r="B824" s="819"/>
      <c r="C824" s="814"/>
      <c r="D824" s="814"/>
      <c r="E824" s="814"/>
      <c r="F824" s="814"/>
      <c r="H824" s="814"/>
      <c r="I824" s="814"/>
    </row>
    <row r="825" spans="2:9">
      <c r="B825" s="819"/>
      <c r="C825" s="814"/>
      <c r="D825" s="814"/>
      <c r="E825" s="814"/>
      <c r="F825" s="814"/>
      <c r="H825" s="814"/>
      <c r="I825" s="814"/>
    </row>
    <row r="826" spans="2:9">
      <c r="B826" s="819"/>
      <c r="C826" s="814"/>
      <c r="D826" s="814"/>
      <c r="E826" s="814"/>
      <c r="F826" s="814"/>
      <c r="H826" s="814"/>
      <c r="I826" s="814"/>
    </row>
    <row r="827" spans="2:9">
      <c r="B827" s="819"/>
      <c r="C827" s="814"/>
      <c r="D827" s="814"/>
      <c r="E827" s="814"/>
      <c r="F827" s="814"/>
      <c r="H827" s="814"/>
      <c r="I827" s="814"/>
    </row>
    <row r="828" spans="2:9">
      <c r="B828" s="819"/>
      <c r="C828" s="814"/>
      <c r="D828" s="814"/>
      <c r="E828" s="814"/>
      <c r="F828" s="814"/>
      <c r="H828" s="814"/>
      <c r="I828" s="814"/>
    </row>
    <row r="829" spans="2:9">
      <c r="B829" s="819"/>
      <c r="C829" s="814"/>
      <c r="D829" s="814"/>
      <c r="E829" s="814"/>
      <c r="F829" s="814"/>
      <c r="H829" s="814"/>
      <c r="I829" s="814"/>
    </row>
    <row r="830" spans="2:9">
      <c r="B830" s="819"/>
      <c r="C830" s="814"/>
      <c r="D830" s="814"/>
      <c r="E830" s="814"/>
      <c r="F830" s="814"/>
      <c r="H830" s="814"/>
      <c r="I830" s="814"/>
    </row>
    <row r="831" spans="2:9">
      <c r="B831" s="819"/>
      <c r="C831" s="814"/>
      <c r="D831" s="814"/>
      <c r="E831" s="814"/>
      <c r="F831" s="814"/>
      <c r="H831" s="814"/>
      <c r="I831" s="814"/>
    </row>
    <row r="832" spans="2:9">
      <c r="B832" s="819"/>
      <c r="C832" s="814"/>
      <c r="D832" s="814"/>
      <c r="E832" s="814"/>
      <c r="F832" s="814"/>
      <c r="H832" s="814"/>
      <c r="I832" s="814"/>
    </row>
    <row r="833" spans="2:9">
      <c r="B833" s="819"/>
      <c r="C833" s="814"/>
      <c r="D833" s="814"/>
      <c r="E833" s="814"/>
      <c r="F833" s="814"/>
      <c r="H833" s="814"/>
      <c r="I833" s="814"/>
    </row>
    <row r="834" spans="2:9">
      <c r="B834" s="819"/>
      <c r="C834" s="814"/>
      <c r="D834" s="814"/>
      <c r="E834" s="814"/>
      <c r="F834" s="814"/>
      <c r="H834" s="814"/>
      <c r="I834" s="814"/>
    </row>
    <row r="835" spans="2:9">
      <c r="B835" s="819"/>
      <c r="C835" s="814"/>
      <c r="D835" s="814"/>
      <c r="E835" s="814"/>
      <c r="F835" s="814"/>
      <c r="H835" s="814"/>
      <c r="I835" s="814"/>
    </row>
    <row r="836" spans="2:9">
      <c r="B836" s="819"/>
      <c r="C836" s="814"/>
      <c r="D836" s="814"/>
      <c r="E836" s="814"/>
      <c r="F836" s="814"/>
      <c r="H836" s="814"/>
      <c r="I836" s="814"/>
    </row>
    <row r="837" spans="2:9">
      <c r="B837" s="819"/>
      <c r="C837" s="814"/>
      <c r="D837" s="814"/>
      <c r="E837" s="814"/>
      <c r="F837" s="814"/>
      <c r="H837" s="814"/>
      <c r="I837" s="814"/>
    </row>
    <row r="838" spans="2:9">
      <c r="B838" s="819"/>
      <c r="C838" s="814"/>
      <c r="D838" s="814"/>
      <c r="E838" s="814"/>
      <c r="F838" s="814"/>
      <c r="H838" s="814"/>
      <c r="I838" s="814"/>
    </row>
    <row r="839" spans="2:9">
      <c r="B839" s="819"/>
      <c r="C839" s="814"/>
      <c r="D839" s="814"/>
      <c r="E839" s="814"/>
      <c r="F839" s="814"/>
      <c r="H839" s="814"/>
      <c r="I839" s="814"/>
    </row>
    <row r="840" spans="2:9">
      <c r="B840" s="819"/>
      <c r="C840" s="814"/>
      <c r="D840" s="814"/>
      <c r="E840" s="814"/>
      <c r="F840" s="814"/>
      <c r="H840" s="814"/>
      <c r="I840" s="814"/>
    </row>
    <row r="841" spans="2:9">
      <c r="B841" s="819"/>
      <c r="C841" s="814"/>
      <c r="D841" s="814"/>
      <c r="E841" s="814"/>
      <c r="F841" s="814"/>
      <c r="H841" s="814"/>
      <c r="I841" s="814"/>
    </row>
    <row r="842" spans="2:9">
      <c r="B842" s="819"/>
      <c r="C842" s="814"/>
      <c r="D842" s="814"/>
      <c r="E842" s="814"/>
      <c r="F842" s="814"/>
      <c r="H842" s="814"/>
      <c r="I842" s="814"/>
    </row>
    <row r="843" spans="2:9">
      <c r="B843" s="819"/>
      <c r="C843" s="814"/>
      <c r="D843" s="814"/>
      <c r="E843" s="814"/>
      <c r="F843" s="814"/>
      <c r="H843" s="814"/>
      <c r="I843" s="814"/>
    </row>
    <row r="844" spans="2:9">
      <c r="B844" s="819"/>
      <c r="C844" s="814"/>
      <c r="D844" s="814"/>
      <c r="E844" s="814"/>
      <c r="F844" s="814"/>
      <c r="H844" s="814"/>
      <c r="I844" s="814"/>
    </row>
    <row r="845" spans="2:9">
      <c r="B845" s="819"/>
      <c r="C845" s="814"/>
      <c r="D845" s="814"/>
      <c r="E845" s="814"/>
      <c r="F845" s="814"/>
      <c r="H845" s="814"/>
      <c r="I845" s="814"/>
    </row>
    <row r="846" spans="2:9">
      <c r="B846" s="819"/>
      <c r="C846" s="814"/>
      <c r="D846" s="814"/>
      <c r="E846" s="814"/>
      <c r="F846" s="814"/>
      <c r="H846" s="814"/>
      <c r="I846" s="814"/>
    </row>
    <row r="847" spans="2:9">
      <c r="B847" s="819"/>
      <c r="C847" s="814"/>
      <c r="D847" s="814"/>
      <c r="E847" s="814"/>
      <c r="F847" s="814"/>
      <c r="H847" s="814"/>
      <c r="I847" s="814"/>
    </row>
    <row r="848" spans="2:9">
      <c r="B848" s="819"/>
      <c r="C848" s="814"/>
      <c r="D848" s="814"/>
      <c r="E848" s="814"/>
      <c r="F848" s="814"/>
      <c r="H848" s="814"/>
      <c r="I848" s="814"/>
    </row>
    <row r="849" spans="2:9">
      <c r="B849" s="819"/>
      <c r="C849" s="814"/>
      <c r="D849" s="814"/>
      <c r="E849" s="814"/>
      <c r="F849" s="814"/>
      <c r="H849" s="814"/>
      <c r="I849" s="814"/>
    </row>
    <row r="850" spans="2:9">
      <c r="B850" s="819"/>
      <c r="C850" s="814"/>
      <c r="D850" s="814"/>
      <c r="E850" s="814"/>
      <c r="F850" s="814"/>
      <c r="H850" s="814"/>
      <c r="I850" s="814"/>
    </row>
    <row r="851" spans="2:9">
      <c r="B851" s="819"/>
      <c r="C851" s="814"/>
      <c r="D851" s="814"/>
      <c r="E851" s="814"/>
      <c r="F851" s="814"/>
      <c r="H851" s="814"/>
      <c r="I851" s="814"/>
    </row>
    <row r="852" spans="2:9">
      <c r="B852" s="819"/>
      <c r="C852" s="814"/>
      <c r="D852" s="814"/>
      <c r="E852" s="814"/>
      <c r="F852" s="814"/>
      <c r="H852" s="814"/>
      <c r="I852" s="814"/>
    </row>
    <row r="853" spans="2:9">
      <c r="B853" s="819"/>
      <c r="C853" s="814"/>
      <c r="D853" s="814"/>
      <c r="E853" s="814"/>
      <c r="F853" s="814"/>
      <c r="H853" s="814"/>
      <c r="I853" s="814"/>
    </row>
    <row r="854" spans="2:9">
      <c r="B854" s="819"/>
      <c r="C854" s="814"/>
      <c r="D854" s="814"/>
      <c r="E854" s="814"/>
      <c r="F854" s="814"/>
      <c r="H854" s="814"/>
      <c r="I854" s="814"/>
    </row>
    <row r="855" spans="2:9">
      <c r="B855" s="819"/>
      <c r="C855" s="814"/>
      <c r="D855" s="814"/>
      <c r="E855" s="814"/>
      <c r="F855" s="814"/>
      <c r="H855" s="814"/>
      <c r="I855" s="814"/>
    </row>
    <row r="856" spans="2:9">
      <c r="B856" s="819"/>
      <c r="C856" s="814"/>
      <c r="D856" s="814"/>
      <c r="E856" s="814"/>
      <c r="F856" s="814"/>
      <c r="H856" s="814"/>
      <c r="I856" s="814"/>
    </row>
    <row r="857" spans="2:9">
      <c r="B857" s="819"/>
      <c r="C857" s="814"/>
      <c r="D857" s="814"/>
      <c r="E857" s="814"/>
      <c r="F857" s="814"/>
      <c r="H857" s="814"/>
      <c r="I857" s="814"/>
    </row>
    <row r="858" spans="2:9">
      <c r="B858" s="819"/>
      <c r="C858" s="814"/>
      <c r="D858" s="814"/>
      <c r="E858" s="814"/>
      <c r="F858" s="814"/>
      <c r="H858" s="814"/>
      <c r="I858" s="814"/>
    </row>
    <row r="859" spans="2:9">
      <c r="B859" s="819"/>
      <c r="C859" s="814"/>
      <c r="D859" s="814"/>
      <c r="E859" s="814"/>
      <c r="F859" s="814"/>
      <c r="H859" s="814"/>
      <c r="I859" s="814"/>
    </row>
    <row r="860" spans="2:9">
      <c r="B860" s="819"/>
      <c r="C860" s="814"/>
      <c r="D860" s="814"/>
      <c r="E860" s="814"/>
      <c r="F860" s="814"/>
      <c r="H860" s="814"/>
      <c r="I860" s="814"/>
    </row>
    <row r="861" spans="2:9">
      <c r="B861" s="819"/>
      <c r="C861" s="814"/>
      <c r="D861" s="814"/>
      <c r="E861" s="814"/>
      <c r="F861" s="814"/>
      <c r="H861" s="814"/>
      <c r="I861" s="814"/>
    </row>
    <row r="862" spans="2:9">
      <c r="B862" s="819"/>
      <c r="C862" s="814"/>
      <c r="D862" s="814"/>
      <c r="E862" s="814"/>
      <c r="F862" s="814"/>
      <c r="H862" s="814"/>
      <c r="I862" s="814"/>
    </row>
    <row r="863" spans="2:9">
      <c r="B863" s="819"/>
      <c r="C863" s="814"/>
      <c r="D863" s="814"/>
      <c r="E863" s="814"/>
      <c r="F863" s="814"/>
      <c r="H863" s="814"/>
      <c r="I863" s="814"/>
    </row>
    <row r="864" spans="2:9">
      <c r="B864" s="819"/>
      <c r="C864" s="814"/>
      <c r="D864" s="814"/>
      <c r="E864" s="814"/>
      <c r="F864" s="814"/>
      <c r="H864" s="814"/>
      <c r="I864" s="814"/>
    </row>
    <row r="865" spans="2:9">
      <c r="B865" s="819"/>
      <c r="C865" s="814"/>
      <c r="D865" s="814"/>
      <c r="E865" s="814"/>
      <c r="F865" s="814"/>
      <c r="H865" s="814"/>
      <c r="I865" s="814"/>
    </row>
    <row r="866" spans="2:9">
      <c r="B866" s="819"/>
      <c r="C866" s="814"/>
      <c r="D866" s="814"/>
      <c r="E866" s="814"/>
      <c r="F866" s="814"/>
      <c r="H866" s="814"/>
      <c r="I866" s="814"/>
    </row>
    <row r="867" spans="2:9">
      <c r="B867" s="819"/>
      <c r="C867" s="814"/>
      <c r="D867" s="814"/>
      <c r="E867" s="814"/>
      <c r="F867" s="814"/>
      <c r="H867" s="814"/>
      <c r="I867" s="814"/>
    </row>
    <row r="868" spans="2:9">
      <c r="B868" s="819"/>
      <c r="C868" s="814"/>
      <c r="D868" s="814"/>
      <c r="E868" s="814"/>
      <c r="F868" s="814"/>
      <c r="H868" s="814"/>
      <c r="I868" s="814"/>
    </row>
    <row r="869" spans="2:9">
      <c r="B869" s="819"/>
      <c r="C869" s="814"/>
      <c r="D869" s="814"/>
      <c r="E869" s="814"/>
      <c r="F869" s="814"/>
      <c r="H869" s="814"/>
      <c r="I869" s="814"/>
    </row>
    <row r="870" spans="2:9">
      <c r="B870" s="819"/>
      <c r="C870" s="814"/>
      <c r="D870" s="814"/>
      <c r="E870" s="814"/>
      <c r="F870" s="814"/>
      <c r="H870" s="814"/>
      <c r="I870" s="814"/>
    </row>
    <row r="871" spans="2:9">
      <c r="B871" s="819"/>
      <c r="C871" s="814"/>
      <c r="D871" s="814"/>
      <c r="E871" s="814"/>
      <c r="F871" s="814"/>
      <c r="H871" s="814"/>
      <c r="I871" s="814"/>
    </row>
    <row r="872" spans="2:9">
      <c r="B872" s="819"/>
      <c r="C872" s="814"/>
      <c r="D872" s="814"/>
      <c r="E872" s="814"/>
      <c r="F872" s="814"/>
      <c r="H872" s="814"/>
      <c r="I872" s="814"/>
    </row>
    <row r="873" spans="2:9">
      <c r="B873" s="819"/>
      <c r="C873" s="814"/>
      <c r="D873" s="814"/>
      <c r="E873" s="814"/>
      <c r="F873" s="814"/>
      <c r="H873" s="814"/>
      <c r="I873" s="814"/>
    </row>
    <row r="874" spans="2:9">
      <c r="B874" s="819"/>
      <c r="C874" s="814"/>
      <c r="D874" s="814"/>
      <c r="E874" s="814"/>
      <c r="F874" s="814"/>
      <c r="H874" s="814"/>
      <c r="I874" s="814"/>
    </row>
    <row r="875" spans="2:9">
      <c r="B875" s="819"/>
      <c r="C875" s="814"/>
      <c r="D875" s="814"/>
      <c r="E875" s="814"/>
      <c r="F875" s="814"/>
      <c r="H875" s="814"/>
      <c r="I875" s="814"/>
    </row>
    <row r="876" spans="2:9">
      <c r="B876" s="819"/>
      <c r="C876" s="814"/>
      <c r="D876" s="814"/>
      <c r="E876" s="814"/>
      <c r="F876" s="814"/>
      <c r="H876" s="814"/>
      <c r="I876" s="814"/>
    </row>
    <row r="877" spans="2:9">
      <c r="B877" s="819"/>
      <c r="C877" s="814"/>
      <c r="D877" s="814"/>
      <c r="E877" s="814"/>
      <c r="F877" s="814"/>
      <c r="H877" s="814"/>
      <c r="I877" s="814"/>
    </row>
    <row r="878" spans="2:9">
      <c r="B878" s="819"/>
      <c r="C878" s="814"/>
      <c r="D878" s="814"/>
      <c r="E878" s="814"/>
      <c r="F878" s="814"/>
      <c r="H878" s="814"/>
      <c r="I878" s="814"/>
    </row>
    <row r="879" spans="2:9">
      <c r="B879" s="819"/>
      <c r="C879" s="814"/>
      <c r="D879" s="814"/>
      <c r="E879" s="814"/>
      <c r="F879" s="814"/>
      <c r="H879" s="814"/>
      <c r="I879" s="814"/>
    </row>
    <row r="880" spans="2:9">
      <c r="B880" s="819"/>
      <c r="C880" s="814"/>
      <c r="D880" s="814"/>
      <c r="E880" s="814"/>
      <c r="F880" s="814"/>
      <c r="H880" s="814"/>
      <c r="I880" s="814"/>
    </row>
    <row r="881" spans="2:9">
      <c r="B881" s="819"/>
      <c r="C881" s="814"/>
      <c r="D881" s="814"/>
      <c r="E881" s="814"/>
      <c r="F881" s="814"/>
      <c r="H881" s="814"/>
      <c r="I881" s="814"/>
    </row>
    <row r="882" spans="2:9">
      <c r="B882" s="819"/>
      <c r="C882" s="814"/>
      <c r="D882" s="814"/>
      <c r="E882" s="814"/>
      <c r="F882" s="814"/>
      <c r="H882" s="814"/>
      <c r="I882" s="814"/>
    </row>
    <row r="883" spans="2:9">
      <c r="B883" s="819"/>
      <c r="C883" s="814"/>
      <c r="D883" s="814"/>
      <c r="E883" s="814"/>
      <c r="F883" s="814"/>
      <c r="H883" s="814"/>
      <c r="I883" s="814"/>
    </row>
    <row r="884" spans="2:9">
      <c r="B884" s="819"/>
      <c r="C884" s="814"/>
      <c r="D884" s="814"/>
      <c r="E884" s="814"/>
      <c r="F884" s="814"/>
      <c r="H884" s="814"/>
      <c r="I884" s="814"/>
    </row>
    <row r="885" spans="2:9">
      <c r="B885" s="819"/>
      <c r="C885" s="814"/>
      <c r="D885" s="814"/>
      <c r="E885" s="814"/>
      <c r="F885" s="814"/>
      <c r="H885" s="814"/>
      <c r="I885" s="814"/>
    </row>
    <row r="886" spans="2:9">
      <c r="B886" s="819"/>
      <c r="C886" s="814"/>
      <c r="D886" s="814"/>
      <c r="E886" s="814"/>
      <c r="F886" s="814"/>
      <c r="H886" s="814"/>
      <c r="I886" s="814"/>
    </row>
    <row r="887" spans="2:9">
      <c r="B887" s="819"/>
      <c r="C887" s="814"/>
      <c r="D887" s="814"/>
      <c r="E887" s="814"/>
      <c r="F887" s="814"/>
      <c r="H887" s="814"/>
      <c r="I887" s="814"/>
    </row>
    <row r="888" spans="2:9">
      <c r="B888" s="819"/>
      <c r="C888" s="814"/>
      <c r="D888" s="814"/>
      <c r="E888" s="814"/>
      <c r="F888" s="814"/>
      <c r="H888" s="814"/>
      <c r="I888" s="814"/>
    </row>
    <row r="889" spans="2:9">
      <c r="B889" s="819"/>
      <c r="C889" s="814"/>
      <c r="D889" s="814"/>
      <c r="E889" s="814"/>
      <c r="F889" s="814"/>
      <c r="H889" s="814"/>
      <c r="I889" s="814"/>
    </row>
    <row r="890" spans="2:9">
      <c r="B890" s="819"/>
      <c r="C890" s="814"/>
      <c r="D890" s="814"/>
      <c r="E890" s="814"/>
      <c r="F890" s="814"/>
      <c r="H890" s="814"/>
      <c r="I890" s="814"/>
    </row>
    <row r="891" spans="2:9">
      <c r="B891" s="819"/>
      <c r="C891" s="814"/>
      <c r="D891" s="814"/>
      <c r="E891" s="814"/>
      <c r="F891" s="814"/>
      <c r="H891" s="814"/>
      <c r="I891" s="814"/>
    </row>
    <row r="892" spans="2:9">
      <c r="B892" s="819"/>
      <c r="C892" s="814"/>
      <c r="D892" s="814"/>
      <c r="E892" s="814"/>
      <c r="F892" s="814"/>
      <c r="H892" s="814"/>
      <c r="I892" s="814"/>
    </row>
    <row r="893" spans="2:9">
      <c r="B893" s="819"/>
      <c r="C893" s="814"/>
      <c r="D893" s="814"/>
      <c r="E893" s="814"/>
      <c r="F893" s="814"/>
      <c r="H893" s="814"/>
      <c r="I893" s="814"/>
    </row>
    <row r="894" spans="2:9">
      <c r="B894" s="819"/>
      <c r="C894" s="814"/>
      <c r="D894" s="814"/>
      <c r="E894" s="814"/>
      <c r="F894" s="814"/>
      <c r="H894" s="814"/>
      <c r="I894" s="814"/>
    </row>
    <row r="895" spans="2:9">
      <c r="B895" s="819"/>
      <c r="C895" s="814"/>
      <c r="D895" s="814"/>
      <c r="E895" s="814"/>
      <c r="F895" s="814"/>
      <c r="H895" s="814"/>
      <c r="I895" s="814"/>
    </row>
    <row r="896" spans="2:9">
      <c r="B896" s="819"/>
      <c r="C896" s="814"/>
      <c r="D896" s="814"/>
      <c r="E896" s="814"/>
      <c r="F896" s="814"/>
      <c r="H896" s="814"/>
      <c r="I896" s="814"/>
    </row>
    <row r="897" spans="2:9">
      <c r="B897" s="819"/>
      <c r="C897" s="814"/>
      <c r="D897" s="814"/>
      <c r="E897" s="814"/>
      <c r="F897" s="814"/>
      <c r="H897" s="814"/>
      <c r="I897" s="814"/>
    </row>
    <row r="898" spans="2:9">
      <c r="B898" s="819"/>
      <c r="C898" s="814"/>
      <c r="D898" s="814"/>
      <c r="E898" s="814"/>
      <c r="F898" s="814"/>
      <c r="H898" s="814"/>
      <c r="I898" s="814"/>
    </row>
    <row r="899" spans="2:9">
      <c r="B899" s="819"/>
      <c r="C899" s="814"/>
      <c r="D899" s="814"/>
      <c r="E899" s="814"/>
      <c r="F899" s="814"/>
      <c r="H899" s="814"/>
      <c r="I899" s="814"/>
    </row>
    <row r="900" spans="2:9">
      <c r="B900" s="819"/>
      <c r="C900" s="814"/>
      <c r="D900" s="814"/>
      <c r="E900" s="814"/>
      <c r="F900" s="814"/>
      <c r="H900" s="814"/>
      <c r="I900" s="814"/>
    </row>
    <row r="901" spans="2:9">
      <c r="B901" s="819"/>
      <c r="C901" s="814"/>
      <c r="D901" s="814"/>
      <c r="E901" s="814"/>
      <c r="F901" s="814"/>
      <c r="H901" s="814"/>
      <c r="I901" s="814"/>
    </row>
    <row r="902" spans="2:9">
      <c r="B902" s="819"/>
      <c r="C902" s="814"/>
      <c r="D902" s="814"/>
      <c r="E902" s="814"/>
      <c r="F902" s="814"/>
      <c r="H902" s="814"/>
      <c r="I902" s="814"/>
    </row>
    <row r="903" spans="2:9">
      <c r="B903" s="819"/>
      <c r="C903" s="814"/>
      <c r="D903" s="814"/>
      <c r="E903" s="814"/>
      <c r="F903" s="814"/>
      <c r="H903" s="814"/>
      <c r="I903" s="814"/>
    </row>
    <row r="904" spans="2:9">
      <c r="B904" s="819"/>
      <c r="C904" s="814"/>
      <c r="D904" s="814"/>
      <c r="E904" s="814"/>
      <c r="F904" s="814"/>
      <c r="H904" s="814"/>
      <c r="I904" s="814"/>
    </row>
    <row r="905" spans="2:9">
      <c r="B905" s="819"/>
      <c r="C905" s="814"/>
      <c r="D905" s="814"/>
      <c r="E905" s="814"/>
      <c r="F905" s="814"/>
      <c r="H905" s="814"/>
      <c r="I905" s="814"/>
    </row>
    <row r="906" spans="2:9">
      <c r="B906" s="819"/>
      <c r="C906" s="814"/>
      <c r="D906" s="814"/>
      <c r="E906" s="814"/>
      <c r="F906" s="814"/>
      <c r="H906" s="814"/>
      <c r="I906" s="814"/>
    </row>
    <row r="907" spans="2:9">
      <c r="B907" s="819"/>
      <c r="C907" s="814"/>
      <c r="D907" s="814"/>
      <c r="E907" s="814"/>
      <c r="F907" s="814"/>
      <c r="H907" s="814"/>
      <c r="I907" s="814"/>
    </row>
    <row r="908" spans="2:9">
      <c r="B908" s="819"/>
      <c r="C908" s="814"/>
      <c r="D908" s="814"/>
      <c r="E908" s="814"/>
      <c r="F908" s="814"/>
      <c r="H908" s="814"/>
      <c r="I908" s="814"/>
    </row>
    <row r="909" spans="2:9">
      <c r="B909" s="819"/>
      <c r="C909" s="814"/>
      <c r="D909" s="814"/>
      <c r="E909" s="814"/>
      <c r="F909" s="814"/>
      <c r="H909" s="814"/>
      <c r="I909" s="814"/>
    </row>
    <row r="910" spans="2:9">
      <c r="B910" s="819"/>
      <c r="C910" s="814"/>
      <c r="D910" s="814"/>
      <c r="E910" s="814"/>
      <c r="F910" s="814"/>
      <c r="H910" s="814"/>
      <c r="I910" s="814"/>
    </row>
    <row r="911" spans="2:9">
      <c r="B911" s="819"/>
      <c r="C911" s="814"/>
      <c r="D911" s="814"/>
      <c r="E911" s="814"/>
      <c r="F911" s="814"/>
      <c r="H911" s="814"/>
      <c r="I911" s="814"/>
    </row>
    <row r="912" spans="2:9">
      <c r="B912" s="819"/>
      <c r="C912" s="814"/>
      <c r="D912" s="814"/>
      <c r="E912" s="814"/>
      <c r="F912" s="814"/>
      <c r="H912" s="814"/>
      <c r="I912" s="814"/>
    </row>
    <row r="913" spans="2:9">
      <c r="B913" s="819"/>
      <c r="C913" s="814"/>
      <c r="D913" s="814"/>
      <c r="E913" s="814"/>
      <c r="F913" s="814"/>
      <c r="H913" s="814"/>
      <c r="I913" s="814"/>
    </row>
    <row r="914" spans="2:9">
      <c r="B914" s="819"/>
      <c r="C914" s="814"/>
      <c r="D914" s="814"/>
      <c r="E914" s="814"/>
      <c r="F914" s="814"/>
      <c r="H914" s="814"/>
      <c r="I914" s="814"/>
    </row>
    <row r="915" spans="2:9">
      <c r="B915" s="819"/>
      <c r="C915" s="814"/>
      <c r="D915" s="814"/>
      <c r="E915" s="814"/>
      <c r="F915" s="814"/>
      <c r="H915" s="814"/>
      <c r="I915" s="814"/>
    </row>
    <row r="916" spans="2:9">
      <c r="B916" s="819"/>
      <c r="C916" s="814"/>
      <c r="D916" s="814"/>
      <c r="E916" s="814"/>
      <c r="F916" s="814"/>
      <c r="H916" s="814"/>
      <c r="I916" s="814"/>
    </row>
    <row r="917" spans="2:9">
      <c r="B917" s="819"/>
      <c r="C917" s="814"/>
      <c r="D917" s="814"/>
      <c r="E917" s="814"/>
      <c r="F917" s="814"/>
      <c r="H917" s="814"/>
      <c r="I917" s="814"/>
    </row>
    <row r="918" spans="2:9">
      <c r="B918" s="819"/>
      <c r="C918" s="814"/>
      <c r="D918" s="814"/>
      <c r="E918" s="814"/>
      <c r="F918" s="814"/>
      <c r="H918" s="814"/>
      <c r="I918" s="814"/>
    </row>
    <row r="919" spans="2:9">
      <c r="B919" s="819"/>
      <c r="C919" s="814"/>
      <c r="D919" s="814"/>
      <c r="E919" s="814"/>
      <c r="F919" s="814"/>
      <c r="H919" s="814"/>
      <c r="I919" s="814"/>
    </row>
    <row r="920" spans="2:9">
      <c r="B920" s="819"/>
      <c r="C920" s="814"/>
      <c r="D920" s="814"/>
      <c r="E920" s="814"/>
      <c r="F920" s="814"/>
      <c r="H920" s="814"/>
      <c r="I920" s="814"/>
    </row>
    <row r="921" spans="2:9">
      <c r="B921" s="819"/>
      <c r="C921" s="814"/>
      <c r="D921" s="814"/>
      <c r="E921" s="814"/>
      <c r="F921" s="814"/>
      <c r="H921" s="814"/>
      <c r="I921" s="814"/>
    </row>
    <row r="922" spans="2:9">
      <c r="B922" s="819"/>
      <c r="C922" s="814"/>
      <c r="D922" s="814"/>
      <c r="E922" s="814"/>
      <c r="F922" s="814"/>
      <c r="H922" s="814"/>
      <c r="I922" s="814"/>
    </row>
    <row r="923" spans="2:9">
      <c r="B923" s="819"/>
      <c r="C923" s="814"/>
      <c r="D923" s="814"/>
      <c r="E923" s="814"/>
      <c r="F923" s="814"/>
      <c r="H923" s="814"/>
      <c r="I923" s="814"/>
    </row>
    <row r="924" spans="2:9">
      <c r="B924" s="819"/>
      <c r="C924" s="814"/>
      <c r="D924" s="814"/>
      <c r="E924" s="814"/>
      <c r="F924" s="814"/>
      <c r="H924" s="814"/>
      <c r="I924" s="814"/>
    </row>
    <row r="925" spans="2:9">
      <c r="B925" s="819"/>
      <c r="C925" s="814"/>
      <c r="D925" s="814"/>
      <c r="E925" s="814"/>
      <c r="F925" s="814"/>
      <c r="H925" s="814"/>
      <c r="I925" s="814"/>
    </row>
    <row r="926" spans="2:9">
      <c r="B926" s="819"/>
      <c r="C926" s="814"/>
      <c r="D926" s="814"/>
      <c r="E926" s="814"/>
      <c r="F926" s="814"/>
      <c r="H926" s="814"/>
      <c r="I926" s="814"/>
    </row>
    <row r="927" spans="2:9">
      <c r="B927" s="819"/>
      <c r="C927" s="814"/>
      <c r="D927" s="814"/>
      <c r="E927" s="814"/>
      <c r="F927" s="814"/>
      <c r="H927" s="814"/>
      <c r="I927" s="814"/>
    </row>
    <row r="928" spans="2:9">
      <c r="B928" s="819"/>
      <c r="C928" s="814"/>
      <c r="D928" s="814"/>
      <c r="E928" s="814"/>
      <c r="F928" s="814"/>
      <c r="H928" s="814"/>
      <c r="I928" s="814"/>
    </row>
    <row r="929" spans="2:9">
      <c r="B929" s="819"/>
      <c r="C929" s="814"/>
      <c r="D929" s="814"/>
      <c r="E929" s="814"/>
      <c r="F929" s="814"/>
      <c r="H929" s="814"/>
      <c r="I929" s="814"/>
    </row>
    <row r="930" spans="2:9">
      <c r="B930" s="819"/>
      <c r="C930" s="814"/>
      <c r="D930" s="814"/>
      <c r="E930" s="814"/>
      <c r="F930" s="814"/>
      <c r="H930" s="814"/>
      <c r="I930" s="814"/>
    </row>
    <row r="931" spans="2:9">
      <c r="B931" s="819"/>
      <c r="C931" s="814"/>
      <c r="D931" s="814"/>
      <c r="E931" s="814"/>
      <c r="F931" s="814"/>
      <c r="H931" s="814"/>
      <c r="I931" s="814"/>
    </row>
    <row r="932" spans="2:9">
      <c r="B932" s="819"/>
      <c r="C932" s="814"/>
      <c r="D932" s="814"/>
      <c r="E932" s="814"/>
      <c r="F932" s="814"/>
      <c r="H932" s="814"/>
      <c r="I932" s="814"/>
    </row>
    <row r="933" spans="2:9">
      <c r="B933" s="819"/>
      <c r="C933" s="814"/>
      <c r="D933" s="814"/>
      <c r="E933" s="814"/>
      <c r="F933" s="814"/>
      <c r="H933" s="814"/>
      <c r="I933" s="814"/>
    </row>
    <row r="934" spans="2:9">
      <c r="B934" s="819"/>
      <c r="C934" s="814"/>
      <c r="D934" s="814"/>
      <c r="E934" s="814"/>
      <c r="F934" s="814"/>
      <c r="H934" s="814"/>
      <c r="I934" s="814"/>
    </row>
    <row r="935" spans="2:9">
      <c r="B935" s="819"/>
      <c r="C935" s="814"/>
      <c r="D935" s="814"/>
      <c r="E935" s="814"/>
      <c r="F935" s="814"/>
      <c r="H935" s="814"/>
      <c r="I935" s="814"/>
    </row>
    <row r="936" spans="2:9">
      <c r="B936" s="819"/>
      <c r="C936" s="814"/>
      <c r="D936" s="814"/>
      <c r="E936" s="814"/>
      <c r="F936" s="814"/>
      <c r="H936" s="814"/>
      <c r="I936" s="814"/>
    </row>
    <row r="937" spans="2:9">
      <c r="B937" s="819"/>
      <c r="C937" s="814"/>
      <c r="D937" s="814"/>
      <c r="E937" s="814"/>
      <c r="F937" s="814"/>
      <c r="H937" s="814"/>
      <c r="I937" s="814"/>
    </row>
    <row r="938" spans="2:9">
      <c r="B938" s="819"/>
      <c r="C938" s="814"/>
      <c r="D938" s="814"/>
      <c r="E938" s="814"/>
      <c r="F938" s="814"/>
      <c r="H938" s="814"/>
      <c r="I938" s="814"/>
    </row>
    <row r="939" spans="2:9">
      <c r="B939" s="819"/>
      <c r="C939" s="814"/>
      <c r="D939" s="814"/>
      <c r="E939" s="814"/>
      <c r="F939" s="814"/>
      <c r="H939" s="814"/>
      <c r="I939" s="814"/>
    </row>
    <row r="940" spans="2:9">
      <c r="B940" s="819"/>
      <c r="C940" s="814"/>
      <c r="D940" s="814"/>
      <c r="E940" s="814"/>
      <c r="F940" s="814"/>
      <c r="H940" s="814"/>
      <c r="I940" s="814"/>
    </row>
    <row r="941" spans="2:9">
      <c r="B941" s="819"/>
      <c r="C941" s="814"/>
      <c r="D941" s="814"/>
      <c r="E941" s="814"/>
      <c r="F941" s="814"/>
      <c r="H941" s="814"/>
      <c r="I941" s="814"/>
    </row>
    <row r="942" spans="2:9">
      <c r="B942" s="819"/>
      <c r="C942" s="814"/>
      <c r="D942" s="814"/>
      <c r="E942" s="814"/>
      <c r="F942" s="814"/>
      <c r="H942" s="814"/>
      <c r="I942" s="814"/>
    </row>
    <row r="943" spans="2:9">
      <c r="B943" s="819"/>
      <c r="C943" s="814"/>
      <c r="D943" s="814"/>
      <c r="E943" s="814"/>
      <c r="F943" s="814"/>
      <c r="H943" s="814"/>
      <c r="I943" s="814"/>
    </row>
    <row r="944" spans="2:9">
      <c r="B944" s="819"/>
      <c r="C944" s="814"/>
      <c r="D944" s="814"/>
      <c r="E944" s="814"/>
      <c r="F944" s="814"/>
      <c r="H944" s="814"/>
      <c r="I944" s="814"/>
    </row>
    <row r="945" spans="2:9">
      <c r="B945" s="819"/>
      <c r="C945" s="814"/>
      <c r="D945" s="814"/>
      <c r="E945" s="814"/>
      <c r="F945" s="814"/>
      <c r="H945" s="814"/>
      <c r="I945" s="814"/>
    </row>
    <row r="946" spans="2:9">
      <c r="B946" s="819"/>
      <c r="C946" s="814"/>
      <c r="D946" s="814"/>
      <c r="E946" s="814"/>
      <c r="F946" s="814"/>
      <c r="H946" s="814"/>
      <c r="I946" s="814"/>
    </row>
    <row r="947" spans="2:9">
      <c r="B947" s="819"/>
      <c r="C947" s="814"/>
      <c r="D947" s="814"/>
      <c r="E947" s="814"/>
      <c r="F947" s="814"/>
      <c r="H947" s="814"/>
      <c r="I947" s="814"/>
    </row>
    <row r="948" spans="2:9">
      <c r="B948" s="819"/>
      <c r="C948" s="814"/>
      <c r="D948" s="814"/>
      <c r="E948" s="814"/>
      <c r="F948" s="814"/>
      <c r="H948" s="814"/>
      <c r="I948" s="814"/>
    </row>
    <row r="949" spans="2:9">
      <c r="B949" s="819"/>
      <c r="C949" s="814"/>
      <c r="D949" s="814"/>
      <c r="E949" s="814"/>
      <c r="F949" s="814"/>
      <c r="H949" s="814"/>
      <c r="I949" s="814"/>
    </row>
    <row r="950" spans="2:9">
      <c r="B950" s="819"/>
      <c r="C950" s="814"/>
      <c r="D950" s="814"/>
      <c r="E950" s="814"/>
      <c r="F950" s="814"/>
      <c r="H950" s="814"/>
      <c r="I950" s="814"/>
    </row>
    <row r="951" spans="2:9">
      <c r="B951" s="819"/>
      <c r="C951" s="814"/>
      <c r="D951" s="814"/>
      <c r="E951" s="814"/>
      <c r="F951" s="814"/>
      <c r="H951" s="814"/>
      <c r="I951" s="814"/>
    </row>
    <row r="952" spans="2:9">
      <c r="B952" s="819"/>
      <c r="C952" s="814"/>
      <c r="D952" s="814"/>
      <c r="E952" s="814"/>
      <c r="F952" s="814"/>
      <c r="H952" s="814"/>
      <c r="I952" s="814"/>
    </row>
    <row r="953" spans="2:9">
      <c r="B953" s="819"/>
      <c r="C953" s="814"/>
      <c r="D953" s="814"/>
      <c r="E953" s="814"/>
      <c r="F953" s="814"/>
      <c r="H953" s="814"/>
      <c r="I953" s="814"/>
    </row>
    <row r="954" spans="2:9">
      <c r="B954" s="819"/>
      <c r="C954" s="814"/>
      <c r="D954" s="814"/>
      <c r="E954" s="814"/>
      <c r="F954" s="814"/>
      <c r="H954" s="814"/>
      <c r="I954" s="814"/>
    </row>
    <row r="955" spans="2:9">
      <c r="B955" s="819"/>
      <c r="C955" s="814"/>
      <c r="D955" s="814"/>
      <c r="E955" s="814"/>
      <c r="F955" s="814"/>
      <c r="H955" s="814"/>
      <c r="I955" s="814"/>
    </row>
    <row r="956" spans="2:9">
      <c r="B956" s="819"/>
      <c r="C956" s="814"/>
      <c r="D956" s="814"/>
      <c r="E956" s="814"/>
      <c r="F956" s="814"/>
      <c r="H956" s="814"/>
      <c r="I956" s="814"/>
    </row>
    <row r="957" spans="2:9">
      <c r="B957" s="819"/>
      <c r="C957" s="814"/>
      <c r="D957" s="814"/>
      <c r="E957" s="814"/>
      <c r="F957" s="814"/>
      <c r="H957" s="814"/>
      <c r="I957" s="814"/>
    </row>
    <row r="958" spans="2:9">
      <c r="B958" s="819"/>
      <c r="C958" s="814"/>
      <c r="D958" s="814"/>
      <c r="E958" s="814"/>
      <c r="F958" s="814"/>
      <c r="H958" s="814"/>
      <c r="I958" s="814"/>
    </row>
    <row r="959" spans="2:9">
      <c r="B959" s="819"/>
      <c r="C959" s="814"/>
      <c r="D959" s="814"/>
      <c r="E959" s="814"/>
      <c r="F959" s="814"/>
      <c r="H959" s="814"/>
      <c r="I959" s="814"/>
    </row>
    <row r="960" spans="2:9">
      <c r="B960" s="819"/>
      <c r="C960" s="814"/>
      <c r="D960" s="814"/>
      <c r="E960" s="814"/>
      <c r="F960" s="814"/>
      <c r="H960" s="814"/>
      <c r="I960" s="814"/>
    </row>
    <row r="961" spans="2:9">
      <c r="B961" s="819"/>
      <c r="C961" s="814"/>
      <c r="D961" s="814"/>
      <c r="E961" s="814"/>
      <c r="F961" s="814"/>
      <c r="H961" s="814"/>
      <c r="I961" s="814"/>
    </row>
    <row r="962" spans="2:9">
      <c r="B962" s="819"/>
      <c r="C962" s="814"/>
      <c r="D962" s="814"/>
      <c r="E962" s="814"/>
      <c r="F962" s="814"/>
      <c r="H962" s="814"/>
      <c r="I962" s="814"/>
    </row>
    <row r="963" spans="2:9">
      <c r="B963" s="819"/>
      <c r="C963" s="814"/>
      <c r="D963" s="814"/>
      <c r="E963" s="814"/>
      <c r="F963" s="814"/>
      <c r="H963" s="814"/>
      <c r="I963" s="814"/>
    </row>
    <row r="964" spans="2:9">
      <c r="B964" s="819"/>
      <c r="C964" s="814"/>
      <c r="D964" s="814"/>
      <c r="E964" s="814"/>
      <c r="F964" s="814"/>
      <c r="H964" s="814"/>
      <c r="I964" s="814"/>
    </row>
    <row r="965" spans="2:9">
      <c r="B965" s="819"/>
      <c r="C965" s="814"/>
      <c r="D965" s="814"/>
      <c r="E965" s="814"/>
      <c r="F965" s="814"/>
      <c r="H965" s="814"/>
      <c r="I965" s="814"/>
    </row>
    <row r="966" spans="2:9">
      <c r="B966" s="819"/>
      <c r="C966" s="814"/>
      <c r="D966" s="814"/>
      <c r="E966" s="814"/>
      <c r="F966" s="814"/>
      <c r="H966" s="814"/>
      <c r="I966" s="814"/>
    </row>
  </sheetData>
  <customSheetViews>
    <customSheetView guid="{FAA8FFD9-C96B-4A1B-8B9E-B863FD90DDBA}" scale="75" fitToPage="1" showRuler="0">
      <selection activeCell="I1" sqref="I1:I2"/>
      <pageMargins left="0.43" right="0.43" top="0.47" bottom="0.25" header="0" footer="0"/>
      <printOptions horizontalCentered="1"/>
      <pageSetup scale="52" orientation="portrait" horizontalDpi="4294967294" verticalDpi="300" r:id="rId1"/>
      <headerFooter alignWithMargins="0"/>
    </customSheetView>
  </customSheetViews>
  <mergeCells count="10">
    <mergeCell ref="G2:H2"/>
    <mergeCell ref="D9:G9"/>
    <mergeCell ref="P36:Q36"/>
    <mergeCell ref="D3:H3"/>
    <mergeCell ref="D4:H4"/>
    <mergeCell ref="D5:H5"/>
    <mergeCell ref="D6:H6"/>
    <mergeCell ref="D7:H7"/>
    <mergeCell ref="D10:I10"/>
    <mergeCell ref="D8:G8"/>
  </mergeCells>
  <phoneticPr fontId="28" type="noConversion"/>
  <printOptions horizontalCentered="1" gridLines="1"/>
  <pageMargins left="0.5" right="0.5" top="0.5" bottom="0.5" header="0" footer="0"/>
  <pageSetup scale="61" orientation="portrait" r:id="rId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dimension ref="A1:AK96"/>
  <sheetViews>
    <sheetView view="pageBreakPreview" topLeftCell="A42" zoomScale="75" zoomScaleNormal="100" zoomScaleSheetLayoutView="75" workbookViewId="0">
      <selection activeCell="H89" sqref="H89"/>
    </sheetView>
  </sheetViews>
  <sheetFormatPr defaultRowHeight="12.75"/>
  <cols>
    <col min="1" max="1" width="3.109375" style="118" customWidth="1"/>
    <col min="2" max="2" width="6.5546875" style="118" customWidth="1"/>
    <col min="3" max="3" width="8.77734375" style="118" customWidth="1"/>
    <col min="4" max="4" width="13.5546875" style="118" customWidth="1"/>
    <col min="5" max="5" width="12" style="118" customWidth="1"/>
    <col min="6" max="6" width="12.88671875" style="118" customWidth="1"/>
    <col min="7" max="7" width="6.21875" style="118" customWidth="1"/>
    <col min="8" max="8" width="14.21875" style="118" customWidth="1"/>
    <col min="9" max="9" width="13" style="118" customWidth="1"/>
    <col min="10" max="11" width="12.109375" style="118" customWidth="1"/>
    <col min="12" max="12" width="8.44140625" style="118" customWidth="1"/>
    <col min="13" max="13" width="9.77734375" style="118" customWidth="1"/>
    <col min="14" max="14" width="14.109375" style="118" customWidth="1"/>
    <col min="15" max="15" width="10.5546875" style="118" customWidth="1"/>
    <col min="16" max="16" width="10.77734375" style="118" customWidth="1"/>
    <col min="17" max="17" width="8" style="118" customWidth="1"/>
    <col min="18" max="18" width="9.44140625" style="118" customWidth="1"/>
    <col min="19" max="19" width="14.109375" style="118" customWidth="1"/>
    <col min="20" max="20" width="11.77734375" style="118" customWidth="1"/>
    <col min="21" max="21" width="10.6640625" style="118" customWidth="1"/>
    <col min="22" max="22" width="8.88671875" style="118"/>
    <col min="23" max="23" width="10.33203125" style="118" customWidth="1"/>
    <col min="24" max="24" width="13" style="118" customWidth="1"/>
    <col min="25" max="25" width="11.21875" style="118" customWidth="1"/>
    <col min="26" max="26" width="10.33203125" style="118" customWidth="1"/>
    <col min="27" max="27" width="8.88671875" style="118"/>
    <col min="28" max="28" width="12.88671875" style="118" customWidth="1"/>
    <col min="29" max="29" width="13" style="118" customWidth="1"/>
    <col min="30" max="30" width="13.44140625" style="118" customWidth="1"/>
    <col min="31" max="31" width="10.5546875" style="118" customWidth="1"/>
    <col min="32" max="32" width="8.88671875" style="118"/>
    <col min="33" max="33" width="9.5546875" style="118" customWidth="1"/>
    <col min="34" max="34" width="13.44140625" style="118" customWidth="1"/>
    <col min="35" max="35" width="10.88671875" style="118" customWidth="1"/>
    <col min="36" max="36" width="10.33203125" style="118" customWidth="1"/>
    <col min="37" max="37" width="11.109375" style="118" customWidth="1"/>
    <col min="38" max="16384" width="8.88671875" style="118"/>
  </cols>
  <sheetData>
    <row r="1" spans="1:37" ht="20.25">
      <c r="A1" s="91"/>
      <c r="B1" s="45" t="s">
        <v>1563</v>
      </c>
      <c r="C1" s="45"/>
      <c r="D1" s="91"/>
      <c r="E1" s="91"/>
      <c r="O1" s="2193" t="s">
        <v>206</v>
      </c>
      <c r="P1" s="2193"/>
      <c r="X1" s="2193" t="s">
        <v>207</v>
      </c>
      <c r="Y1" s="2193"/>
      <c r="AH1" s="2193" t="s">
        <v>208</v>
      </c>
      <c r="AI1" s="2193"/>
    </row>
    <row r="2" spans="1:37" ht="20.25">
      <c r="A2" s="92"/>
      <c r="B2" s="1427" t="s">
        <v>67</v>
      </c>
      <c r="C2" s="92"/>
      <c r="D2" s="92"/>
      <c r="E2" s="92"/>
      <c r="P2" s="1099"/>
      <c r="Y2" s="1099"/>
      <c r="AI2" s="1099"/>
    </row>
    <row r="3" spans="1:37" ht="15">
      <c r="A3" s="47"/>
      <c r="B3" s="402" t="str">
        <f>+'Projected Gross Rev Req'!D4</f>
        <v>For the 12 months ended - December 31, 2014</v>
      </c>
      <c r="C3" s="402"/>
      <c r="D3" s="116"/>
      <c r="E3" s="116"/>
    </row>
    <row r="4" spans="1:37">
      <c r="P4" s="118" t="s">
        <v>1422</v>
      </c>
      <c r="Y4" s="118" t="s">
        <v>1420</v>
      </c>
      <c r="AI4" s="118" t="s">
        <v>105</v>
      </c>
    </row>
    <row r="6" spans="1:37" ht="15">
      <c r="A6" s="179"/>
      <c r="B6" s="192" t="s">
        <v>651</v>
      </c>
      <c r="C6" s="192"/>
      <c r="D6" s="179"/>
      <c r="E6" s="179"/>
      <c r="F6" s="179"/>
      <c r="G6" s="179"/>
      <c r="H6" s="179"/>
      <c r="I6" s="179"/>
      <c r="J6" s="179"/>
      <c r="K6" s="179"/>
      <c r="L6" s="179"/>
      <c r="M6" s="179"/>
      <c r="N6" s="179"/>
      <c r="O6" s="179"/>
      <c r="P6" s="179"/>
      <c r="Q6" s="179"/>
      <c r="R6" s="179"/>
      <c r="S6" s="179"/>
      <c r="T6" s="179"/>
      <c r="U6" s="179"/>
    </row>
    <row r="7" spans="1:37" ht="15">
      <c r="A7" s="191">
        <v>1</v>
      </c>
      <c r="B7" s="179"/>
      <c r="C7" s="179"/>
      <c r="D7" s="179"/>
      <c r="E7" s="179"/>
      <c r="F7" s="179"/>
      <c r="G7" s="179"/>
      <c r="H7" s="841"/>
      <c r="I7" s="1870" t="s">
        <v>703</v>
      </c>
      <c r="J7" s="523"/>
      <c r="K7" s="842"/>
      <c r="L7" s="843"/>
      <c r="M7" s="844"/>
      <c r="N7" s="1870" t="s">
        <v>703</v>
      </c>
      <c r="O7" s="523"/>
      <c r="P7" s="842"/>
      <c r="Q7" s="843"/>
      <c r="R7" s="844"/>
      <c r="S7" s="1870" t="s">
        <v>703</v>
      </c>
      <c r="T7" s="523"/>
      <c r="U7" s="842"/>
      <c r="V7" s="843"/>
      <c r="W7" s="844"/>
      <c r="X7" s="1870" t="s">
        <v>703</v>
      </c>
      <c r="Y7" s="523"/>
      <c r="Z7" s="842"/>
      <c r="AA7" s="843"/>
      <c r="AB7" s="844"/>
      <c r="AC7" s="1870" t="s">
        <v>703</v>
      </c>
      <c r="AD7" s="523"/>
      <c r="AE7" s="842"/>
      <c r="AF7" s="843"/>
      <c r="AG7" s="844"/>
      <c r="AH7" s="1870" t="s">
        <v>703</v>
      </c>
      <c r="AI7" s="842"/>
      <c r="AJ7" s="842"/>
      <c r="AK7" s="843"/>
    </row>
    <row r="8" spans="1:37" ht="14.25">
      <c r="A8" s="191">
        <f>+A7+1</f>
        <v>2</v>
      </c>
      <c r="B8" s="179"/>
      <c r="C8" s="179"/>
      <c r="D8" s="179"/>
      <c r="E8" s="179"/>
      <c r="F8" s="179"/>
      <c r="G8" s="179"/>
      <c r="H8" s="122"/>
      <c r="I8" s="838" t="s">
        <v>1625</v>
      </c>
      <c r="J8" s="199" t="s">
        <v>1436</v>
      </c>
      <c r="K8" s="838"/>
      <c r="L8" s="839"/>
      <c r="M8" s="200"/>
      <c r="N8" s="838" t="s">
        <v>1625</v>
      </c>
      <c r="O8" s="199" t="s">
        <v>138</v>
      </c>
      <c r="P8" s="838"/>
      <c r="Q8" s="839"/>
      <c r="R8" s="200"/>
      <c r="S8" s="838" t="s">
        <v>1625</v>
      </c>
      <c r="T8" s="199" t="s">
        <v>388</v>
      </c>
      <c r="U8" s="838"/>
      <c r="V8" s="839"/>
      <c r="W8" s="122"/>
      <c r="X8" s="838" t="s">
        <v>1625</v>
      </c>
      <c r="Y8" s="199" t="s">
        <v>389</v>
      </c>
      <c r="Z8" s="838"/>
      <c r="AA8" s="839"/>
      <c r="AB8" s="200"/>
      <c r="AC8" s="838" t="s">
        <v>1625</v>
      </c>
      <c r="AD8" s="199" t="s">
        <v>139</v>
      </c>
      <c r="AE8" s="838"/>
      <c r="AF8" s="839"/>
      <c r="AG8" s="200"/>
      <c r="AH8" s="838" t="s">
        <v>1625</v>
      </c>
      <c r="AI8" s="199"/>
      <c r="AJ8" s="838"/>
      <c r="AK8" s="839"/>
    </row>
    <row r="9" spans="1:37" ht="14.25">
      <c r="A9" s="191">
        <f t="shared" ref="A9:A14" si="0">+A8+1</f>
        <v>3</v>
      </c>
      <c r="B9" s="179"/>
      <c r="C9" s="179"/>
      <c r="D9" s="179"/>
      <c r="E9" s="179"/>
      <c r="F9" s="179"/>
      <c r="G9" s="179"/>
      <c r="H9" s="122"/>
      <c r="I9" s="181" t="s">
        <v>1227</v>
      </c>
      <c r="J9" s="212">
        <v>0</v>
      </c>
      <c r="K9" s="202"/>
      <c r="L9" s="182"/>
      <c r="M9" s="180"/>
      <c r="N9" s="181" t="s">
        <v>1227</v>
      </c>
      <c r="O9" s="201">
        <v>0</v>
      </c>
      <c r="P9" s="202"/>
      <c r="Q9" s="182"/>
      <c r="R9" s="180"/>
      <c r="S9" s="181" t="s">
        <v>1227</v>
      </c>
      <c r="T9" s="201">
        <v>0</v>
      </c>
      <c r="U9" s="202"/>
      <c r="V9" s="182"/>
      <c r="W9" s="122"/>
      <c r="X9" s="181" t="s">
        <v>1227</v>
      </c>
      <c r="Y9" s="201">
        <v>0</v>
      </c>
      <c r="Z9" s="202"/>
      <c r="AA9" s="839"/>
      <c r="AB9" s="200"/>
      <c r="AC9" s="181" t="s">
        <v>1227</v>
      </c>
      <c r="AD9" s="201">
        <v>0</v>
      </c>
      <c r="AE9" s="202"/>
      <c r="AF9" s="182"/>
      <c r="AG9" s="180"/>
      <c r="AH9" s="181" t="s">
        <v>1227</v>
      </c>
      <c r="AI9" s="201">
        <v>0</v>
      </c>
      <c r="AJ9" s="202"/>
      <c r="AK9" s="182"/>
    </row>
    <row r="10" spans="1:37" ht="14.25">
      <c r="A10" s="191">
        <f t="shared" si="0"/>
        <v>4</v>
      </c>
      <c r="B10" s="179"/>
      <c r="C10" s="179"/>
      <c r="D10" s="179"/>
      <c r="E10" s="179"/>
      <c r="F10" s="179"/>
      <c r="G10" s="179"/>
      <c r="H10" s="122"/>
      <c r="I10" s="181" t="s">
        <v>933</v>
      </c>
      <c r="J10" s="201">
        <v>0</v>
      </c>
      <c r="K10" s="202"/>
      <c r="L10" s="182"/>
      <c r="M10" s="180"/>
      <c r="N10" s="181" t="s">
        <v>933</v>
      </c>
      <c r="O10" s="201">
        <v>0</v>
      </c>
      <c r="P10" s="202"/>
      <c r="Q10" s="182"/>
      <c r="R10" s="180"/>
      <c r="S10" s="181" t="s">
        <v>933</v>
      </c>
      <c r="T10" s="201">
        <v>0</v>
      </c>
      <c r="U10" s="202"/>
      <c r="V10" s="182"/>
      <c r="W10" s="122"/>
      <c r="X10" s="181" t="s">
        <v>625</v>
      </c>
      <c r="Y10" s="201">
        <v>0</v>
      </c>
      <c r="Z10" s="202"/>
      <c r="AA10" s="182"/>
      <c r="AB10" s="180"/>
      <c r="AC10" s="181" t="s">
        <v>933</v>
      </c>
      <c r="AD10" s="201">
        <v>0</v>
      </c>
      <c r="AE10" s="202"/>
      <c r="AF10" s="182"/>
      <c r="AG10" s="180"/>
      <c r="AH10" s="838" t="s">
        <v>933</v>
      </c>
      <c r="AI10" s="201">
        <v>0</v>
      </c>
      <c r="AJ10" s="202"/>
      <c r="AK10" s="182"/>
    </row>
    <row r="11" spans="1:37" ht="15">
      <c r="A11" s="191">
        <f t="shared" si="0"/>
        <v>5</v>
      </c>
      <c r="B11" s="179"/>
      <c r="C11" s="179"/>
      <c r="D11" s="179"/>
      <c r="E11" s="179"/>
      <c r="F11" s="179"/>
      <c r="G11" s="179"/>
      <c r="H11" s="122"/>
      <c r="I11" s="181" t="s">
        <v>626</v>
      </c>
      <c r="J11" s="201">
        <f>+J10*'Actual Gross Rev Req'!$I$216</f>
        <v>0</v>
      </c>
      <c r="K11" s="1871" t="s">
        <v>744</v>
      </c>
      <c r="L11" s="1872">
        <f>IF('Projected Gross Rev Req'!$E$257&gt;0,('Projected Gross Rev Req'!$F$101/(1-'Projected Gross Rev Req'!$F$101)),0)</f>
        <v>0.63442866264033571</v>
      </c>
      <c r="M11" s="180"/>
      <c r="N11" s="181" t="s">
        <v>626</v>
      </c>
      <c r="O11" s="201">
        <f>+O10*'Actual Gross Rev Req'!$I$216</f>
        <v>0</v>
      </c>
      <c r="P11" s="1871" t="s">
        <v>744</v>
      </c>
      <c r="Q11" s="1872">
        <f>IF('Projected Gross Rev Req'!$E$257&gt;0,('Projected Gross Rev Req'!$F$101/(1-'Projected Gross Rev Req'!$F$101)),0)</f>
        <v>0.63442866264033571</v>
      </c>
      <c r="R11" s="180"/>
      <c r="S11" s="181" t="s">
        <v>626</v>
      </c>
      <c r="T11" s="201">
        <f>+T10*'Actual Gross Rev Req'!$I$216</f>
        <v>0</v>
      </c>
      <c r="U11" s="1871" t="s">
        <v>744</v>
      </c>
      <c r="V11" s="348">
        <f>IF('Projected Gross Rev Req'!$E$257&gt;0,('Projected Gross Rev Req'!$F$101/(1-'Projected Gross Rev Req'!$F$101)),0)</f>
        <v>0.63442866264033571</v>
      </c>
      <c r="W11" s="122"/>
      <c r="X11" s="181" t="s">
        <v>626</v>
      </c>
      <c r="Y11" s="201">
        <f>+Y10*'Actual Gross Rev Req'!$I$216</f>
        <v>0</v>
      </c>
      <c r="Z11" s="1871" t="s">
        <v>744</v>
      </c>
      <c r="AA11" s="348">
        <f>IF('Projected Gross Rev Req'!$E$257&gt;0,('Projected Gross Rev Req'!$F$101/(1-'Projected Gross Rev Req'!$F$101)),0)</f>
        <v>0.63442866264033571</v>
      </c>
      <c r="AB11" s="180"/>
      <c r="AC11" s="181" t="s">
        <v>626</v>
      </c>
      <c r="AD11" s="201">
        <f>+AD10*'Actual Gross Rev Req'!$I$216</f>
        <v>0</v>
      </c>
      <c r="AE11" s="1871" t="s">
        <v>744</v>
      </c>
      <c r="AF11" s="348">
        <f>IF('Projected Gross Rev Req'!$E$257&gt;0,('Projected Gross Rev Req'!$F$101/(1-'Projected Gross Rev Req'!$F$101)),0)</f>
        <v>0.63442866264033571</v>
      </c>
      <c r="AG11" s="180"/>
      <c r="AH11" s="181" t="s">
        <v>626</v>
      </c>
      <c r="AI11" s="201">
        <f>+AI10*'Actual Gross Rev Req'!$I$216</f>
        <v>0</v>
      </c>
      <c r="AJ11" s="1871" t="s">
        <v>744</v>
      </c>
      <c r="AK11" s="348">
        <f>IF('Projected Gross Rev Req'!$E$257&gt;0,('Projected Gross Rev Req'!$F$101/(1-'Projected Gross Rev Req'!$F$101)),0)</f>
        <v>0.63442866264033571</v>
      </c>
    </row>
    <row r="12" spans="1:37" ht="14.25">
      <c r="A12" s="191">
        <f t="shared" si="0"/>
        <v>6</v>
      </c>
      <c r="B12" s="179"/>
      <c r="C12" s="179"/>
      <c r="D12" s="179"/>
      <c r="E12" s="179"/>
      <c r="F12" s="179"/>
      <c r="G12" s="179"/>
      <c r="H12" s="122"/>
      <c r="I12" s="181" t="s">
        <v>1728</v>
      </c>
      <c r="J12" s="287">
        <v>0</v>
      </c>
      <c r="K12" s="184"/>
      <c r="L12" s="182"/>
      <c r="M12" s="180"/>
      <c r="N12" s="181" t="s">
        <v>1728</v>
      </c>
      <c r="O12" s="203"/>
      <c r="P12" s="184"/>
      <c r="Q12" s="182"/>
      <c r="R12" s="180"/>
      <c r="S12" s="181" t="s">
        <v>1728</v>
      </c>
      <c r="T12" s="203">
        <v>0</v>
      </c>
      <c r="U12" s="184"/>
      <c r="V12" s="182"/>
      <c r="W12" s="122"/>
      <c r="X12" s="181" t="s">
        <v>1728</v>
      </c>
      <c r="Y12" s="287">
        <v>0</v>
      </c>
      <c r="Z12" s="184"/>
      <c r="AA12" s="182"/>
      <c r="AB12" s="180"/>
      <c r="AC12" s="181" t="s">
        <v>1728</v>
      </c>
      <c r="AD12" s="203"/>
      <c r="AE12" s="184"/>
      <c r="AF12" s="182"/>
      <c r="AG12" s="180"/>
      <c r="AH12" s="181" t="s">
        <v>1728</v>
      </c>
      <c r="AI12" s="203">
        <v>0</v>
      </c>
      <c r="AJ12" s="184"/>
      <c r="AK12" s="182"/>
    </row>
    <row r="13" spans="1:37" ht="15">
      <c r="A13" s="191">
        <f t="shared" si="0"/>
        <v>7</v>
      </c>
      <c r="B13" s="179"/>
      <c r="C13" s="179"/>
      <c r="D13" s="2271" t="s">
        <v>54</v>
      </c>
      <c r="E13" s="2271"/>
      <c r="F13" s="2271"/>
      <c r="G13" s="179"/>
      <c r="H13" s="122"/>
      <c r="I13" s="181" t="s">
        <v>628</v>
      </c>
      <c r="J13" s="204">
        <f>ROUND(I19*J9/12,0)</f>
        <v>0</v>
      </c>
      <c r="K13" s="205"/>
      <c r="L13" s="182"/>
      <c r="M13" s="180"/>
      <c r="N13" s="181" t="s">
        <v>628</v>
      </c>
      <c r="O13" s="204"/>
      <c r="P13" s="205"/>
      <c r="Q13" s="182"/>
      <c r="R13" s="180"/>
      <c r="S13" s="181" t="s">
        <v>628</v>
      </c>
      <c r="T13" s="204"/>
      <c r="U13" s="205"/>
      <c r="V13" s="182"/>
      <c r="W13" s="122"/>
      <c r="X13" s="181" t="s">
        <v>628</v>
      </c>
      <c r="Y13" s="204">
        <f>ROUND(X19*Y9/12,0)</f>
        <v>0</v>
      </c>
      <c r="Z13" s="205"/>
      <c r="AA13" s="182"/>
      <c r="AB13" s="180"/>
      <c r="AC13" s="181" t="s">
        <v>628</v>
      </c>
      <c r="AD13" s="204"/>
      <c r="AE13" s="205"/>
      <c r="AF13" s="182"/>
      <c r="AG13" s="180"/>
      <c r="AH13" s="181" t="s">
        <v>628</v>
      </c>
      <c r="AI13" s="204"/>
      <c r="AJ13" s="205"/>
      <c r="AK13" s="182"/>
    </row>
    <row r="14" spans="1:37" ht="14.25">
      <c r="A14" s="191">
        <f t="shared" si="0"/>
        <v>8</v>
      </c>
      <c r="B14" s="179"/>
      <c r="C14" s="179"/>
      <c r="D14" s="179"/>
      <c r="E14" s="179"/>
      <c r="F14" s="179"/>
      <c r="G14" s="179"/>
      <c r="H14" s="122"/>
      <c r="I14" s="181" t="s">
        <v>629</v>
      </c>
      <c r="J14" s="206"/>
      <c r="K14" s="207"/>
      <c r="L14" s="182"/>
      <c r="M14" s="180"/>
      <c r="N14" s="181" t="s">
        <v>629</v>
      </c>
      <c r="O14" s="206"/>
      <c r="P14" s="207"/>
      <c r="Q14" s="182"/>
      <c r="R14" s="180"/>
      <c r="S14" s="181" t="s">
        <v>629</v>
      </c>
      <c r="T14" s="206"/>
      <c r="U14" s="207"/>
      <c r="V14" s="182"/>
      <c r="W14" s="122"/>
      <c r="X14" s="181" t="s">
        <v>629</v>
      </c>
      <c r="Y14" s="206"/>
      <c r="Z14" s="207"/>
      <c r="AA14" s="182"/>
      <c r="AB14" s="180"/>
      <c r="AC14" s="181" t="s">
        <v>629</v>
      </c>
      <c r="AD14" s="206"/>
      <c r="AE14" s="207"/>
      <c r="AF14" s="182"/>
      <c r="AG14" s="180"/>
      <c r="AH14" s="181" t="s">
        <v>629</v>
      </c>
      <c r="AI14" s="206"/>
      <c r="AJ14" s="207"/>
      <c r="AK14" s="182"/>
    </row>
    <row r="15" spans="1:37">
      <c r="C15" s="88"/>
      <c r="D15" s="88"/>
      <c r="E15" s="88"/>
      <c r="F15" s="88"/>
      <c r="G15" s="88"/>
      <c r="H15" s="1873"/>
      <c r="I15" s="433"/>
      <c r="J15" s="433"/>
      <c r="K15" s="433"/>
      <c r="L15" s="980"/>
      <c r="M15" s="1873"/>
      <c r="N15" s="433"/>
      <c r="O15" s="433"/>
      <c r="P15" s="433"/>
      <c r="Q15" s="980"/>
      <c r="R15" s="134"/>
      <c r="S15" s="135"/>
      <c r="T15" s="135"/>
      <c r="U15" s="135"/>
      <c r="V15" s="145"/>
      <c r="W15" s="134"/>
      <c r="X15" s="135"/>
      <c r="Y15" s="135"/>
      <c r="Z15" s="135"/>
      <c r="AA15" s="145"/>
      <c r="AB15" s="134"/>
      <c r="AC15" s="135"/>
      <c r="AD15" s="135"/>
      <c r="AE15" s="135"/>
      <c r="AF15" s="145"/>
      <c r="AG15" s="134"/>
      <c r="AH15" s="135"/>
      <c r="AI15" s="135"/>
      <c r="AJ15" s="135"/>
      <c r="AK15" s="146"/>
    </row>
    <row r="16" spans="1:37" ht="15">
      <c r="B16" s="163" t="s">
        <v>394</v>
      </c>
      <c r="C16" s="1874" t="s">
        <v>1729</v>
      </c>
      <c r="D16" s="1874" t="s">
        <v>1045</v>
      </c>
      <c r="E16" s="1874" t="s">
        <v>1584</v>
      </c>
      <c r="F16" s="1874" t="s">
        <v>1044</v>
      </c>
      <c r="G16" s="1874" t="s">
        <v>394</v>
      </c>
      <c r="H16" s="1412" t="s">
        <v>1729</v>
      </c>
      <c r="I16" s="1412" t="s">
        <v>420</v>
      </c>
      <c r="J16" s="1412" t="s">
        <v>1584</v>
      </c>
      <c r="K16" s="1412" t="s">
        <v>1044</v>
      </c>
      <c r="L16" s="1412" t="s">
        <v>265</v>
      </c>
      <c r="M16" s="1412" t="s">
        <v>1729</v>
      </c>
      <c r="N16" s="1412" t="s">
        <v>420</v>
      </c>
      <c r="O16" s="1412" t="s">
        <v>1584</v>
      </c>
      <c r="P16" s="1412" t="s">
        <v>1044</v>
      </c>
      <c r="Q16" s="1412" t="s">
        <v>265</v>
      </c>
      <c r="R16" s="1412" t="s">
        <v>1729</v>
      </c>
      <c r="S16" s="1412" t="s">
        <v>420</v>
      </c>
      <c r="T16" s="1412" t="s">
        <v>1584</v>
      </c>
      <c r="U16" s="1412" t="s">
        <v>1044</v>
      </c>
      <c r="V16" s="1412" t="s">
        <v>265</v>
      </c>
      <c r="W16" s="1412" t="s">
        <v>1729</v>
      </c>
      <c r="X16" s="1412" t="s">
        <v>420</v>
      </c>
      <c r="Y16" s="1412" t="s">
        <v>1584</v>
      </c>
      <c r="Z16" s="1412" t="s">
        <v>1044</v>
      </c>
      <c r="AA16" s="1412" t="s">
        <v>265</v>
      </c>
      <c r="AB16" s="1412" t="s">
        <v>1729</v>
      </c>
      <c r="AC16" s="1412" t="s">
        <v>420</v>
      </c>
      <c r="AD16" s="1412" t="s">
        <v>1584</v>
      </c>
      <c r="AE16" s="1412" t="s">
        <v>1044</v>
      </c>
      <c r="AF16" s="1412" t="s">
        <v>265</v>
      </c>
      <c r="AG16" s="1412" t="s">
        <v>1729</v>
      </c>
      <c r="AH16" s="1412" t="s">
        <v>420</v>
      </c>
      <c r="AI16" s="1412" t="s">
        <v>1584</v>
      </c>
      <c r="AJ16" s="1412" t="s">
        <v>1044</v>
      </c>
      <c r="AK16" s="845" t="s">
        <v>265</v>
      </c>
    </row>
    <row r="17" spans="1:37" ht="14.25">
      <c r="C17" s="848"/>
      <c r="H17" s="208"/>
      <c r="I17" s="287">
        <f>J12</f>
        <v>0</v>
      </c>
      <c r="J17" s="131"/>
      <c r="K17" s="131"/>
      <c r="L17" s="148"/>
      <c r="M17" s="208"/>
      <c r="N17" s="287">
        <f>O12</f>
        <v>0</v>
      </c>
      <c r="O17" s="131"/>
      <c r="P17" s="131"/>
      <c r="Q17" s="148"/>
      <c r="R17" s="208"/>
      <c r="S17" s="287">
        <f>T12</f>
        <v>0</v>
      </c>
      <c r="T17" s="131"/>
      <c r="U17" s="131"/>
      <c r="V17" s="148"/>
      <c r="W17" s="208"/>
      <c r="X17" s="287">
        <f>Y12</f>
        <v>0</v>
      </c>
      <c r="Y17" s="131"/>
      <c r="Z17" s="131"/>
      <c r="AA17" s="148"/>
      <c r="AB17" s="208"/>
      <c r="AC17" s="287">
        <f>AD12</f>
        <v>0</v>
      </c>
      <c r="AD17" s="131"/>
      <c r="AE17" s="131"/>
      <c r="AF17" s="148"/>
      <c r="AG17" s="208"/>
      <c r="AH17" s="287">
        <f>AI12</f>
        <v>0</v>
      </c>
      <c r="AI17" s="131"/>
      <c r="AJ17" s="131"/>
      <c r="AK17" s="148"/>
    </row>
    <row r="18" spans="1:37" ht="14.25">
      <c r="A18" s="191">
        <f>+A14+1</f>
        <v>9</v>
      </c>
      <c r="B18" s="1936">
        <v>41275</v>
      </c>
      <c r="C18" s="848">
        <f>H18+M18+R18+W18+AB18+AG18</f>
        <v>0</v>
      </c>
      <c r="D18" s="847">
        <f>I18+N18+S18+X18+AC18+AH18</f>
        <v>0</v>
      </c>
      <c r="E18" s="847">
        <f>J18+O18+T18+Y18+AD18+AI18</f>
        <v>0</v>
      </c>
      <c r="F18" s="847">
        <f>K18+P18+U18+Z18+AE18+AJ18</f>
        <v>0</v>
      </c>
      <c r="G18" s="849">
        <f t="shared" ref="G18:G41" si="1">+B18</f>
        <v>41275</v>
      </c>
      <c r="H18" s="208">
        <v>0</v>
      </c>
      <c r="I18" s="287">
        <v>0</v>
      </c>
      <c r="J18" s="846">
        <f>ROUND(I17*J$9,6)</f>
        <v>0</v>
      </c>
      <c r="K18" s="184">
        <f>J13+J18</f>
        <v>0</v>
      </c>
      <c r="L18" s="190">
        <f>+I18-K18</f>
        <v>0</v>
      </c>
      <c r="M18" s="208">
        <v>0</v>
      </c>
      <c r="N18" s="287">
        <v>0</v>
      </c>
      <c r="O18" s="846">
        <f t="shared" ref="O18:O41" si="2">ROUND(N17*O$9,6)</f>
        <v>0</v>
      </c>
      <c r="P18" s="184">
        <f>O13+O18</f>
        <v>0</v>
      </c>
      <c r="Q18" s="190">
        <f>+N18-P18</f>
        <v>0</v>
      </c>
      <c r="R18" s="208">
        <v>0</v>
      </c>
      <c r="S18" s="287">
        <v>0</v>
      </c>
      <c r="T18" s="209">
        <f t="shared" ref="T18:T41" si="3">ROUND(S17*T$9,6)</f>
        <v>0</v>
      </c>
      <c r="U18" s="184">
        <f>T13+T18</f>
        <v>0</v>
      </c>
      <c r="V18" s="190">
        <f>+S18-U18</f>
        <v>0</v>
      </c>
      <c r="W18" s="208">
        <v>0</v>
      </c>
      <c r="X18" s="287">
        <v>0</v>
      </c>
      <c r="Y18" s="209">
        <f t="shared" ref="Y18:Y41" si="4">ROUND(X17*Y$9,6)</f>
        <v>0</v>
      </c>
      <c r="Z18" s="184">
        <f>Y13+Y18</f>
        <v>0</v>
      </c>
      <c r="AA18" s="190">
        <f>+X18-Z18</f>
        <v>0</v>
      </c>
      <c r="AB18" s="208">
        <v>0</v>
      </c>
      <c r="AC18" s="287">
        <v>0</v>
      </c>
      <c r="AD18" s="209">
        <f t="shared" ref="AD18:AD41" si="5">ROUND(AC17*AD$9,6)</f>
        <v>0</v>
      </c>
      <c r="AE18" s="184">
        <f>AD13+AD18</f>
        <v>0</v>
      </c>
      <c r="AF18" s="190">
        <f>+AC18-AE18</f>
        <v>0</v>
      </c>
      <c r="AG18" s="208">
        <v>0</v>
      </c>
      <c r="AH18" s="287">
        <v>0</v>
      </c>
      <c r="AI18" s="209">
        <f t="shared" ref="AI18:AI41" si="6">ROUND(AH17*AI$9,6)</f>
        <v>0</v>
      </c>
      <c r="AJ18" s="184">
        <f>AI13+AI18</f>
        <v>0</v>
      </c>
      <c r="AK18" s="190">
        <f>+AH18-AJ18</f>
        <v>0</v>
      </c>
    </row>
    <row r="19" spans="1:37" ht="14.25">
      <c r="A19" s="191">
        <f t="shared" ref="A19:A47" si="7">+A18+1</f>
        <v>10</v>
      </c>
      <c r="B19" s="153">
        <v>41306</v>
      </c>
      <c r="C19" s="848">
        <f t="shared" ref="C19:C41" si="8">H19+M19+R19+W19+AB19+AG19</f>
        <v>0</v>
      </c>
      <c r="D19" s="847">
        <f t="shared" ref="D19:D41" si="9">I19+N19+S19+X19+AC19+AH19</f>
        <v>0</v>
      </c>
      <c r="E19" s="847">
        <f t="shared" ref="E19:E41" si="10">J19+O19+T19+Y19+AD19+AI19</f>
        <v>0</v>
      </c>
      <c r="F19" s="847">
        <f t="shared" ref="F19:F41" si="11">K19+P19+U19+Z19+AE19+AJ19</f>
        <v>0</v>
      </c>
      <c r="G19" s="849">
        <f t="shared" si="1"/>
        <v>41306</v>
      </c>
      <c r="H19" s="208">
        <v>0</v>
      </c>
      <c r="I19" s="287">
        <v>0</v>
      </c>
      <c r="J19" s="846">
        <f t="shared" ref="J19:J41" si="12">ROUND(I18*J$9,6)</f>
        <v>0</v>
      </c>
      <c r="K19" s="187">
        <f>K18+J19</f>
        <v>0</v>
      </c>
      <c r="L19" s="190">
        <f>+I19-K19</f>
        <v>0</v>
      </c>
      <c r="M19" s="208">
        <v>0</v>
      </c>
      <c r="N19" s="287">
        <v>0</v>
      </c>
      <c r="O19" s="846">
        <f t="shared" si="2"/>
        <v>0</v>
      </c>
      <c r="P19" s="187">
        <f>P18+O19</f>
        <v>0</v>
      </c>
      <c r="Q19" s="190">
        <f>+N19-P19</f>
        <v>0</v>
      </c>
      <c r="R19" s="208">
        <v>0</v>
      </c>
      <c r="S19" s="287">
        <v>0</v>
      </c>
      <c r="T19" s="209">
        <f t="shared" si="3"/>
        <v>0</v>
      </c>
      <c r="U19" s="187">
        <f>U18+T19</f>
        <v>0</v>
      </c>
      <c r="V19" s="190">
        <f>+S19-U19</f>
        <v>0</v>
      </c>
      <c r="W19" s="208">
        <v>0</v>
      </c>
      <c r="X19" s="287">
        <v>0</v>
      </c>
      <c r="Y19" s="209">
        <f t="shared" si="4"/>
        <v>0</v>
      </c>
      <c r="Z19" s="187">
        <f>Z18+Y19</f>
        <v>0</v>
      </c>
      <c r="AA19" s="190">
        <f>+X19-Z19</f>
        <v>0</v>
      </c>
      <c r="AB19" s="208">
        <v>0</v>
      </c>
      <c r="AC19" s="287">
        <v>0</v>
      </c>
      <c r="AD19" s="209">
        <f t="shared" si="5"/>
        <v>0</v>
      </c>
      <c r="AE19" s="187">
        <f>AE18+AD19</f>
        <v>0</v>
      </c>
      <c r="AF19" s="190">
        <f>+AC19-AE19</f>
        <v>0</v>
      </c>
      <c r="AG19" s="208">
        <v>0</v>
      </c>
      <c r="AH19" s="287">
        <v>0</v>
      </c>
      <c r="AI19" s="209">
        <f t="shared" si="6"/>
        <v>0</v>
      </c>
      <c r="AJ19" s="187">
        <f>AJ18+AI19</f>
        <v>0</v>
      </c>
      <c r="AK19" s="190">
        <f>+AH19-AJ19</f>
        <v>0</v>
      </c>
    </row>
    <row r="20" spans="1:37" ht="14.25">
      <c r="A20" s="191">
        <f t="shared" si="7"/>
        <v>11</v>
      </c>
      <c r="B20" s="153">
        <v>41334</v>
      </c>
      <c r="C20" s="848">
        <f t="shared" si="8"/>
        <v>0</v>
      </c>
      <c r="D20" s="847">
        <f t="shared" si="9"/>
        <v>0</v>
      </c>
      <c r="E20" s="847">
        <f t="shared" si="10"/>
        <v>0</v>
      </c>
      <c r="F20" s="847">
        <f t="shared" si="11"/>
        <v>0</v>
      </c>
      <c r="G20" s="849">
        <f t="shared" si="1"/>
        <v>41334</v>
      </c>
      <c r="H20" s="208">
        <v>0</v>
      </c>
      <c r="I20" s="287">
        <v>0</v>
      </c>
      <c r="J20" s="846">
        <f t="shared" si="12"/>
        <v>0</v>
      </c>
      <c r="K20" s="187">
        <f>K19+J20</f>
        <v>0</v>
      </c>
      <c r="L20" s="190">
        <f t="shared" ref="L20:L41" si="13">+I20-K20</f>
        <v>0</v>
      </c>
      <c r="M20" s="208">
        <v>0</v>
      </c>
      <c r="N20" s="287">
        <f t="shared" ref="N20:N28" si="14">+N19</f>
        <v>0</v>
      </c>
      <c r="O20" s="846">
        <f t="shared" si="2"/>
        <v>0</v>
      </c>
      <c r="P20" s="187">
        <f>P19+O20</f>
        <v>0</v>
      </c>
      <c r="Q20" s="190">
        <f t="shared" ref="Q20:Q41" si="15">+N20-P20</f>
        <v>0</v>
      </c>
      <c r="R20" s="208">
        <v>0</v>
      </c>
      <c r="S20" s="287">
        <f t="shared" ref="S20:S28" si="16">+S19</f>
        <v>0</v>
      </c>
      <c r="T20" s="209">
        <f t="shared" si="3"/>
        <v>0</v>
      </c>
      <c r="U20" s="187">
        <f>U19+T20</f>
        <v>0</v>
      </c>
      <c r="V20" s="190">
        <f t="shared" ref="V20:V41" si="17">+S20-U20</f>
        <v>0</v>
      </c>
      <c r="W20" s="208">
        <v>0</v>
      </c>
      <c r="X20" s="287">
        <v>0</v>
      </c>
      <c r="Y20" s="209">
        <f t="shared" si="4"/>
        <v>0</v>
      </c>
      <c r="Z20" s="187">
        <f>Z19+Y20</f>
        <v>0</v>
      </c>
      <c r="AA20" s="190">
        <f t="shared" ref="AA20:AA41" si="18">+X20-Z20</f>
        <v>0</v>
      </c>
      <c r="AB20" s="208">
        <v>0</v>
      </c>
      <c r="AC20" s="287">
        <f t="shared" ref="AC20:AC28" si="19">+AC19</f>
        <v>0</v>
      </c>
      <c r="AD20" s="209">
        <f t="shared" si="5"/>
        <v>0</v>
      </c>
      <c r="AE20" s="187">
        <f>AE19+AD20</f>
        <v>0</v>
      </c>
      <c r="AF20" s="190">
        <f t="shared" ref="AF20:AF41" si="20">+AC20-AE20</f>
        <v>0</v>
      </c>
      <c r="AG20" s="208">
        <v>0</v>
      </c>
      <c r="AH20" s="287">
        <f t="shared" ref="AH20:AH28" si="21">+AH19</f>
        <v>0</v>
      </c>
      <c r="AI20" s="209">
        <f t="shared" si="6"/>
        <v>0</v>
      </c>
      <c r="AJ20" s="187">
        <f>AJ19+AI20</f>
        <v>0</v>
      </c>
      <c r="AK20" s="190">
        <f t="shared" ref="AK20:AK41" si="22">+AH20-AJ20</f>
        <v>0</v>
      </c>
    </row>
    <row r="21" spans="1:37" ht="14.25">
      <c r="A21" s="191">
        <f t="shared" si="7"/>
        <v>12</v>
      </c>
      <c r="B21" s="153">
        <v>41365</v>
      </c>
      <c r="C21" s="848">
        <f t="shared" si="8"/>
        <v>0</v>
      </c>
      <c r="D21" s="847">
        <f t="shared" si="9"/>
        <v>0</v>
      </c>
      <c r="E21" s="847">
        <f t="shared" si="10"/>
        <v>0</v>
      </c>
      <c r="F21" s="847">
        <f t="shared" si="11"/>
        <v>0</v>
      </c>
      <c r="G21" s="849">
        <f t="shared" si="1"/>
        <v>41365</v>
      </c>
      <c r="H21" s="208">
        <v>0</v>
      </c>
      <c r="I21" s="287">
        <v>0</v>
      </c>
      <c r="J21" s="846">
        <f t="shared" si="12"/>
        <v>0</v>
      </c>
      <c r="K21" s="187">
        <f t="shared" ref="K21:K41" si="23">K20+J21</f>
        <v>0</v>
      </c>
      <c r="L21" s="190">
        <f t="shared" si="13"/>
        <v>0</v>
      </c>
      <c r="M21" s="208">
        <v>0</v>
      </c>
      <c r="N21" s="287">
        <f t="shared" si="14"/>
        <v>0</v>
      </c>
      <c r="O21" s="846">
        <f t="shared" si="2"/>
        <v>0</v>
      </c>
      <c r="P21" s="187">
        <f t="shared" ref="P21:P41" si="24">P20+O21</f>
        <v>0</v>
      </c>
      <c r="Q21" s="190">
        <f t="shared" si="15"/>
        <v>0</v>
      </c>
      <c r="R21" s="208">
        <v>0</v>
      </c>
      <c r="S21" s="287">
        <f t="shared" si="16"/>
        <v>0</v>
      </c>
      <c r="T21" s="209">
        <f t="shared" si="3"/>
        <v>0</v>
      </c>
      <c r="U21" s="187">
        <f t="shared" ref="U21:U41" si="25">U20+T21</f>
        <v>0</v>
      </c>
      <c r="V21" s="190">
        <f t="shared" si="17"/>
        <v>0</v>
      </c>
      <c r="W21" s="208">
        <v>0</v>
      </c>
      <c r="X21" s="287">
        <v>0</v>
      </c>
      <c r="Y21" s="209">
        <f t="shared" si="4"/>
        <v>0</v>
      </c>
      <c r="Z21" s="187">
        <f t="shared" ref="Z21:Z41" si="26">Z20+Y21</f>
        <v>0</v>
      </c>
      <c r="AA21" s="190">
        <f t="shared" si="18"/>
        <v>0</v>
      </c>
      <c r="AB21" s="208">
        <v>0</v>
      </c>
      <c r="AC21" s="287">
        <f t="shared" si="19"/>
        <v>0</v>
      </c>
      <c r="AD21" s="209">
        <f t="shared" si="5"/>
        <v>0</v>
      </c>
      <c r="AE21" s="187">
        <f t="shared" ref="AE21:AE41" si="27">AE20+AD21</f>
        <v>0</v>
      </c>
      <c r="AF21" s="190">
        <f t="shared" si="20"/>
        <v>0</v>
      </c>
      <c r="AG21" s="208">
        <v>0</v>
      </c>
      <c r="AH21" s="287">
        <f t="shared" si="21"/>
        <v>0</v>
      </c>
      <c r="AI21" s="209">
        <f t="shared" si="6"/>
        <v>0</v>
      </c>
      <c r="AJ21" s="187">
        <f t="shared" ref="AJ21:AJ41" si="28">AJ20+AI21</f>
        <v>0</v>
      </c>
      <c r="AK21" s="190">
        <f t="shared" si="22"/>
        <v>0</v>
      </c>
    </row>
    <row r="22" spans="1:37" ht="14.25">
      <c r="A22" s="191">
        <f t="shared" si="7"/>
        <v>13</v>
      </c>
      <c r="B22" s="153">
        <v>41395</v>
      </c>
      <c r="C22" s="848">
        <f t="shared" si="8"/>
        <v>0</v>
      </c>
      <c r="D22" s="847">
        <f t="shared" si="9"/>
        <v>0</v>
      </c>
      <c r="E22" s="847">
        <f t="shared" si="10"/>
        <v>0</v>
      </c>
      <c r="F22" s="847">
        <f t="shared" si="11"/>
        <v>0</v>
      </c>
      <c r="G22" s="849">
        <f t="shared" si="1"/>
        <v>41395</v>
      </c>
      <c r="H22" s="208">
        <v>0</v>
      </c>
      <c r="I22" s="287">
        <v>0</v>
      </c>
      <c r="J22" s="846">
        <f t="shared" si="12"/>
        <v>0</v>
      </c>
      <c r="K22" s="187">
        <f t="shared" si="23"/>
        <v>0</v>
      </c>
      <c r="L22" s="190">
        <f t="shared" si="13"/>
        <v>0</v>
      </c>
      <c r="M22" s="208">
        <v>0</v>
      </c>
      <c r="N22" s="287">
        <f t="shared" si="14"/>
        <v>0</v>
      </c>
      <c r="O22" s="846">
        <f t="shared" si="2"/>
        <v>0</v>
      </c>
      <c r="P22" s="187">
        <f t="shared" si="24"/>
        <v>0</v>
      </c>
      <c r="Q22" s="190">
        <f t="shared" si="15"/>
        <v>0</v>
      </c>
      <c r="R22" s="208">
        <v>0</v>
      </c>
      <c r="S22" s="287">
        <f t="shared" si="16"/>
        <v>0</v>
      </c>
      <c r="T22" s="209">
        <f t="shared" si="3"/>
        <v>0</v>
      </c>
      <c r="U22" s="187">
        <f t="shared" si="25"/>
        <v>0</v>
      </c>
      <c r="V22" s="190">
        <f t="shared" si="17"/>
        <v>0</v>
      </c>
      <c r="W22" s="208">
        <v>0</v>
      </c>
      <c r="X22" s="287">
        <v>0</v>
      </c>
      <c r="Y22" s="209">
        <f t="shared" si="4"/>
        <v>0</v>
      </c>
      <c r="Z22" s="187">
        <f t="shared" si="26"/>
        <v>0</v>
      </c>
      <c r="AA22" s="190">
        <f t="shared" si="18"/>
        <v>0</v>
      </c>
      <c r="AB22" s="208">
        <v>0</v>
      </c>
      <c r="AC22" s="287">
        <f t="shared" si="19"/>
        <v>0</v>
      </c>
      <c r="AD22" s="209">
        <f t="shared" si="5"/>
        <v>0</v>
      </c>
      <c r="AE22" s="187">
        <f t="shared" si="27"/>
        <v>0</v>
      </c>
      <c r="AF22" s="190">
        <f t="shared" si="20"/>
        <v>0</v>
      </c>
      <c r="AG22" s="208">
        <v>0</v>
      </c>
      <c r="AH22" s="287">
        <f t="shared" si="21"/>
        <v>0</v>
      </c>
      <c r="AI22" s="209">
        <f t="shared" si="6"/>
        <v>0</v>
      </c>
      <c r="AJ22" s="187">
        <f t="shared" si="28"/>
        <v>0</v>
      </c>
      <c r="AK22" s="190">
        <f t="shared" si="22"/>
        <v>0</v>
      </c>
    </row>
    <row r="23" spans="1:37" ht="14.25">
      <c r="A23" s="191">
        <f t="shared" si="7"/>
        <v>14</v>
      </c>
      <c r="B23" s="153">
        <v>41426</v>
      </c>
      <c r="C23" s="848">
        <f t="shared" si="8"/>
        <v>0</v>
      </c>
      <c r="D23" s="847">
        <f t="shared" si="9"/>
        <v>0</v>
      </c>
      <c r="E23" s="847">
        <f t="shared" si="10"/>
        <v>0</v>
      </c>
      <c r="F23" s="847">
        <f t="shared" si="11"/>
        <v>0</v>
      </c>
      <c r="G23" s="849">
        <f t="shared" si="1"/>
        <v>41426</v>
      </c>
      <c r="H23" s="208">
        <v>0</v>
      </c>
      <c r="I23" s="287">
        <v>0</v>
      </c>
      <c r="J23" s="846">
        <f t="shared" si="12"/>
        <v>0</v>
      </c>
      <c r="K23" s="187">
        <f t="shared" si="23"/>
        <v>0</v>
      </c>
      <c r="L23" s="190">
        <f t="shared" si="13"/>
        <v>0</v>
      </c>
      <c r="M23" s="208">
        <v>0</v>
      </c>
      <c r="N23" s="287">
        <f t="shared" si="14"/>
        <v>0</v>
      </c>
      <c r="O23" s="846">
        <f t="shared" si="2"/>
        <v>0</v>
      </c>
      <c r="P23" s="187">
        <f t="shared" si="24"/>
        <v>0</v>
      </c>
      <c r="Q23" s="190">
        <f t="shared" si="15"/>
        <v>0</v>
      </c>
      <c r="R23" s="208">
        <v>0</v>
      </c>
      <c r="S23" s="287">
        <f t="shared" si="16"/>
        <v>0</v>
      </c>
      <c r="T23" s="209">
        <f t="shared" si="3"/>
        <v>0</v>
      </c>
      <c r="U23" s="187">
        <f t="shared" si="25"/>
        <v>0</v>
      </c>
      <c r="V23" s="190">
        <f t="shared" si="17"/>
        <v>0</v>
      </c>
      <c r="W23" s="208">
        <v>0</v>
      </c>
      <c r="X23" s="287">
        <v>0</v>
      </c>
      <c r="Y23" s="209">
        <f t="shared" si="4"/>
        <v>0</v>
      </c>
      <c r="Z23" s="187">
        <f t="shared" si="26"/>
        <v>0</v>
      </c>
      <c r="AA23" s="190">
        <f t="shared" si="18"/>
        <v>0</v>
      </c>
      <c r="AB23" s="208">
        <v>0</v>
      </c>
      <c r="AC23" s="287">
        <f t="shared" si="19"/>
        <v>0</v>
      </c>
      <c r="AD23" s="209">
        <f t="shared" si="5"/>
        <v>0</v>
      </c>
      <c r="AE23" s="187">
        <f t="shared" si="27"/>
        <v>0</v>
      </c>
      <c r="AF23" s="190">
        <f t="shared" si="20"/>
        <v>0</v>
      </c>
      <c r="AG23" s="208">
        <v>0</v>
      </c>
      <c r="AH23" s="287">
        <f t="shared" si="21"/>
        <v>0</v>
      </c>
      <c r="AI23" s="209">
        <f t="shared" si="6"/>
        <v>0</v>
      </c>
      <c r="AJ23" s="187">
        <f t="shared" si="28"/>
        <v>0</v>
      </c>
      <c r="AK23" s="190">
        <f t="shared" si="22"/>
        <v>0</v>
      </c>
    </row>
    <row r="24" spans="1:37" ht="14.25">
      <c r="A24" s="191">
        <f t="shared" si="7"/>
        <v>15</v>
      </c>
      <c r="B24" s="153">
        <v>41456</v>
      </c>
      <c r="C24" s="848">
        <f t="shared" si="8"/>
        <v>0</v>
      </c>
      <c r="D24" s="847">
        <f t="shared" si="9"/>
        <v>0</v>
      </c>
      <c r="E24" s="847">
        <f t="shared" si="10"/>
        <v>0</v>
      </c>
      <c r="F24" s="847">
        <f t="shared" si="11"/>
        <v>0</v>
      </c>
      <c r="G24" s="849">
        <f t="shared" si="1"/>
        <v>41456</v>
      </c>
      <c r="H24" s="208">
        <v>0</v>
      </c>
      <c r="I24" s="287">
        <v>0</v>
      </c>
      <c r="J24" s="846">
        <f t="shared" si="12"/>
        <v>0</v>
      </c>
      <c r="K24" s="187">
        <f t="shared" si="23"/>
        <v>0</v>
      </c>
      <c r="L24" s="190">
        <f t="shared" si="13"/>
        <v>0</v>
      </c>
      <c r="M24" s="208">
        <v>0</v>
      </c>
      <c r="N24" s="287">
        <f t="shared" si="14"/>
        <v>0</v>
      </c>
      <c r="O24" s="846">
        <f t="shared" si="2"/>
        <v>0</v>
      </c>
      <c r="P24" s="187">
        <f t="shared" si="24"/>
        <v>0</v>
      </c>
      <c r="Q24" s="190">
        <f t="shared" si="15"/>
        <v>0</v>
      </c>
      <c r="R24" s="208">
        <v>0</v>
      </c>
      <c r="S24" s="287">
        <f t="shared" si="16"/>
        <v>0</v>
      </c>
      <c r="T24" s="209">
        <f t="shared" si="3"/>
        <v>0</v>
      </c>
      <c r="U24" s="187">
        <f t="shared" si="25"/>
        <v>0</v>
      </c>
      <c r="V24" s="190">
        <f t="shared" si="17"/>
        <v>0</v>
      </c>
      <c r="W24" s="208">
        <v>0</v>
      </c>
      <c r="X24" s="287">
        <v>0</v>
      </c>
      <c r="Y24" s="209">
        <f t="shared" si="4"/>
        <v>0</v>
      </c>
      <c r="Z24" s="187">
        <f t="shared" si="26"/>
        <v>0</v>
      </c>
      <c r="AA24" s="190">
        <f t="shared" si="18"/>
        <v>0</v>
      </c>
      <c r="AB24" s="208">
        <v>0</v>
      </c>
      <c r="AC24" s="287">
        <f t="shared" si="19"/>
        <v>0</v>
      </c>
      <c r="AD24" s="209">
        <f t="shared" si="5"/>
        <v>0</v>
      </c>
      <c r="AE24" s="187">
        <f t="shared" si="27"/>
        <v>0</v>
      </c>
      <c r="AF24" s="190">
        <f t="shared" si="20"/>
        <v>0</v>
      </c>
      <c r="AG24" s="208">
        <v>0</v>
      </c>
      <c r="AH24" s="287">
        <f t="shared" si="21"/>
        <v>0</v>
      </c>
      <c r="AI24" s="209">
        <f t="shared" si="6"/>
        <v>0</v>
      </c>
      <c r="AJ24" s="187">
        <f t="shared" si="28"/>
        <v>0</v>
      </c>
      <c r="AK24" s="190">
        <f t="shared" si="22"/>
        <v>0</v>
      </c>
    </row>
    <row r="25" spans="1:37" ht="14.25">
      <c r="A25" s="191">
        <f t="shared" si="7"/>
        <v>16</v>
      </c>
      <c r="B25" s="153">
        <v>41487</v>
      </c>
      <c r="C25" s="848">
        <f t="shared" si="8"/>
        <v>0</v>
      </c>
      <c r="D25" s="847">
        <f t="shared" si="9"/>
        <v>0</v>
      </c>
      <c r="E25" s="847">
        <f t="shared" si="10"/>
        <v>0</v>
      </c>
      <c r="F25" s="847">
        <f t="shared" si="11"/>
        <v>0</v>
      </c>
      <c r="G25" s="849">
        <f t="shared" si="1"/>
        <v>41487</v>
      </c>
      <c r="H25" s="208">
        <v>0</v>
      </c>
      <c r="I25" s="287">
        <v>0</v>
      </c>
      <c r="J25" s="846">
        <f t="shared" si="12"/>
        <v>0</v>
      </c>
      <c r="K25" s="187">
        <f t="shared" si="23"/>
        <v>0</v>
      </c>
      <c r="L25" s="190">
        <f t="shared" si="13"/>
        <v>0</v>
      </c>
      <c r="M25" s="208">
        <v>0</v>
      </c>
      <c r="N25" s="287">
        <f t="shared" si="14"/>
        <v>0</v>
      </c>
      <c r="O25" s="846">
        <f t="shared" si="2"/>
        <v>0</v>
      </c>
      <c r="P25" s="187">
        <f t="shared" si="24"/>
        <v>0</v>
      </c>
      <c r="Q25" s="190">
        <f t="shared" si="15"/>
        <v>0</v>
      </c>
      <c r="R25" s="208">
        <v>0</v>
      </c>
      <c r="S25" s="287">
        <f t="shared" si="16"/>
        <v>0</v>
      </c>
      <c r="T25" s="209">
        <f t="shared" si="3"/>
        <v>0</v>
      </c>
      <c r="U25" s="187">
        <f t="shared" si="25"/>
        <v>0</v>
      </c>
      <c r="V25" s="190">
        <f t="shared" si="17"/>
        <v>0</v>
      </c>
      <c r="W25" s="208">
        <v>0</v>
      </c>
      <c r="X25" s="287">
        <v>0</v>
      </c>
      <c r="Y25" s="209">
        <f t="shared" si="4"/>
        <v>0</v>
      </c>
      <c r="Z25" s="187">
        <f t="shared" si="26"/>
        <v>0</v>
      </c>
      <c r="AA25" s="190">
        <f t="shared" si="18"/>
        <v>0</v>
      </c>
      <c r="AB25" s="208">
        <v>0</v>
      </c>
      <c r="AC25" s="287">
        <f t="shared" si="19"/>
        <v>0</v>
      </c>
      <c r="AD25" s="209">
        <f t="shared" si="5"/>
        <v>0</v>
      </c>
      <c r="AE25" s="187">
        <f t="shared" si="27"/>
        <v>0</v>
      </c>
      <c r="AF25" s="190">
        <f t="shared" si="20"/>
        <v>0</v>
      </c>
      <c r="AG25" s="208">
        <v>0</v>
      </c>
      <c r="AH25" s="287">
        <f t="shared" si="21"/>
        <v>0</v>
      </c>
      <c r="AI25" s="209">
        <f t="shared" si="6"/>
        <v>0</v>
      </c>
      <c r="AJ25" s="187">
        <f t="shared" si="28"/>
        <v>0</v>
      </c>
      <c r="AK25" s="190">
        <f t="shared" si="22"/>
        <v>0</v>
      </c>
    </row>
    <row r="26" spans="1:37" ht="14.25">
      <c r="A26" s="191">
        <f t="shared" si="7"/>
        <v>17</v>
      </c>
      <c r="B26" s="153">
        <v>41518</v>
      </c>
      <c r="C26" s="848">
        <f t="shared" si="8"/>
        <v>0</v>
      </c>
      <c r="D26" s="847">
        <f t="shared" si="9"/>
        <v>0</v>
      </c>
      <c r="E26" s="847">
        <f t="shared" si="10"/>
        <v>0</v>
      </c>
      <c r="F26" s="847">
        <f t="shared" si="11"/>
        <v>0</v>
      </c>
      <c r="G26" s="849">
        <f t="shared" si="1"/>
        <v>41518</v>
      </c>
      <c r="H26" s="208">
        <v>0</v>
      </c>
      <c r="I26" s="287">
        <v>0</v>
      </c>
      <c r="J26" s="846">
        <f t="shared" si="12"/>
        <v>0</v>
      </c>
      <c r="K26" s="187">
        <f t="shared" si="23"/>
        <v>0</v>
      </c>
      <c r="L26" s="190">
        <f t="shared" si="13"/>
        <v>0</v>
      </c>
      <c r="M26" s="208">
        <v>0</v>
      </c>
      <c r="N26" s="287">
        <f t="shared" si="14"/>
        <v>0</v>
      </c>
      <c r="O26" s="846">
        <f t="shared" si="2"/>
        <v>0</v>
      </c>
      <c r="P26" s="187">
        <f t="shared" si="24"/>
        <v>0</v>
      </c>
      <c r="Q26" s="190">
        <f t="shared" si="15"/>
        <v>0</v>
      </c>
      <c r="R26" s="208">
        <v>0</v>
      </c>
      <c r="S26" s="287">
        <f t="shared" si="16"/>
        <v>0</v>
      </c>
      <c r="T26" s="209">
        <f t="shared" si="3"/>
        <v>0</v>
      </c>
      <c r="U26" s="187">
        <f t="shared" si="25"/>
        <v>0</v>
      </c>
      <c r="V26" s="190">
        <f t="shared" si="17"/>
        <v>0</v>
      </c>
      <c r="W26" s="208">
        <v>0</v>
      </c>
      <c r="X26" s="287">
        <v>0</v>
      </c>
      <c r="Y26" s="209">
        <f t="shared" si="4"/>
        <v>0</v>
      </c>
      <c r="Z26" s="187">
        <f t="shared" si="26"/>
        <v>0</v>
      </c>
      <c r="AA26" s="190">
        <f t="shared" si="18"/>
        <v>0</v>
      </c>
      <c r="AB26" s="208">
        <v>0</v>
      </c>
      <c r="AC26" s="287">
        <f t="shared" si="19"/>
        <v>0</v>
      </c>
      <c r="AD26" s="209">
        <f t="shared" si="5"/>
        <v>0</v>
      </c>
      <c r="AE26" s="187">
        <f t="shared" si="27"/>
        <v>0</v>
      </c>
      <c r="AF26" s="190">
        <f t="shared" si="20"/>
        <v>0</v>
      </c>
      <c r="AG26" s="208">
        <v>0</v>
      </c>
      <c r="AH26" s="287">
        <f t="shared" si="21"/>
        <v>0</v>
      </c>
      <c r="AI26" s="209">
        <f t="shared" si="6"/>
        <v>0</v>
      </c>
      <c r="AJ26" s="187">
        <f t="shared" si="28"/>
        <v>0</v>
      </c>
      <c r="AK26" s="190">
        <f t="shared" si="22"/>
        <v>0</v>
      </c>
    </row>
    <row r="27" spans="1:37" ht="14.25">
      <c r="A27" s="191">
        <f t="shared" si="7"/>
        <v>18</v>
      </c>
      <c r="B27" s="153">
        <v>41548</v>
      </c>
      <c r="C27" s="848">
        <f t="shared" si="8"/>
        <v>0</v>
      </c>
      <c r="D27" s="847">
        <f t="shared" si="9"/>
        <v>0</v>
      </c>
      <c r="E27" s="847">
        <f t="shared" si="10"/>
        <v>0</v>
      </c>
      <c r="F27" s="847">
        <f t="shared" si="11"/>
        <v>0</v>
      </c>
      <c r="G27" s="849">
        <f t="shared" si="1"/>
        <v>41548</v>
      </c>
      <c r="H27" s="208">
        <v>0</v>
      </c>
      <c r="I27" s="287">
        <v>0</v>
      </c>
      <c r="J27" s="846">
        <f t="shared" si="12"/>
        <v>0</v>
      </c>
      <c r="K27" s="187">
        <f t="shared" si="23"/>
        <v>0</v>
      </c>
      <c r="L27" s="190">
        <f t="shared" si="13"/>
        <v>0</v>
      </c>
      <c r="M27" s="208">
        <v>0</v>
      </c>
      <c r="N27" s="287">
        <f t="shared" si="14"/>
        <v>0</v>
      </c>
      <c r="O27" s="846">
        <f t="shared" si="2"/>
        <v>0</v>
      </c>
      <c r="P27" s="187">
        <f t="shared" si="24"/>
        <v>0</v>
      </c>
      <c r="Q27" s="190">
        <f t="shared" si="15"/>
        <v>0</v>
      </c>
      <c r="R27" s="208">
        <v>0</v>
      </c>
      <c r="S27" s="287">
        <f t="shared" si="16"/>
        <v>0</v>
      </c>
      <c r="T27" s="209">
        <f t="shared" si="3"/>
        <v>0</v>
      </c>
      <c r="U27" s="187">
        <f t="shared" si="25"/>
        <v>0</v>
      </c>
      <c r="V27" s="190">
        <f t="shared" si="17"/>
        <v>0</v>
      </c>
      <c r="W27" s="208">
        <v>0</v>
      </c>
      <c r="X27" s="287">
        <v>0</v>
      </c>
      <c r="Y27" s="209">
        <f t="shared" si="4"/>
        <v>0</v>
      </c>
      <c r="Z27" s="187">
        <f t="shared" si="26"/>
        <v>0</v>
      </c>
      <c r="AA27" s="190">
        <f t="shared" si="18"/>
        <v>0</v>
      </c>
      <c r="AB27" s="208">
        <v>0</v>
      </c>
      <c r="AC27" s="287">
        <f t="shared" si="19"/>
        <v>0</v>
      </c>
      <c r="AD27" s="209">
        <f t="shared" si="5"/>
        <v>0</v>
      </c>
      <c r="AE27" s="187">
        <f t="shared" si="27"/>
        <v>0</v>
      </c>
      <c r="AF27" s="190">
        <f t="shared" si="20"/>
        <v>0</v>
      </c>
      <c r="AG27" s="208">
        <v>0</v>
      </c>
      <c r="AH27" s="287">
        <f t="shared" si="21"/>
        <v>0</v>
      </c>
      <c r="AI27" s="209">
        <f t="shared" si="6"/>
        <v>0</v>
      </c>
      <c r="AJ27" s="187">
        <f t="shared" si="28"/>
        <v>0</v>
      </c>
      <c r="AK27" s="190">
        <f t="shared" si="22"/>
        <v>0</v>
      </c>
    </row>
    <row r="28" spans="1:37" ht="14.25">
      <c r="A28" s="191">
        <f t="shared" si="7"/>
        <v>19</v>
      </c>
      <c r="B28" s="153">
        <v>41579</v>
      </c>
      <c r="C28" s="848">
        <f t="shared" si="8"/>
        <v>0</v>
      </c>
      <c r="D28" s="847">
        <f t="shared" si="9"/>
        <v>0</v>
      </c>
      <c r="E28" s="847">
        <f t="shared" si="10"/>
        <v>0</v>
      </c>
      <c r="F28" s="847">
        <f t="shared" si="11"/>
        <v>0</v>
      </c>
      <c r="G28" s="849">
        <f t="shared" si="1"/>
        <v>41579</v>
      </c>
      <c r="H28" s="208">
        <v>0</v>
      </c>
      <c r="I28" s="287">
        <v>0</v>
      </c>
      <c r="J28" s="846">
        <f t="shared" si="12"/>
        <v>0</v>
      </c>
      <c r="K28" s="187">
        <f t="shared" si="23"/>
        <v>0</v>
      </c>
      <c r="L28" s="190">
        <f t="shared" si="13"/>
        <v>0</v>
      </c>
      <c r="M28" s="208">
        <v>0</v>
      </c>
      <c r="N28" s="287">
        <f t="shared" si="14"/>
        <v>0</v>
      </c>
      <c r="O28" s="846">
        <f t="shared" si="2"/>
        <v>0</v>
      </c>
      <c r="P28" s="187">
        <f t="shared" si="24"/>
        <v>0</v>
      </c>
      <c r="Q28" s="190">
        <f t="shared" si="15"/>
        <v>0</v>
      </c>
      <c r="R28" s="208">
        <v>0</v>
      </c>
      <c r="S28" s="287">
        <f t="shared" si="16"/>
        <v>0</v>
      </c>
      <c r="T28" s="209">
        <f t="shared" si="3"/>
        <v>0</v>
      </c>
      <c r="U28" s="187">
        <f t="shared" si="25"/>
        <v>0</v>
      </c>
      <c r="V28" s="190">
        <f t="shared" si="17"/>
        <v>0</v>
      </c>
      <c r="W28" s="208">
        <v>0</v>
      </c>
      <c r="X28" s="287">
        <v>0</v>
      </c>
      <c r="Y28" s="209">
        <f t="shared" si="4"/>
        <v>0</v>
      </c>
      <c r="Z28" s="187">
        <f t="shared" si="26"/>
        <v>0</v>
      </c>
      <c r="AA28" s="190">
        <f t="shared" si="18"/>
        <v>0</v>
      </c>
      <c r="AB28" s="208">
        <v>0</v>
      </c>
      <c r="AC28" s="287">
        <f t="shared" si="19"/>
        <v>0</v>
      </c>
      <c r="AD28" s="209">
        <f t="shared" si="5"/>
        <v>0</v>
      </c>
      <c r="AE28" s="187">
        <f t="shared" si="27"/>
        <v>0</v>
      </c>
      <c r="AF28" s="190">
        <f t="shared" si="20"/>
        <v>0</v>
      </c>
      <c r="AG28" s="208">
        <v>0</v>
      </c>
      <c r="AH28" s="287">
        <f t="shared" si="21"/>
        <v>0</v>
      </c>
      <c r="AI28" s="209">
        <f t="shared" si="6"/>
        <v>0</v>
      </c>
      <c r="AJ28" s="187">
        <f t="shared" si="28"/>
        <v>0</v>
      </c>
      <c r="AK28" s="190">
        <f t="shared" si="22"/>
        <v>0</v>
      </c>
    </row>
    <row r="29" spans="1:37" ht="14.25">
      <c r="A29" s="191">
        <f t="shared" si="7"/>
        <v>20</v>
      </c>
      <c r="B29" s="153">
        <v>41609</v>
      </c>
      <c r="C29" s="848">
        <f t="shared" si="8"/>
        <v>0</v>
      </c>
      <c r="D29" s="1251">
        <f t="shared" si="9"/>
        <v>0</v>
      </c>
      <c r="E29" s="1251">
        <f t="shared" si="10"/>
        <v>0</v>
      </c>
      <c r="F29" s="1251">
        <f t="shared" si="11"/>
        <v>0</v>
      </c>
      <c r="G29" s="849">
        <f t="shared" si="1"/>
        <v>41609</v>
      </c>
      <c r="H29" s="208">
        <v>0</v>
      </c>
      <c r="I29" s="287">
        <v>0</v>
      </c>
      <c r="J29" s="846">
        <f t="shared" si="12"/>
        <v>0</v>
      </c>
      <c r="K29" s="184">
        <f t="shared" si="23"/>
        <v>0</v>
      </c>
      <c r="L29" s="977">
        <f t="shared" si="13"/>
        <v>0</v>
      </c>
      <c r="M29" s="208">
        <v>0</v>
      </c>
      <c r="N29" s="287">
        <f>O12</f>
        <v>0</v>
      </c>
      <c r="O29" s="846">
        <f t="shared" si="2"/>
        <v>0</v>
      </c>
      <c r="P29" s="184">
        <f t="shared" si="24"/>
        <v>0</v>
      </c>
      <c r="Q29" s="977">
        <f t="shared" si="15"/>
        <v>0</v>
      </c>
      <c r="R29" s="208">
        <v>0</v>
      </c>
      <c r="S29" s="287">
        <f>T12</f>
        <v>0</v>
      </c>
      <c r="T29" s="209">
        <f t="shared" si="3"/>
        <v>0</v>
      </c>
      <c r="U29" s="184">
        <f t="shared" si="25"/>
        <v>0</v>
      </c>
      <c r="V29" s="977">
        <f t="shared" si="17"/>
        <v>0</v>
      </c>
      <c r="W29" s="208">
        <v>0</v>
      </c>
      <c r="X29" s="287">
        <v>0</v>
      </c>
      <c r="Y29" s="209">
        <f t="shared" si="4"/>
        <v>0</v>
      </c>
      <c r="Z29" s="184">
        <f t="shared" si="26"/>
        <v>0</v>
      </c>
      <c r="AA29" s="977">
        <f t="shared" si="18"/>
        <v>0</v>
      </c>
      <c r="AB29" s="208">
        <v>0</v>
      </c>
      <c r="AC29" s="287">
        <f>AD12</f>
        <v>0</v>
      </c>
      <c r="AD29" s="209">
        <f t="shared" si="5"/>
        <v>0</v>
      </c>
      <c r="AE29" s="184">
        <f t="shared" si="27"/>
        <v>0</v>
      </c>
      <c r="AF29" s="977">
        <f t="shared" si="20"/>
        <v>0</v>
      </c>
      <c r="AG29" s="208">
        <v>0</v>
      </c>
      <c r="AH29" s="287">
        <f>AI12</f>
        <v>0</v>
      </c>
      <c r="AI29" s="209">
        <f t="shared" si="6"/>
        <v>0</v>
      </c>
      <c r="AJ29" s="184">
        <f t="shared" si="28"/>
        <v>0</v>
      </c>
      <c r="AK29" s="977">
        <f t="shared" si="22"/>
        <v>0</v>
      </c>
    </row>
    <row r="30" spans="1:37" ht="14.25">
      <c r="A30" s="191">
        <f t="shared" si="7"/>
        <v>21</v>
      </c>
      <c r="B30" s="153">
        <v>41640</v>
      </c>
      <c r="C30" s="848">
        <f t="shared" si="8"/>
        <v>0</v>
      </c>
      <c r="D30" s="847">
        <f t="shared" si="9"/>
        <v>0</v>
      </c>
      <c r="E30" s="847">
        <f t="shared" si="10"/>
        <v>0</v>
      </c>
      <c r="F30" s="847">
        <f t="shared" si="11"/>
        <v>0</v>
      </c>
      <c r="G30" s="849">
        <f t="shared" si="1"/>
        <v>41640</v>
      </c>
      <c r="H30" s="208">
        <f>H29</f>
        <v>0</v>
      </c>
      <c r="I30" s="287">
        <f>I29</f>
        <v>0</v>
      </c>
      <c r="J30" s="846">
        <f t="shared" si="12"/>
        <v>0</v>
      </c>
      <c r="K30" s="187">
        <f t="shared" si="23"/>
        <v>0</v>
      </c>
      <c r="L30" s="190">
        <f t="shared" si="13"/>
        <v>0</v>
      </c>
      <c r="M30" s="208">
        <f>M29</f>
        <v>0</v>
      </c>
      <c r="N30" s="287">
        <f t="shared" ref="N30:N41" si="29">+N29</f>
        <v>0</v>
      </c>
      <c r="O30" s="846">
        <f t="shared" si="2"/>
        <v>0</v>
      </c>
      <c r="P30" s="187">
        <f t="shared" si="24"/>
        <v>0</v>
      </c>
      <c r="Q30" s="190">
        <f t="shared" si="15"/>
        <v>0</v>
      </c>
      <c r="R30" s="208">
        <f>R29</f>
        <v>0</v>
      </c>
      <c r="S30" s="287">
        <f t="shared" ref="S30:S41" si="30">+S29</f>
        <v>0</v>
      </c>
      <c r="T30" s="209">
        <f t="shared" si="3"/>
        <v>0</v>
      </c>
      <c r="U30" s="187">
        <f t="shared" si="25"/>
        <v>0</v>
      </c>
      <c r="V30" s="190">
        <f t="shared" si="17"/>
        <v>0</v>
      </c>
      <c r="W30" s="208">
        <f>W29</f>
        <v>0</v>
      </c>
      <c r="X30" s="287">
        <f>X29</f>
        <v>0</v>
      </c>
      <c r="Y30" s="209">
        <f t="shared" si="4"/>
        <v>0</v>
      </c>
      <c r="Z30" s="187">
        <f t="shared" si="26"/>
        <v>0</v>
      </c>
      <c r="AA30" s="190">
        <f t="shared" si="18"/>
        <v>0</v>
      </c>
      <c r="AB30" s="208">
        <f>AB29</f>
        <v>0</v>
      </c>
      <c r="AC30" s="287">
        <f t="shared" ref="AC30:AC41" si="31">+AC29</f>
        <v>0</v>
      </c>
      <c r="AD30" s="209">
        <f t="shared" si="5"/>
        <v>0</v>
      </c>
      <c r="AE30" s="187">
        <f t="shared" si="27"/>
        <v>0</v>
      </c>
      <c r="AF30" s="190">
        <f t="shared" si="20"/>
        <v>0</v>
      </c>
      <c r="AG30" s="208">
        <f>AG29</f>
        <v>0</v>
      </c>
      <c r="AH30" s="287">
        <f t="shared" ref="AH30:AH41" si="32">+AH29</f>
        <v>0</v>
      </c>
      <c r="AI30" s="209">
        <f t="shared" si="6"/>
        <v>0</v>
      </c>
      <c r="AJ30" s="187">
        <f t="shared" si="28"/>
        <v>0</v>
      </c>
      <c r="AK30" s="190">
        <f t="shared" si="22"/>
        <v>0</v>
      </c>
    </row>
    <row r="31" spans="1:37" ht="14.25">
      <c r="A31" s="191">
        <f t="shared" si="7"/>
        <v>22</v>
      </c>
      <c r="B31" s="153">
        <v>41671</v>
      </c>
      <c r="C31" s="848">
        <f t="shared" si="8"/>
        <v>0</v>
      </c>
      <c r="D31" s="847">
        <f t="shared" si="9"/>
        <v>0</v>
      </c>
      <c r="E31" s="847">
        <f t="shared" si="10"/>
        <v>0</v>
      </c>
      <c r="F31" s="847">
        <f t="shared" si="11"/>
        <v>0</v>
      </c>
      <c r="G31" s="849">
        <f t="shared" si="1"/>
        <v>41671</v>
      </c>
      <c r="H31" s="208">
        <f t="shared" ref="H31:I40" si="33">H30</f>
        <v>0</v>
      </c>
      <c r="I31" s="287">
        <f t="shared" si="33"/>
        <v>0</v>
      </c>
      <c r="J31" s="846">
        <f t="shared" si="12"/>
        <v>0</v>
      </c>
      <c r="K31" s="187">
        <f t="shared" si="23"/>
        <v>0</v>
      </c>
      <c r="L31" s="190">
        <f t="shared" si="13"/>
        <v>0</v>
      </c>
      <c r="M31" s="208">
        <f t="shared" ref="M31:M40" si="34">M30</f>
        <v>0</v>
      </c>
      <c r="N31" s="287">
        <f t="shared" si="29"/>
        <v>0</v>
      </c>
      <c r="O31" s="846">
        <f t="shared" si="2"/>
        <v>0</v>
      </c>
      <c r="P31" s="187">
        <f t="shared" si="24"/>
        <v>0</v>
      </c>
      <c r="Q31" s="190">
        <f t="shared" si="15"/>
        <v>0</v>
      </c>
      <c r="R31" s="208">
        <f t="shared" ref="R31:R40" si="35">R30</f>
        <v>0</v>
      </c>
      <c r="S31" s="287">
        <f t="shared" si="30"/>
        <v>0</v>
      </c>
      <c r="T31" s="209">
        <f t="shared" si="3"/>
        <v>0</v>
      </c>
      <c r="U31" s="187">
        <f t="shared" si="25"/>
        <v>0</v>
      </c>
      <c r="V31" s="190">
        <f t="shared" si="17"/>
        <v>0</v>
      </c>
      <c r="W31" s="208">
        <f t="shared" ref="W31:W40" si="36">W30</f>
        <v>0</v>
      </c>
      <c r="X31" s="287">
        <f t="shared" ref="X31:X40" si="37">X30</f>
        <v>0</v>
      </c>
      <c r="Y31" s="209">
        <f t="shared" si="4"/>
        <v>0</v>
      </c>
      <c r="Z31" s="187">
        <f t="shared" si="26"/>
        <v>0</v>
      </c>
      <c r="AA31" s="190">
        <f t="shared" si="18"/>
        <v>0</v>
      </c>
      <c r="AB31" s="208">
        <f t="shared" ref="AB31:AB40" si="38">AB30</f>
        <v>0</v>
      </c>
      <c r="AC31" s="287">
        <f t="shared" si="31"/>
        <v>0</v>
      </c>
      <c r="AD31" s="209">
        <f t="shared" si="5"/>
        <v>0</v>
      </c>
      <c r="AE31" s="187">
        <f t="shared" si="27"/>
        <v>0</v>
      </c>
      <c r="AF31" s="190">
        <f t="shared" si="20"/>
        <v>0</v>
      </c>
      <c r="AG31" s="208">
        <f t="shared" ref="AG31:AG40" si="39">AG30</f>
        <v>0</v>
      </c>
      <c r="AH31" s="287">
        <f t="shared" si="32"/>
        <v>0</v>
      </c>
      <c r="AI31" s="209">
        <f t="shared" si="6"/>
        <v>0</v>
      </c>
      <c r="AJ31" s="187">
        <f t="shared" si="28"/>
        <v>0</v>
      </c>
      <c r="AK31" s="190">
        <f t="shared" si="22"/>
        <v>0</v>
      </c>
    </row>
    <row r="32" spans="1:37" ht="14.25">
      <c r="A32" s="191">
        <f t="shared" si="7"/>
        <v>23</v>
      </c>
      <c r="B32" s="153">
        <v>41699</v>
      </c>
      <c r="C32" s="848">
        <f t="shared" si="8"/>
        <v>0</v>
      </c>
      <c r="D32" s="847">
        <f t="shared" si="9"/>
        <v>0</v>
      </c>
      <c r="E32" s="847">
        <f t="shared" si="10"/>
        <v>0</v>
      </c>
      <c r="F32" s="847">
        <f t="shared" si="11"/>
        <v>0</v>
      </c>
      <c r="G32" s="849">
        <f t="shared" si="1"/>
        <v>41699</v>
      </c>
      <c r="H32" s="208">
        <f t="shared" si="33"/>
        <v>0</v>
      </c>
      <c r="I32" s="287">
        <f t="shared" si="33"/>
        <v>0</v>
      </c>
      <c r="J32" s="846">
        <f t="shared" si="12"/>
        <v>0</v>
      </c>
      <c r="K32" s="187">
        <f t="shared" si="23"/>
        <v>0</v>
      </c>
      <c r="L32" s="190">
        <f t="shared" si="13"/>
        <v>0</v>
      </c>
      <c r="M32" s="208">
        <f t="shared" si="34"/>
        <v>0</v>
      </c>
      <c r="N32" s="287">
        <f t="shared" si="29"/>
        <v>0</v>
      </c>
      <c r="O32" s="846">
        <f t="shared" si="2"/>
        <v>0</v>
      </c>
      <c r="P32" s="187">
        <f t="shared" si="24"/>
        <v>0</v>
      </c>
      <c r="Q32" s="190">
        <f t="shared" si="15"/>
        <v>0</v>
      </c>
      <c r="R32" s="208">
        <f t="shared" si="35"/>
        <v>0</v>
      </c>
      <c r="S32" s="287">
        <f t="shared" si="30"/>
        <v>0</v>
      </c>
      <c r="T32" s="209">
        <f t="shared" si="3"/>
        <v>0</v>
      </c>
      <c r="U32" s="187">
        <f t="shared" si="25"/>
        <v>0</v>
      </c>
      <c r="V32" s="190">
        <f t="shared" si="17"/>
        <v>0</v>
      </c>
      <c r="W32" s="208">
        <f t="shared" si="36"/>
        <v>0</v>
      </c>
      <c r="X32" s="287">
        <f t="shared" si="37"/>
        <v>0</v>
      </c>
      <c r="Y32" s="209">
        <f t="shared" si="4"/>
        <v>0</v>
      </c>
      <c r="Z32" s="187">
        <f t="shared" si="26"/>
        <v>0</v>
      </c>
      <c r="AA32" s="190">
        <f t="shared" si="18"/>
        <v>0</v>
      </c>
      <c r="AB32" s="208">
        <f t="shared" si="38"/>
        <v>0</v>
      </c>
      <c r="AC32" s="287">
        <f t="shared" si="31"/>
        <v>0</v>
      </c>
      <c r="AD32" s="209">
        <f t="shared" si="5"/>
        <v>0</v>
      </c>
      <c r="AE32" s="187">
        <f t="shared" si="27"/>
        <v>0</v>
      </c>
      <c r="AF32" s="190">
        <f t="shared" si="20"/>
        <v>0</v>
      </c>
      <c r="AG32" s="208">
        <f t="shared" si="39"/>
        <v>0</v>
      </c>
      <c r="AH32" s="287">
        <f t="shared" si="32"/>
        <v>0</v>
      </c>
      <c r="AI32" s="209">
        <f t="shared" si="6"/>
        <v>0</v>
      </c>
      <c r="AJ32" s="187">
        <f t="shared" si="28"/>
        <v>0</v>
      </c>
      <c r="AK32" s="190">
        <f t="shared" si="22"/>
        <v>0</v>
      </c>
    </row>
    <row r="33" spans="1:37" ht="14.25">
      <c r="A33" s="191">
        <f t="shared" si="7"/>
        <v>24</v>
      </c>
      <c r="B33" s="153">
        <v>41730</v>
      </c>
      <c r="C33" s="848">
        <f t="shared" si="8"/>
        <v>0</v>
      </c>
      <c r="D33" s="847">
        <f t="shared" si="9"/>
        <v>0</v>
      </c>
      <c r="E33" s="847">
        <f t="shared" si="10"/>
        <v>0</v>
      </c>
      <c r="F33" s="847">
        <f t="shared" si="11"/>
        <v>0</v>
      </c>
      <c r="G33" s="849">
        <f t="shared" si="1"/>
        <v>41730</v>
      </c>
      <c r="H33" s="208">
        <f t="shared" si="33"/>
        <v>0</v>
      </c>
      <c r="I33" s="287">
        <f t="shared" si="33"/>
        <v>0</v>
      </c>
      <c r="J33" s="846">
        <f t="shared" si="12"/>
        <v>0</v>
      </c>
      <c r="K33" s="187">
        <f t="shared" si="23"/>
        <v>0</v>
      </c>
      <c r="L33" s="190">
        <f t="shared" si="13"/>
        <v>0</v>
      </c>
      <c r="M33" s="208">
        <f t="shared" si="34"/>
        <v>0</v>
      </c>
      <c r="N33" s="287">
        <f t="shared" si="29"/>
        <v>0</v>
      </c>
      <c r="O33" s="846">
        <f t="shared" si="2"/>
        <v>0</v>
      </c>
      <c r="P33" s="187">
        <f t="shared" si="24"/>
        <v>0</v>
      </c>
      <c r="Q33" s="190">
        <f t="shared" si="15"/>
        <v>0</v>
      </c>
      <c r="R33" s="208">
        <f t="shared" si="35"/>
        <v>0</v>
      </c>
      <c r="S33" s="287">
        <f t="shared" si="30"/>
        <v>0</v>
      </c>
      <c r="T33" s="209">
        <f t="shared" si="3"/>
        <v>0</v>
      </c>
      <c r="U33" s="187">
        <f t="shared" si="25"/>
        <v>0</v>
      </c>
      <c r="V33" s="190">
        <f t="shared" si="17"/>
        <v>0</v>
      </c>
      <c r="W33" s="208">
        <f t="shared" si="36"/>
        <v>0</v>
      </c>
      <c r="X33" s="287">
        <f t="shared" si="37"/>
        <v>0</v>
      </c>
      <c r="Y33" s="209">
        <f t="shared" si="4"/>
        <v>0</v>
      </c>
      <c r="Z33" s="187">
        <f t="shared" si="26"/>
        <v>0</v>
      </c>
      <c r="AA33" s="190">
        <f t="shared" si="18"/>
        <v>0</v>
      </c>
      <c r="AB33" s="208">
        <f t="shared" si="38"/>
        <v>0</v>
      </c>
      <c r="AC33" s="287">
        <f t="shared" si="31"/>
        <v>0</v>
      </c>
      <c r="AD33" s="209">
        <f t="shared" si="5"/>
        <v>0</v>
      </c>
      <c r="AE33" s="187">
        <f t="shared" si="27"/>
        <v>0</v>
      </c>
      <c r="AF33" s="190">
        <f t="shared" si="20"/>
        <v>0</v>
      </c>
      <c r="AG33" s="208">
        <f t="shared" si="39"/>
        <v>0</v>
      </c>
      <c r="AH33" s="287">
        <f t="shared" si="32"/>
        <v>0</v>
      </c>
      <c r="AI33" s="209">
        <f t="shared" si="6"/>
        <v>0</v>
      </c>
      <c r="AJ33" s="187">
        <f t="shared" si="28"/>
        <v>0</v>
      </c>
      <c r="AK33" s="190">
        <f t="shared" si="22"/>
        <v>0</v>
      </c>
    </row>
    <row r="34" spans="1:37" ht="14.25">
      <c r="A34" s="191">
        <f t="shared" si="7"/>
        <v>25</v>
      </c>
      <c r="B34" s="153">
        <v>41760</v>
      </c>
      <c r="C34" s="848">
        <f t="shared" si="8"/>
        <v>0</v>
      </c>
      <c r="D34" s="847">
        <f t="shared" si="9"/>
        <v>0</v>
      </c>
      <c r="E34" s="847">
        <f t="shared" si="10"/>
        <v>0</v>
      </c>
      <c r="F34" s="847">
        <f t="shared" si="11"/>
        <v>0</v>
      </c>
      <c r="G34" s="849">
        <f t="shared" si="1"/>
        <v>41760</v>
      </c>
      <c r="H34" s="208">
        <f t="shared" si="33"/>
        <v>0</v>
      </c>
      <c r="I34" s="287">
        <f t="shared" si="33"/>
        <v>0</v>
      </c>
      <c r="J34" s="846">
        <f t="shared" si="12"/>
        <v>0</v>
      </c>
      <c r="K34" s="187">
        <f t="shared" si="23"/>
        <v>0</v>
      </c>
      <c r="L34" s="190">
        <f t="shared" si="13"/>
        <v>0</v>
      </c>
      <c r="M34" s="208">
        <f t="shared" si="34"/>
        <v>0</v>
      </c>
      <c r="N34" s="287">
        <f t="shared" si="29"/>
        <v>0</v>
      </c>
      <c r="O34" s="846">
        <f t="shared" si="2"/>
        <v>0</v>
      </c>
      <c r="P34" s="187">
        <f t="shared" si="24"/>
        <v>0</v>
      </c>
      <c r="Q34" s="190">
        <f t="shared" si="15"/>
        <v>0</v>
      </c>
      <c r="R34" s="208">
        <f t="shared" si="35"/>
        <v>0</v>
      </c>
      <c r="S34" s="287">
        <f t="shared" si="30"/>
        <v>0</v>
      </c>
      <c r="T34" s="209">
        <f t="shared" si="3"/>
        <v>0</v>
      </c>
      <c r="U34" s="187">
        <f t="shared" si="25"/>
        <v>0</v>
      </c>
      <c r="V34" s="190">
        <f t="shared" si="17"/>
        <v>0</v>
      </c>
      <c r="W34" s="208">
        <f t="shared" si="36"/>
        <v>0</v>
      </c>
      <c r="X34" s="287">
        <f t="shared" si="37"/>
        <v>0</v>
      </c>
      <c r="Y34" s="209">
        <f t="shared" si="4"/>
        <v>0</v>
      </c>
      <c r="Z34" s="187">
        <f t="shared" si="26"/>
        <v>0</v>
      </c>
      <c r="AA34" s="190">
        <f t="shared" si="18"/>
        <v>0</v>
      </c>
      <c r="AB34" s="208">
        <f t="shared" si="38"/>
        <v>0</v>
      </c>
      <c r="AC34" s="287">
        <f t="shared" si="31"/>
        <v>0</v>
      </c>
      <c r="AD34" s="209">
        <f t="shared" si="5"/>
        <v>0</v>
      </c>
      <c r="AE34" s="187">
        <f t="shared" si="27"/>
        <v>0</v>
      </c>
      <c r="AF34" s="190">
        <f t="shared" si="20"/>
        <v>0</v>
      </c>
      <c r="AG34" s="208">
        <f t="shared" si="39"/>
        <v>0</v>
      </c>
      <c r="AH34" s="287">
        <f t="shared" si="32"/>
        <v>0</v>
      </c>
      <c r="AI34" s="209">
        <f t="shared" si="6"/>
        <v>0</v>
      </c>
      <c r="AJ34" s="187">
        <f t="shared" si="28"/>
        <v>0</v>
      </c>
      <c r="AK34" s="190">
        <f t="shared" si="22"/>
        <v>0</v>
      </c>
    </row>
    <row r="35" spans="1:37" ht="14.25">
      <c r="A35" s="191">
        <f t="shared" si="7"/>
        <v>26</v>
      </c>
      <c r="B35" s="153">
        <v>41791</v>
      </c>
      <c r="C35" s="848">
        <f t="shared" si="8"/>
        <v>0</v>
      </c>
      <c r="D35" s="847">
        <f t="shared" si="9"/>
        <v>0</v>
      </c>
      <c r="E35" s="847">
        <f t="shared" si="10"/>
        <v>0</v>
      </c>
      <c r="F35" s="847">
        <f t="shared" si="11"/>
        <v>0</v>
      </c>
      <c r="G35" s="849">
        <f t="shared" si="1"/>
        <v>41791</v>
      </c>
      <c r="H35" s="208">
        <f t="shared" si="33"/>
        <v>0</v>
      </c>
      <c r="I35" s="287">
        <f t="shared" si="33"/>
        <v>0</v>
      </c>
      <c r="J35" s="846">
        <f t="shared" si="12"/>
        <v>0</v>
      </c>
      <c r="K35" s="187">
        <f t="shared" si="23"/>
        <v>0</v>
      </c>
      <c r="L35" s="190">
        <f t="shared" si="13"/>
        <v>0</v>
      </c>
      <c r="M35" s="208">
        <f t="shared" si="34"/>
        <v>0</v>
      </c>
      <c r="N35" s="287">
        <f t="shared" si="29"/>
        <v>0</v>
      </c>
      <c r="O35" s="846">
        <f t="shared" si="2"/>
        <v>0</v>
      </c>
      <c r="P35" s="187">
        <f t="shared" si="24"/>
        <v>0</v>
      </c>
      <c r="Q35" s="190">
        <f t="shared" si="15"/>
        <v>0</v>
      </c>
      <c r="R35" s="208">
        <f t="shared" si="35"/>
        <v>0</v>
      </c>
      <c r="S35" s="287">
        <f t="shared" si="30"/>
        <v>0</v>
      </c>
      <c r="T35" s="209">
        <f t="shared" si="3"/>
        <v>0</v>
      </c>
      <c r="U35" s="187">
        <f t="shared" si="25"/>
        <v>0</v>
      </c>
      <c r="V35" s="190">
        <f t="shared" si="17"/>
        <v>0</v>
      </c>
      <c r="W35" s="208">
        <f t="shared" si="36"/>
        <v>0</v>
      </c>
      <c r="X35" s="287">
        <f t="shared" si="37"/>
        <v>0</v>
      </c>
      <c r="Y35" s="209">
        <f t="shared" si="4"/>
        <v>0</v>
      </c>
      <c r="Z35" s="187">
        <f t="shared" si="26"/>
        <v>0</v>
      </c>
      <c r="AA35" s="190">
        <f t="shared" si="18"/>
        <v>0</v>
      </c>
      <c r="AB35" s="208">
        <f t="shared" si="38"/>
        <v>0</v>
      </c>
      <c r="AC35" s="287">
        <f t="shared" si="31"/>
        <v>0</v>
      </c>
      <c r="AD35" s="209">
        <f t="shared" si="5"/>
        <v>0</v>
      </c>
      <c r="AE35" s="187">
        <f t="shared" si="27"/>
        <v>0</v>
      </c>
      <c r="AF35" s="190">
        <f t="shared" si="20"/>
        <v>0</v>
      </c>
      <c r="AG35" s="208">
        <f t="shared" si="39"/>
        <v>0</v>
      </c>
      <c r="AH35" s="287">
        <f t="shared" si="32"/>
        <v>0</v>
      </c>
      <c r="AI35" s="209">
        <f t="shared" si="6"/>
        <v>0</v>
      </c>
      <c r="AJ35" s="187">
        <f t="shared" si="28"/>
        <v>0</v>
      </c>
      <c r="AK35" s="190">
        <f t="shared" si="22"/>
        <v>0</v>
      </c>
    </row>
    <row r="36" spans="1:37" ht="14.25">
      <c r="A36" s="191">
        <f t="shared" si="7"/>
        <v>27</v>
      </c>
      <c r="B36" s="153">
        <v>41821</v>
      </c>
      <c r="C36" s="848">
        <f t="shared" si="8"/>
        <v>0</v>
      </c>
      <c r="D36" s="847">
        <f t="shared" si="9"/>
        <v>0</v>
      </c>
      <c r="E36" s="847">
        <f t="shared" si="10"/>
        <v>0</v>
      </c>
      <c r="F36" s="847">
        <f t="shared" si="11"/>
        <v>0</v>
      </c>
      <c r="G36" s="849">
        <f t="shared" si="1"/>
        <v>41821</v>
      </c>
      <c r="H36" s="208">
        <f t="shared" si="33"/>
        <v>0</v>
      </c>
      <c r="I36" s="287">
        <f t="shared" si="33"/>
        <v>0</v>
      </c>
      <c r="J36" s="846">
        <f t="shared" si="12"/>
        <v>0</v>
      </c>
      <c r="K36" s="187">
        <f t="shared" si="23"/>
        <v>0</v>
      </c>
      <c r="L36" s="190">
        <f t="shared" si="13"/>
        <v>0</v>
      </c>
      <c r="M36" s="208">
        <f t="shared" si="34"/>
        <v>0</v>
      </c>
      <c r="N36" s="287">
        <f t="shared" si="29"/>
        <v>0</v>
      </c>
      <c r="O36" s="846">
        <f t="shared" si="2"/>
        <v>0</v>
      </c>
      <c r="P36" s="187">
        <f t="shared" si="24"/>
        <v>0</v>
      </c>
      <c r="Q36" s="190">
        <f t="shared" si="15"/>
        <v>0</v>
      </c>
      <c r="R36" s="208">
        <f t="shared" si="35"/>
        <v>0</v>
      </c>
      <c r="S36" s="287">
        <f t="shared" si="30"/>
        <v>0</v>
      </c>
      <c r="T36" s="209">
        <f t="shared" si="3"/>
        <v>0</v>
      </c>
      <c r="U36" s="187">
        <f t="shared" si="25"/>
        <v>0</v>
      </c>
      <c r="V36" s="190">
        <f t="shared" si="17"/>
        <v>0</v>
      </c>
      <c r="W36" s="208">
        <f t="shared" si="36"/>
        <v>0</v>
      </c>
      <c r="X36" s="287">
        <f t="shared" si="37"/>
        <v>0</v>
      </c>
      <c r="Y36" s="209">
        <f t="shared" si="4"/>
        <v>0</v>
      </c>
      <c r="Z36" s="187">
        <f t="shared" si="26"/>
        <v>0</v>
      </c>
      <c r="AA36" s="190">
        <f t="shared" si="18"/>
        <v>0</v>
      </c>
      <c r="AB36" s="208">
        <f t="shared" si="38"/>
        <v>0</v>
      </c>
      <c r="AC36" s="287">
        <f t="shared" si="31"/>
        <v>0</v>
      </c>
      <c r="AD36" s="209">
        <f t="shared" si="5"/>
        <v>0</v>
      </c>
      <c r="AE36" s="187">
        <f t="shared" si="27"/>
        <v>0</v>
      </c>
      <c r="AF36" s="190">
        <f t="shared" si="20"/>
        <v>0</v>
      </c>
      <c r="AG36" s="208">
        <f t="shared" si="39"/>
        <v>0</v>
      </c>
      <c r="AH36" s="287">
        <f t="shared" si="32"/>
        <v>0</v>
      </c>
      <c r="AI36" s="209">
        <f t="shared" si="6"/>
        <v>0</v>
      </c>
      <c r="AJ36" s="187">
        <f t="shared" si="28"/>
        <v>0</v>
      </c>
      <c r="AK36" s="190">
        <f t="shared" si="22"/>
        <v>0</v>
      </c>
    </row>
    <row r="37" spans="1:37" ht="14.25">
      <c r="A37" s="191">
        <f t="shared" si="7"/>
        <v>28</v>
      </c>
      <c r="B37" s="153">
        <v>41852</v>
      </c>
      <c r="C37" s="848">
        <f t="shared" si="8"/>
        <v>0</v>
      </c>
      <c r="D37" s="847">
        <f t="shared" si="9"/>
        <v>0</v>
      </c>
      <c r="E37" s="847">
        <f t="shared" si="10"/>
        <v>0</v>
      </c>
      <c r="F37" s="847">
        <f t="shared" si="11"/>
        <v>0</v>
      </c>
      <c r="G37" s="849">
        <f t="shared" si="1"/>
        <v>41852</v>
      </c>
      <c r="H37" s="208">
        <f t="shared" si="33"/>
        <v>0</v>
      </c>
      <c r="I37" s="287">
        <f t="shared" si="33"/>
        <v>0</v>
      </c>
      <c r="J37" s="846">
        <f t="shared" si="12"/>
        <v>0</v>
      </c>
      <c r="K37" s="187">
        <f t="shared" si="23"/>
        <v>0</v>
      </c>
      <c r="L37" s="190">
        <f t="shared" si="13"/>
        <v>0</v>
      </c>
      <c r="M37" s="208">
        <f t="shared" si="34"/>
        <v>0</v>
      </c>
      <c r="N37" s="287">
        <f t="shared" si="29"/>
        <v>0</v>
      </c>
      <c r="O37" s="846">
        <f t="shared" si="2"/>
        <v>0</v>
      </c>
      <c r="P37" s="187">
        <f t="shared" si="24"/>
        <v>0</v>
      </c>
      <c r="Q37" s="190">
        <f t="shared" si="15"/>
        <v>0</v>
      </c>
      <c r="R37" s="208">
        <f t="shared" si="35"/>
        <v>0</v>
      </c>
      <c r="S37" s="287">
        <f t="shared" si="30"/>
        <v>0</v>
      </c>
      <c r="T37" s="209">
        <f t="shared" si="3"/>
        <v>0</v>
      </c>
      <c r="U37" s="187">
        <f t="shared" si="25"/>
        <v>0</v>
      </c>
      <c r="V37" s="190">
        <f t="shared" si="17"/>
        <v>0</v>
      </c>
      <c r="W37" s="208">
        <f t="shared" si="36"/>
        <v>0</v>
      </c>
      <c r="X37" s="287">
        <f t="shared" si="37"/>
        <v>0</v>
      </c>
      <c r="Y37" s="209">
        <f t="shared" si="4"/>
        <v>0</v>
      </c>
      <c r="Z37" s="187">
        <f t="shared" si="26"/>
        <v>0</v>
      </c>
      <c r="AA37" s="190">
        <f t="shared" si="18"/>
        <v>0</v>
      </c>
      <c r="AB37" s="208">
        <f t="shared" si="38"/>
        <v>0</v>
      </c>
      <c r="AC37" s="287">
        <f t="shared" si="31"/>
        <v>0</v>
      </c>
      <c r="AD37" s="209">
        <f t="shared" si="5"/>
        <v>0</v>
      </c>
      <c r="AE37" s="187">
        <f t="shared" si="27"/>
        <v>0</v>
      </c>
      <c r="AF37" s="190">
        <f t="shared" si="20"/>
        <v>0</v>
      </c>
      <c r="AG37" s="208">
        <f t="shared" si="39"/>
        <v>0</v>
      </c>
      <c r="AH37" s="287">
        <f t="shared" si="32"/>
        <v>0</v>
      </c>
      <c r="AI37" s="209">
        <f t="shared" si="6"/>
        <v>0</v>
      </c>
      <c r="AJ37" s="187">
        <f t="shared" si="28"/>
        <v>0</v>
      </c>
      <c r="AK37" s="190">
        <f t="shared" si="22"/>
        <v>0</v>
      </c>
    </row>
    <row r="38" spans="1:37" ht="14.25">
      <c r="A38" s="191">
        <f t="shared" si="7"/>
        <v>29</v>
      </c>
      <c r="B38" s="153">
        <v>41883</v>
      </c>
      <c r="C38" s="848">
        <f t="shared" si="8"/>
        <v>0</v>
      </c>
      <c r="D38" s="847">
        <f t="shared" si="9"/>
        <v>0</v>
      </c>
      <c r="E38" s="847">
        <f t="shared" si="10"/>
        <v>0</v>
      </c>
      <c r="F38" s="847">
        <f t="shared" si="11"/>
        <v>0</v>
      </c>
      <c r="G38" s="849">
        <f t="shared" si="1"/>
        <v>41883</v>
      </c>
      <c r="H38" s="208">
        <f t="shared" si="33"/>
        <v>0</v>
      </c>
      <c r="I38" s="287">
        <f t="shared" si="33"/>
        <v>0</v>
      </c>
      <c r="J38" s="846">
        <f t="shared" si="12"/>
        <v>0</v>
      </c>
      <c r="K38" s="187">
        <f t="shared" si="23"/>
        <v>0</v>
      </c>
      <c r="L38" s="190">
        <f t="shared" si="13"/>
        <v>0</v>
      </c>
      <c r="M38" s="208">
        <f t="shared" si="34"/>
        <v>0</v>
      </c>
      <c r="N38" s="287">
        <f t="shared" si="29"/>
        <v>0</v>
      </c>
      <c r="O38" s="846">
        <f t="shared" si="2"/>
        <v>0</v>
      </c>
      <c r="P38" s="187">
        <f t="shared" si="24"/>
        <v>0</v>
      </c>
      <c r="Q38" s="190">
        <f t="shared" si="15"/>
        <v>0</v>
      </c>
      <c r="R38" s="208">
        <f t="shared" si="35"/>
        <v>0</v>
      </c>
      <c r="S38" s="287">
        <f t="shared" si="30"/>
        <v>0</v>
      </c>
      <c r="T38" s="209">
        <f t="shared" si="3"/>
        <v>0</v>
      </c>
      <c r="U38" s="187">
        <f t="shared" si="25"/>
        <v>0</v>
      </c>
      <c r="V38" s="190">
        <f t="shared" si="17"/>
        <v>0</v>
      </c>
      <c r="W38" s="208">
        <f t="shared" si="36"/>
        <v>0</v>
      </c>
      <c r="X38" s="287">
        <f t="shared" si="37"/>
        <v>0</v>
      </c>
      <c r="Y38" s="209">
        <f t="shared" si="4"/>
        <v>0</v>
      </c>
      <c r="Z38" s="187">
        <f t="shared" si="26"/>
        <v>0</v>
      </c>
      <c r="AA38" s="190">
        <f t="shared" si="18"/>
        <v>0</v>
      </c>
      <c r="AB38" s="208">
        <f t="shared" si="38"/>
        <v>0</v>
      </c>
      <c r="AC38" s="287">
        <f t="shared" si="31"/>
        <v>0</v>
      </c>
      <c r="AD38" s="209">
        <f t="shared" si="5"/>
        <v>0</v>
      </c>
      <c r="AE38" s="187">
        <f t="shared" si="27"/>
        <v>0</v>
      </c>
      <c r="AF38" s="190">
        <f t="shared" si="20"/>
        <v>0</v>
      </c>
      <c r="AG38" s="208">
        <f t="shared" si="39"/>
        <v>0</v>
      </c>
      <c r="AH38" s="287">
        <f t="shared" si="32"/>
        <v>0</v>
      </c>
      <c r="AI38" s="209">
        <f t="shared" si="6"/>
        <v>0</v>
      </c>
      <c r="AJ38" s="187">
        <f t="shared" si="28"/>
        <v>0</v>
      </c>
      <c r="AK38" s="190">
        <f t="shared" si="22"/>
        <v>0</v>
      </c>
    </row>
    <row r="39" spans="1:37" ht="14.25">
      <c r="A39" s="191">
        <f t="shared" si="7"/>
        <v>30</v>
      </c>
      <c r="B39" s="153">
        <v>41913</v>
      </c>
      <c r="C39" s="848">
        <f t="shared" si="8"/>
        <v>0</v>
      </c>
      <c r="D39" s="847">
        <f t="shared" si="9"/>
        <v>0</v>
      </c>
      <c r="E39" s="847">
        <f t="shared" si="10"/>
        <v>0</v>
      </c>
      <c r="F39" s="847">
        <f t="shared" si="11"/>
        <v>0</v>
      </c>
      <c r="G39" s="849">
        <f t="shared" si="1"/>
        <v>41913</v>
      </c>
      <c r="H39" s="208">
        <f t="shared" si="33"/>
        <v>0</v>
      </c>
      <c r="I39" s="287">
        <f t="shared" si="33"/>
        <v>0</v>
      </c>
      <c r="J39" s="846">
        <f t="shared" si="12"/>
        <v>0</v>
      </c>
      <c r="K39" s="187">
        <f t="shared" si="23"/>
        <v>0</v>
      </c>
      <c r="L39" s="190">
        <f t="shared" si="13"/>
        <v>0</v>
      </c>
      <c r="M39" s="208">
        <f t="shared" si="34"/>
        <v>0</v>
      </c>
      <c r="N39" s="287">
        <f t="shared" si="29"/>
        <v>0</v>
      </c>
      <c r="O39" s="846">
        <f t="shared" si="2"/>
        <v>0</v>
      </c>
      <c r="P39" s="187">
        <f t="shared" si="24"/>
        <v>0</v>
      </c>
      <c r="Q39" s="190">
        <f t="shared" si="15"/>
        <v>0</v>
      </c>
      <c r="R39" s="208">
        <f t="shared" si="35"/>
        <v>0</v>
      </c>
      <c r="S39" s="287">
        <f t="shared" si="30"/>
        <v>0</v>
      </c>
      <c r="T39" s="209">
        <f t="shared" si="3"/>
        <v>0</v>
      </c>
      <c r="U39" s="187">
        <f t="shared" si="25"/>
        <v>0</v>
      </c>
      <c r="V39" s="190">
        <f t="shared" si="17"/>
        <v>0</v>
      </c>
      <c r="W39" s="208">
        <f t="shared" si="36"/>
        <v>0</v>
      </c>
      <c r="X39" s="287">
        <f t="shared" si="37"/>
        <v>0</v>
      </c>
      <c r="Y39" s="209">
        <f t="shared" si="4"/>
        <v>0</v>
      </c>
      <c r="Z39" s="187">
        <f t="shared" si="26"/>
        <v>0</v>
      </c>
      <c r="AA39" s="190">
        <f t="shared" si="18"/>
        <v>0</v>
      </c>
      <c r="AB39" s="208">
        <f t="shared" si="38"/>
        <v>0</v>
      </c>
      <c r="AC39" s="287">
        <f t="shared" si="31"/>
        <v>0</v>
      </c>
      <c r="AD39" s="209">
        <f t="shared" si="5"/>
        <v>0</v>
      </c>
      <c r="AE39" s="187">
        <f t="shared" si="27"/>
        <v>0</v>
      </c>
      <c r="AF39" s="190">
        <f t="shared" si="20"/>
        <v>0</v>
      </c>
      <c r="AG39" s="208">
        <f t="shared" si="39"/>
        <v>0</v>
      </c>
      <c r="AH39" s="287">
        <f t="shared" si="32"/>
        <v>0</v>
      </c>
      <c r="AI39" s="209">
        <f t="shared" si="6"/>
        <v>0</v>
      </c>
      <c r="AJ39" s="187">
        <f t="shared" si="28"/>
        <v>0</v>
      </c>
      <c r="AK39" s="190">
        <f t="shared" si="22"/>
        <v>0</v>
      </c>
    </row>
    <row r="40" spans="1:37" ht="14.25">
      <c r="A40" s="191">
        <f t="shared" si="7"/>
        <v>31</v>
      </c>
      <c r="B40" s="153">
        <v>41944</v>
      </c>
      <c r="C40" s="848">
        <f t="shared" si="8"/>
        <v>0</v>
      </c>
      <c r="D40" s="847">
        <f t="shared" si="9"/>
        <v>0</v>
      </c>
      <c r="E40" s="847">
        <f t="shared" si="10"/>
        <v>0</v>
      </c>
      <c r="F40" s="847">
        <f t="shared" si="11"/>
        <v>0</v>
      </c>
      <c r="G40" s="849">
        <f t="shared" si="1"/>
        <v>41944</v>
      </c>
      <c r="H40" s="208">
        <f t="shared" si="33"/>
        <v>0</v>
      </c>
      <c r="I40" s="287">
        <f t="shared" si="33"/>
        <v>0</v>
      </c>
      <c r="J40" s="846">
        <f t="shared" si="12"/>
        <v>0</v>
      </c>
      <c r="K40" s="187">
        <f t="shared" si="23"/>
        <v>0</v>
      </c>
      <c r="L40" s="190">
        <f t="shared" si="13"/>
        <v>0</v>
      </c>
      <c r="M40" s="208">
        <f t="shared" si="34"/>
        <v>0</v>
      </c>
      <c r="N40" s="287">
        <f t="shared" si="29"/>
        <v>0</v>
      </c>
      <c r="O40" s="846">
        <f t="shared" si="2"/>
        <v>0</v>
      </c>
      <c r="P40" s="187">
        <f t="shared" si="24"/>
        <v>0</v>
      </c>
      <c r="Q40" s="190">
        <f t="shared" si="15"/>
        <v>0</v>
      </c>
      <c r="R40" s="208">
        <f t="shared" si="35"/>
        <v>0</v>
      </c>
      <c r="S40" s="287">
        <f t="shared" si="30"/>
        <v>0</v>
      </c>
      <c r="T40" s="209">
        <f t="shared" si="3"/>
        <v>0</v>
      </c>
      <c r="U40" s="187">
        <f t="shared" si="25"/>
        <v>0</v>
      </c>
      <c r="V40" s="190">
        <f t="shared" si="17"/>
        <v>0</v>
      </c>
      <c r="W40" s="208">
        <f t="shared" si="36"/>
        <v>0</v>
      </c>
      <c r="X40" s="287">
        <f t="shared" si="37"/>
        <v>0</v>
      </c>
      <c r="Y40" s="209">
        <f t="shared" si="4"/>
        <v>0</v>
      </c>
      <c r="Z40" s="187">
        <f t="shared" si="26"/>
        <v>0</v>
      </c>
      <c r="AA40" s="190">
        <f t="shared" si="18"/>
        <v>0</v>
      </c>
      <c r="AB40" s="208">
        <f t="shared" si="38"/>
        <v>0</v>
      </c>
      <c r="AC40" s="287">
        <f t="shared" si="31"/>
        <v>0</v>
      </c>
      <c r="AD40" s="209">
        <f t="shared" si="5"/>
        <v>0</v>
      </c>
      <c r="AE40" s="187">
        <f t="shared" si="27"/>
        <v>0</v>
      </c>
      <c r="AF40" s="190">
        <f t="shared" si="20"/>
        <v>0</v>
      </c>
      <c r="AG40" s="208">
        <f t="shared" si="39"/>
        <v>0</v>
      </c>
      <c r="AH40" s="287">
        <f t="shared" si="32"/>
        <v>0</v>
      </c>
      <c r="AI40" s="209">
        <f t="shared" si="6"/>
        <v>0</v>
      </c>
      <c r="AJ40" s="187">
        <f t="shared" si="28"/>
        <v>0</v>
      </c>
      <c r="AK40" s="190">
        <f t="shared" si="22"/>
        <v>0</v>
      </c>
    </row>
    <row r="41" spans="1:37" ht="14.25">
      <c r="A41" s="191">
        <f t="shared" si="7"/>
        <v>32</v>
      </c>
      <c r="B41" s="153">
        <v>41974</v>
      </c>
      <c r="C41" s="848">
        <f t="shared" si="8"/>
        <v>0</v>
      </c>
      <c r="D41" s="847">
        <f t="shared" si="9"/>
        <v>0</v>
      </c>
      <c r="E41" s="847">
        <f t="shared" si="10"/>
        <v>0</v>
      </c>
      <c r="F41" s="847">
        <f t="shared" si="11"/>
        <v>0</v>
      </c>
      <c r="G41" s="849">
        <f t="shared" si="1"/>
        <v>41974</v>
      </c>
      <c r="H41" s="208">
        <v>0</v>
      </c>
      <c r="I41" s="287">
        <v>0</v>
      </c>
      <c r="J41" s="846">
        <f t="shared" si="12"/>
        <v>0</v>
      </c>
      <c r="K41" s="187">
        <f t="shared" si="23"/>
        <v>0</v>
      </c>
      <c r="L41" s="190">
        <f t="shared" si="13"/>
        <v>0</v>
      </c>
      <c r="M41" s="208">
        <v>0</v>
      </c>
      <c r="N41" s="287">
        <f t="shared" si="29"/>
        <v>0</v>
      </c>
      <c r="O41" s="846">
        <f t="shared" si="2"/>
        <v>0</v>
      </c>
      <c r="P41" s="187">
        <f t="shared" si="24"/>
        <v>0</v>
      </c>
      <c r="Q41" s="190">
        <f t="shared" si="15"/>
        <v>0</v>
      </c>
      <c r="R41" s="208">
        <v>0</v>
      </c>
      <c r="S41" s="287">
        <f t="shared" si="30"/>
        <v>0</v>
      </c>
      <c r="T41" s="209">
        <f t="shared" si="3"/>
        <v>0</v>
      </c>
      <c r="U41" s="187">
        <f t="shared" si="25"/>
        <v>0</v>
      </c>
      <c r="V41" s="190">
        <f t="shared" si="17"/>
        <v>0</v>
      </c>
      <c r="W41" s="208">
        <v>0</v>
      </c>
      <c r="X41" s="287">
        <v>0</v>
      </c>
      <c r="Y41" s="209">
        <f t="shared" si="4"/>
        <v>0</v>
      </c>
      <c r="Z41" s="187">
        <f t="shared" si="26"/>
        <v>0</v>
      </c>
      <c r="AA41" s="190">
        <f t="shared" si="18"/>
        <v>0</v>
      </c>
      <c r="AB41" s="208">
        <v>0</v>
      </c>
      <c r="AC41" s="287">
        <f t="shared" si="31"/>
        <v>0</v>
      </c>
      <c r="AD41" s="209">
        <f t="shared" si="5"/>
        <v>0</v>
      </c>
      <c r="AE41" s="187">
        <f t="shared" si="27"/>
        <v>0</v>
      </c>
      <c r="AF41" s="190">
        <f t="shared" si="20"/>
        <v>0</v>
      </c>
      <c r="AG41" s="208">
        <v>0</v>
      </c>
      <c r="AH41" s="287">
        <f t="shared" si="32"/>
        <v>0</v>
      </c>
      <c r="AI41" s="209">
        <f t="shared" si="6"/>
        <v>0</v>
      </c>
      <c r="AJ41" s="187">
        <f t="shared" si="28"/>
        <v>0</v>
      </c>
      <c r="AK41" s="190">
        <f t="shared" si="22"/>
        <v>0</v>
      </c>
    </row>
    <row r="42" spans="1:37" ht="14.25">
      <c r="B42" s="178"/>
      <c r="C42" s="178"/>
      <c r="D42" s="847"/>
      <c r="E42" s="847"/>
      <c r="F42" s="847"/>
      <c r="G42" s="189"/>
      <c r="H42" s="188"/>
      <c r="I42" s="840"/>
      <c r="J42" s="187"/>
      <c r="K42" s="187"/>
      <c r="L42" s="190"/>
      <c r="M42" s="188"/>
      <c r="N42" s="840"/>
      <c r="O42" s="187"/>
      <c r="P42" s="187"/>
      <c r="Q42" s="190"/>
      <c r="R42" s="188"/>
      <c r="S42" s="840"/>
      <c r="T42" s="187"/>
      <c r="U42" s="187"/>
      <c r="V42" s="190"/>
      <c r="W42" s="188"/>
      <c r="X42" s="840"/>
      <c r="Y42" s="187"/>
      <c r="Z42" s="187"/>
      <c r="AA42" s="190"/>
      <c r="AB42" s="188"/>
      <c r="AC42" s="840"/>
      <c r="AD42" s="187"/>
      <c r="AE42" s="187"/>
      <c r="AF42" s="190"/>
      <c r="AG42" s="188"/>
      <c r="AH42" s="840"/>
      <c r="AI42" s="187"/>
      <c r="AJ42" s="187"/>
      <c r="AK42" s="190"/>
    </row>
    <row r="43" spans="1:37" ht="14.25">
      <c r="A43" s="189">
        <f>A41+1</f>
        <v>33</v>
      </c>
      <c r="B43" s="183" t="s">
        <v>1046</v>
      </c>
      <c r="C43" s="183"/>
      <c r="D43" s="847"/>
      <c r="E43" s="847">
        <f>SUM(E30:E41)</f>
        <v>0</v>
      </c>
      <c r="F43" s="847"/>
      <c r="G43" s="189"/>
      <c r="H43" s="850"/>
      <c r="I43" s="851"/>
      <c r="J43" s="851">
        <f>SUM(J30:J41)</f>
        <v>0</v>
      </c>
      <c r="K43" s="851"/>
      <c r="L43" s="852"/>
      <c r="M43" s="850"/>
      <c r="N43" s="851"/>
      <c r="O43" s="851">
        <f>SUM(O30:O41)</f>
        <v>0</v>
      </c>
      <c r="P43" s="851"/>
      <c r="Q43" s="852"/>
      <c r="R43" s="850"/>
      <c r="S43" s="851"/>
      <c r="T43" s="851">
        <f>SUM(T30:T41)</f>
        <v>0</v>
      </c>
      <c r="U43" s="851"/>
      <c r="V43" s="852"/>
      <c r="W43" s="850"/>
      <c r="X43" s="851"/>
      <c r="Y43" s="851">
        <f>SUM(Y30:Y41)</f>
        <v>0</v>
      </c>
      <c r="Z43" s="851"/>
      <c r="AA43" s="852"/>
      <c r="AB43" s="850"/>
      <c r="AC43" s="851"/>
      <c r="AD43" s="851">
        <f>SUM(AD30:AD41)</f>
        <v>0</v>
      </c>
      <c r="AE43" s="851"/>
      <c r="AF43" s="852"/>
      <c r="AG43" s="850"/>
      <c r="AH43" s="851"/>
      <c r="AI43" s="851">
        <f>SUM(AI30:AI41)</f>
        <v>0</v>
      </c>
      <c r="AJ43" s="851"/>
      <c r="AK43" s="852"/>
    </row>
    <row r="44" spans="1:37" ht="14.25">
      <c r="A44" s="189">
        <f t="shared" si="7"/>
        <v>34</v>
      </c>
      <c r="B44" s="183" t="s">
        <v>1553</v>
      </c>
      <c r="C44" s="1875">
        <f>SUM(C29:C41)/13</f>
        <v>0</v>
      </c>
      <c r="D44" s="1875">
        <f>SUM(D29:D41)/13</f>
        <v>0</v>
      </c>
      <c r="E44" s="1251"/>
      <c r="F44" s="1875">
        <f>SUM(F29:F41)/13</f>
        <v>0</v>
      </c>
      <c r="G44" s="189"/>
      <c r="H44" s="1875">
        <f>SUM(H29:H41)/13</f>
        <v>0</v>
      </c>
      <c r="I44" s="1875">
        <f>SUM(I29:I41)/13</f>
        <v>0</v>
      </c>
      <c r="J44" s="1876"/>
      <c r="K44" s="1875">
        <f>SUM(K29:K41)/13</f>
        <v>0</v>
      </c>
      <c r="L44" s="1875">
        <f>SUM(L29:L41)/13</f>
        <v>0</v>
      </c>
      <c r="M44" s="1875">
        <f>SUM(M29:M41)/13</f>
        <v>0</v>
      </c>
      <c r="N44" s="1875">
        <f>SUM(N29:N41)/13</f>
        <v>0</v>
      </c>
      <c r="O44" s="1876"/>
      <c r="P44" s="1875">
        <f>SUM(P29:P41)/13</f>
        <v>0</v>
      </c>
      <c r="Q44" s="1875">
        <f>SUM(Q29:Q41)/13</f>
        <v>0</v>
      </c>
      <c r="R44" s="1875">
        <f>SUM(R29:R41)/13</f>
        <v>0</v>
      </c>
      <c r="S44" s="1875">
        <f>SUM(S29:S41)/13</f>
        <v>0</v>
      </c>
      <c r="T44" s="1876"/>
      <c r="U44" s="1875">
        <f>SUM(U29:U41)/13</f>
        <v>0</v>
      </c>
      <c r="V44" s="1875">
        <f>SUM(V29:V41)/13</f>
        <v>0</v>
      </c>
      <c r="W44" s="1875">
        <f>SUM(W29:W41)/13</f>
        <v>0</v>
      </c>
      <c r="X44" s="1875">
        <f>SUM(X29:X41)/13</f>
        <v>0</v>
      </c>
      <c r="Y44" s="1876"/>
      <c r="Z44" s="1875">
        <f>SUM(Z29:Z41)/13</f>
        <v>0</v>
      </c>
      <c r="AA44" s="1875">
        <f>SUM(AA29:AA41)/13</f>
        <v>0</v>
      </c>
      <c r="AB44" s="1875">
        <f>SUM(AB29:AB41)/13</f>
        <v>0</v>
      </c>
      <c r="AC44" s="1875">
        <f>SUM(AC29:AC41)/13</f>
        <v>0</v>
      </c>
      <c r="AD44" s="1876"/>
      <c r="AE44" s="1875">
        <f>SUM(AE29:AE41)/13</f>
        <v>0</v>
      </c>
      <c r="AF44" s="1875">
        <f>SUM(AF29:AF41)/13</f>
        <v>0</v>
      </c>
      <c r="AG44" s="1875">
        <f>SUM(AG29:AG41)/13</f>
        <v>0</v>
      </c>
      <c r="AH44" s="1875">
        <f>SUM(AH29:AH41)/13</f>
        <v>0</v>
      </c>
      <c r="AI44" s="1876"/>
      <c r="AJ44" s="1875">
        <f>SUM(AJ29:AJ41)/13</f>
        <v>0</v>
      </c>
      <c r="AK44" s="1875">
        <f>SUM(AK29:AK41)/13</f>
        <v>0</v>
      </c>
    </row>
    <row r="45" spans="1:37" ht="15">
      <c r="A45" s="189">
        <f t="shared" si="7"/>
        <v>35</v>
      </c>
      <c r="B45" s="192" t="s">
        <v>851</v>
      </c>
      <c r="C45" s="847"/>
      <c r="D45" s="847"/>
      <c r="E45" s="847"/>
      <c r="F45" s="847"/>
      <c r="G45" s="191"/>
      <c r="H45" s="853"/>
      <c r="I45" s="854"/>
      <c r="J45" s="854"/>
      <c r="K45" s="854"/>
      <c r="L45" s="855"/>
      <c r="M45" s="853"/>
      <c r="N45" s="854"/>
      <c r="O45" s="854"/>
      <c r="P45" s="854"/>
      <c r="Q45" s="855"/>
      <c r="R45" s="853"/>
      <c r="S45" s="854"/>
      <c r="T45" s="854"/>
      <c r="U45" s="854"/>
      <c r="V45" s="855"/>
      <c r="W45" s="853"/>
      <c r="X45" s="854"/>
      <c r="Y45" s="854"/>
      <c r="Z45" s="854"/>
      <c r="AA45" s="855"/>
      <c r="AB45" s="853"/>
      <c r="AC45" s="854"/>
      <c r="AD45" s="854"/>
      <c r="AE45" s="854"/>
      <c r="AF45" s="855"/>
      <c r="AG45" s="853"/>
      <c r="AH45" s="854"/>
      <c r="AI45" s="854"/>
      <c r="AJ45" s="854"/>
      <c r="AK45" s="855"/>
    </row>
    <row r="46" spans="1:37" ht="15">
      <c r="A46" s="189">
        <f t="shared" si="7"/>
        <v>36</v>
      </c>
      <c r="B46" s="361" t="s">
        <v>742</v>
      </c>
      <c r="C46" s="975"/>
      <c r="D46" s="88"/>
      <c r="E46" s="976">
        <f>J46+O46+T46+Y46+AD46+AI46</f>
        <v>0</v>
      </c>
      <c r="F46" s="847"/>
      <c r="G46" s="191"/>
      <c r="H46" s="1040" t="s">
        <v>742</v>
      </c>
      <c r="I46" s="975"/>
      <c r="J46" s="976">
        <f>H44*'Projected Gross Rev Req'!K210*(1+L11)</f>
        <v>0</v>
      </c>
      <c r="K46" s="976"/>
      <c r="L46" s="977"/>
      <c r="M46" s="1040" t="s">
        <v>742</v>
      </c>
      <c r="N46" s="975"/>
      <c r="O46" s="976">
        <f>M44*'Projected Gross Rev Req'!K210*(1+Q11)</f>
        <v>0</v>
      </c>
      <c r="P46" s="976"/>
      <c r="Q46" s="977"/>
      <c r="R46" s="1040" t="s">
        <v>742</v>
      </c>
      <c r="S46" s="1041"/>
      <c r="T46" s="976">
        <f>R44*'Projected Gross Rev Req'!K210*(1+V11)</f>
        <v>0</v>
      </c>
      <c r="U46" s="976"/>
      <c r="V46" s="977"/>
      <c r="W46" s="1040" t="s">
        <v>742</v>
      </c>
      <c r="X46" s="975"/>
      <c r="Y46" s="976">
        <f>W44*'Projected Gross Rev Req'!K210*(1+AA11)</f>
        <v>0</v>
      </c>
      <c r="Z46" s="976"/>
      <c r="AA46" s="977"/>
      <c r="AB46" s="1040" t="s">
        <v>742</v>
      </c>
      <c r="AC46" s="975"/>
      <c r="AD46" s="976">
        <f>AB44*'Projected Gross Rev Req'!K210*(1+AF11)</f>
        <v>0</v>
      </c>
      <c r="AE46" s="976"/>
      <c r="AF46" s="977"/>
      <c r="AG46" s="1040" t="s">
        <v>742</v>
      </c>
      <c r="AH46" s="975"/>
      <c r="AI46" s="976">
        <f>AG44*'Projected Gross Rev Req'!K210*(1+AK11)</f>
        <v>0</v>
      </c>
      <c r="AJ46" s="205"/>
      <c r="AK46" s="978"/>
    </row>
    <row r="47" spans="1:37" ht="28.5" customHeight="1">
      <c r="A47" s="189">
        <f t="shared" si="7"/>
        <v>37</v>
      </c>
      <c r="B47" s="2276" t="s">
        <v>323</v>
      </c>
      <c r="C47" s="2135"/>
      <c r="D47" s="2135"/>
      <c r="E47" s="976">
        <f>J47+O47+T47+Y47+AD47+AI47</f>
        <v>0</v>
      </c>
      <c r="G47" s="119"/>
      <c r="H47" s="2267" t="s">
        <v>896</v>
      </c>
      <c r="I47" s="2268"/>
      <c r="J47" s="979">
        <f>L44*J11*(1+L11)</f>
        <v>0</v>
      </c>
      <c r="K47" s="125"/>
      <c r="L47" s="980"/>
      <c r="M47" s="2267" t="s">
        <v>896</v>
      </c>
      <c r="N47" s="2268"/>
      <c r="O47" s="979">
        <f>Q44*O11*(1+Q11)</f>
        <v>0</v>
      </c>
      <c r="P47" s="433"/>
      <c r="Q47" s="980"/>
      <c r="R47" s="2267" t="s">
        <v>896</v>
      </c>
      <c r="S47" s="2268"/>
      <c r="T47" s="979">
        <f>V44*T11*(1+V11)</f>
        <v>0</v>
      </c>
      <c r="U47" s="433"/>
      <c r="V47" s="980"/>
      <c r="W47" s="2267" t="s">
        <v>896</v>
      </c>
      <c r="X47" s="2268"/>
      <c r="Y47" s="979">
        <f>AA44*Y11*(1+AA11)</f>
        <v>0</v>
      </c>
      <c r="Z47" s="433"/>
      <c r="AA47" s="980"/>
      <c r="AB47" s="2267" t="s">
        <v>896</v>
      </c>
      <c r="AC47" s="2268"/>
      <c r="AD47" s="979">
        <f>AF44*AD11*(1+AF11)</f>
        <v>0</v>
      </c>
      <c r="AE47" s="433"/>
      <c r="AF47" s="980"/>
      <c r="AG47" s="2267" t="s">
        <v>896</v>
      </c>
      <c r="AH47" s="2268"/>
      <c r="AI47" s="979">
        <f>AK44*AI11*(1+AK11)</f>
        <v>0</v>
      </c>
      <c r="AJ47" s="979"/>
      <c r="AK47" s="981"/>
    </row>
    <row r="48" spans="1:37">
      <c r="B48" s="656"/>
      <c r="C48" s="656"/>
      <c r="G48" s="119"/>
      <c r="H48" s="120"/>
      <c r="I48" s="120"/>
      <c r="J48" s="120"/>
      <c r="K48" s="120"/>
    </row>
    <row r="49" spans="1:20" ht="20.25">
      <c r="B49" s="114" t="str">
        <f>B$1</f>
        <v>Worksheet P1 - Projected Transmission Plant</v>
      </c>
      <c r="C49" s="114"/>
      <c r="G49" s="119"/>
      <c r="H49" s="120"/>
      <c r="I49" s="120"/>
      <c r="J49" s="2193" t="s">
        <v>209</v>
      </c>
      <c r="K49" s="2193"/>
    </row>
    <row r="50" spans="1:20" ht="15.75">
      <c r="B50" s="74" t="str">
        <f>B$3</f>
        <v>For the 12 months ended - December 31, 2014</v>
      </c>
      <c r="C50" s="74"/>
      <c r="G50" s="119"/>
      <c r="H50" s="120"/>
      <c r="I50" s="120"/>
      <c r="J50" s="1099"/>
      <c r="K50" s="120"/>
    </row>
    <row r="51" spans="1:20">
      <c r="G51" s="119"/>
      <c r="H51" s="120"/>
      <c r="I51" s="120"/>
      <c r="J51" s="118" t="s">
        <v>1421</v>
      </c>
    </row>
    <row r="52" spans="1:20">
      <c r="G52" s="119"/>
      <c r="H52" s="120"/>
      <c r="I52" s="120"/>
      <c r="J52" s="120"/>
      <c r="K52" s="120"/>
    </row>
    <row r="53" spans="1:20" ht="15">
      <c r="B53" s="2274" t="s">
        <v>1767</v>
      </c>
      <c r="C53" s="2274"/>
      <c r="D53" s="2274"/>
      <c r="E53" s="2274"/>
      <c r="F53" s="2275"/>
      <c r="G53" s="193"/>
      <c r="H53" s="194"/>
      <c r="I53" s="194"/>
      <c r="J53" s="194"/>
      <c r="K53" s="195"/>
      <c r="L53" s="123"/>
      <c r="M53" s="123"/>
      <c r="N53" s="123"/>
      <c r="O53" s="123"/>
      <c r="P53" s="176"/>
      <c r="T53" s="562"/>
    </row>
    <row r="54" spans="1:20" ht="15">
      <c r="B54" s="2271" t="s">
        <v>631</v>
      </c>
      <c r="C54" s="2271"/>
      <c r="D54" s="2271"/>
      <c r="E54" s="2271"/>
      <c r="F54" s="2271"/>
      <c r="G54" s="196"/>
      <c r="H54" s="2272" t="s">
        <v>1407</v>
      </c>
      <c r="I54" s="2272"/>
      <c r="J54" s="2272"/>
      <c r="K54" s="2273"/>
      <c r="L54" s="2270"/>
      <c r="M54" s="2270"/>
      <c r="N54" s="2270"/>
      <c r="O54" s="2270"/>
      <c r="P54" s="2270"/>
    </row>
    <row r="55" spans="1:20" ht="14.25">
      <c r="B55" s="179"/>
      <c r="C55" s="179"/>
      <c r="D55" s="179"/>
      <c r="E55" s="179"/>
      <c r="F55" s="179"/>
      <c r="G55" s="196"/>
      <c r="H55" s="1877"/>
      <c r="I55" s="1877"/>
      <c r="J55" s="1877"/>
      <c r="K55" s="1878"/>
      <c r="L55" s="164"/>
      <c r="M55" s="164"/>
      <c r="N55" s="164"/>
      <c r="O55" s="164"/>
      <c r="P55" s="164"/>
    </row>
    <row r="56" spans="1:20" ht="14.25">
      <c r="B56" s="179"/>
      <c r="C56" s="179"/>
      <c r="D56" s="179"/>
      <c r="E56" s="179"/>
      <c r="F56" s="179"/>
      <c r="G56" s="196"/>
      <c r="H56" s="135"/>
      <c r="I56" s="1877"/>
      <c r="J56" s="1877" t="s">
        <v>1583</v>
      </c>
      <c r="K56" s="1878" t="s">
        <v>1583</v>
      </c>
      <c r="L56" s="164"/>
      <c r="M56" s="164"/>
      <c r="N56" s="164"/>
      <c r="O56" s="164"/>
      <c r="P56" s="164"/>
    </row>
    <row r="57" spans="1:20" ht="14.25">
      <c r="B57" s="179"/>
      <c r="C57" s="179"/>
      <c r="D57" s="179"/>
      <c r="E57" s="179"/>
      <c r="F57" s="179"/>
      <c r="G57" s="196"/>
      <c r="H57" s="250" t="s">
        <v>148</v>
      </c>
      <c r="I57" s="250"/>
      <c r="J57" s="250" t="s">
        <v>1584</v>
      </c>
      <c r="K57" s="251" t="s">
        <v>89</v>
      </c>
      <c r="L57" s="164"/>
      <c r="M57" s="164"/>
      <c r="N57" s="164"/>
      <c r="O57" s="164"/>
      <c r="P57" s="164"/>
    </row>
    <row r="58" spans="1:20" ht="16.5" customHeight="1" thickBot="1">
      <c r="B58" s="163" t="s">
        <v>394</v>
      </c>
      <c r="C58" s="163"/>
      <c r="D58" s="163" t="s">
        <v>1045</v>
      </c>
      <c r="E58" s="163" t="s">
        <v>1584</v>
      </c>
      <c r="F58" s="197" t="s">
        <v>1044</v>
      </c>
      <c r="G58" s="2277" t="s">
        <v>1698</v>
      </c>
      <c r="H58" s="2278"/>
      <c r="I58" s="252" t="s">
        <v>88</v>
      </c>
      <c r="J58" s="252" t="s">
        <v>1069</v>
      </c>
      <c r="K58" s="253" t="s">
        <v>1584</v>
      </c>
      <c r="L58" s="164"/>
      <c r="M58" s="164"/>
      <c r="N58" s="164"/>
      <c r="O58" s="164"/>
      <c r="P58" s="164"/>
    </row>
    <row r="59" spans="1:20" ht="14.25">
      <c r="A59" s="119">
        <v>1</v>
      </c>
      <c r="B59" s="179"/>
      <c r="C59" s="179"/>
      <c r="D59" s="179"/>
      <c r="E59" s="179"/>
      <c r="F59" s="179"/>
      <c r="G59" s="196"/>
      <c r="H59" s="181"/>
      <c r="I59" s="181"/>
      <c r="J59" s="1090">
        <f>IF('Actual Gross Rev Req'!H16=0,0,ROUND('Actual Gross Rev Req'!H92/'Actual Gross Rev Req'!H16,6)/12)</f>
        <v>1.4935833333333335E-3</v>
      </c>
      <c r="K59" s="198"/>
      <c r="L59" s="611"/>
      <c r="M59" s="1066"/>
      <c r="N59" s="279"/>
      <c r="O59" s="177"/>
      <c r="P59" s="175"/>
    </row>
    <row r="60" spans="1:20" ht="14.25">
      <c r="A60" s="119">
        <v>2</v>
      </c>
      <c r="B60" s="179"/>
      <c r="C60" s="179"/>
      <c r="D60" s="179"/>
      <c r="E60" s="179"/>
      <c r="F60" s="179"/>
      <c r="G60" s="196"/>
      <c r="H60" s="181"/>
      <c r="I60" s="181"/>
      <c r="J60" s="775"/>
      <c r="K60" s="182"/>
      <c r="L60" s="123"/>
      <c r="M60" s="123"/>
      <c r="N60" s="123"/>
      <c r="O60" s="123"/>
      <c r="P60" s="123"/>
    </row>
    <row r="61" spans="1:20" ht="14.25">
      <c r="A61" s="119">
        <v>3</v>
      </c>
      <c r="B61" s="183"/>
      <c r="C61" s="183"/>
      <c r="D61" s="654"/>
      <c r="E61" s="410"/>
      <c r="F61" s="655"/>
      <c r="G61" s="408" t="s">
        <v>1862</v>
      </c>
      <c r="H61" s="199"/>
      <c r="I61" s="409">
        <f>'A-11 (Act 13 Mo &amp; BOY-EOY Aver)'!O14</f>
        <v>412619768</v>
      </c>
      <c r="J61" s="410"/>
      <c r="K61" s="411">
        <f>'A-11 (Act 13 Mo &amp; BOY-EOY Aver)'!O27</f>
        <v>175187210</v>
      </c>
      <c r="L61" s="135"/>
      <c r="M61" s="135"/>
      <c r="N61" s="412"/>
      <c r="O61" s="413"/>
      <c r="P61" s="414"/>
    </row>
    <row r="62" spans="1:20">
      <c r="G62" s="166"/>
      <c r="H62" s="123"/>
      <c r="I62" s="123"/>
      <c r="J62" s="123"/>
      <c r="K62" s="146"/>
      <c r="L62" s="123"/>
      <c r="M62" s="123"/>
      <c r="N62" s="123"/>
      <c r="O62" s="123"/>
      <c r="P62" s="123"/>
    </row>
    <row r="63" spans="1:20">
      <c r="B63" s="746" t="s">
        <v>1740</v>
      </c>
      <c r="C63" s="746" t="s">
        <v>1741</v>
      </c>
      <c r="D63" s="746" t="s">
        <v>1768</v>
      </c>
      <c r="E63" s="746" t="s">
        <v>1742</v>
      </c>
      <c r="F63" s="744" t="s">
        <v>1743</v>
      </c>
      <c r="G63" s="1997" t="s">
        <v>1744</v>
      </c>
      <c r="H63" s="745" t="s">
        <v>1571</v>
      </c>
      <c r="I63" s="745" t="s">
        <v>1572</v>
      </c>
      <c r="J63" s="747" t="s">
        <v>1573</v>
      </c>
      <c r="K63" s="747" t="s">
        <v>1574</v>
      </c>
      <c r="L63" s="123"/>
      <c r="M63" s="123"/>
      <c r="N63" s="123"/>
      <c r="O63" s="123"/>
      <c r="P63" s="123"/>
    </row>
    <row r="64" spans="1:20">
      <c r="G64" s="744"/>
      <c r="H64" s="745"/>
      <c r="I64" s="745"/>
      <c r="J64" s="123"/>
      <c r="K64" s="146"/>
      <c r="L64" s="123"/>
      <c r="M64" s="123"/>
      <c r="N64" s="123"/>
      <c r="O64" s="123"/>
      <c r="P64" s="123"/>
    </row>
    <row r="65" spans="1:16" ht="14.25">
      <c r="A65" s="191">
        <f>+A61+1</f>
        <v>4</v>
      </c>
      <c r="B65" s="1936">
        <v>41275</v>
      </c>
      <c r="C65" s="1068"/>
      <c r="D65" s="847">
        <f>I65+D18</f>
        <v>413106322</v>
      </c>
      <c r="E65" s="847">
        <f>J65+E18</f>
        <v>616282.00848866673</v>
      </c>
      <c r="F65" s="847">
        <f>K65+F18</f>
        <v>175803492.00848866</v>
      </c>
      <c r="G65" s="249">
        <f>+B65</f>
        <v>41275</v>
      </c>
      <c r="H65" s="539">
        <v>486554</v>
      </c>
      <c r="I65" s="854">
        <f>I61+H65</f>
        <v>413106322</v>
      </c>
      <c r="J65" s="982">
        <f>J$59*I61</f>
        <v>616282.00848866673</v>
      </c>
      <c r="K65" s="855">
        <f>K61+J65</f>
        <v>175803492.00848866</v>
      </c>
      <c r="L65" s="415"/>
      <c r="M65" s="415"/>
      <c r="N65" s="279"/>
      <c r="O65" s="155"/>
      <c r="P65" s="155"/>
    </row>
    <row r="66" spans="1:16" ht="14.25">
      <c r="A66" s="191">
        <f t="shared" ref="A66:A88" si="40">+A65+1</f>
        <v>5</v>
      </c>
      <c r="B66" s="153">
        <v>41306</v>
      </c>
      <c r="C66" s="1068"/>
      <c r="D66" s="847">
        <f t="shared" ref="D66:D88" si="41">I66+D19</f>
        <v>413481095</v>
      </c>
      <c r="E66" s="847">
        <f t="shared" ref="E66:E88" si="42">J66+E19</f>
        <v>617008.7174338334</v>
      </c>
      <c r="F66" s="847">
        <f t="shared" ref="F66:F88" si="43">K66+F19</f>
        <v>176420500.7259225</v>
      </c>
      <c r="G66" s="249">
        <f t="shared" ref="G66:G88" si="44">+B66</f>
        <v>41306</v>
      </c>
      <c r="H66" s="539">
        <v>374773</v>
      </c>
      <c r="I66" s="854">
        <f>I65+H66</f>
        <v>413481095</v>
      </c>
      <c r="J66" s="982">
        <f>J$59*I65</f>
        <v>617008.7174338334</v>
      </c>
      <c r="K66" s="855">
        <f t="shared" ref="K66:K88" si="45">K65+J66</f>
        <v>176420500.7259225</v>
      </c>
      <c r="L66" s="415"/>
      <c r="M66" s="415"/>
      <c r="N66" s="279"/>
      <c r="O66" s="155"/>
      <c r="P66" s="155"/>
    </row>
    <row r="67" spans="1:16" ht="14.25">
      <c r="A67" s="191">
        <f t="shared" si="40"/>
        <v>6</v>
      </c>
      <c r="B67" s="153">
        <v>41334</v>
      </c>
      <c r="C67" s="1068"/>
      <c r="D67" s="847">
        <f t="shared" si="41"/>
        <v>413720023</v>
      </c>
      <c r="E67" s="847">
        <f t="shared" si="42"/>
        <v>617568.47214041674</v>
      </c>
      <c r="F67" s="847">
        <f t="shared" si="43"/>
        <v>177038069.19806293</v>
      </c>
      <c r="G67" s="249">
        <f t="shared" si="44"/>
        <v>41334</v>
      </c>
      <c r="H67" s="539">
        <v>238928</v>
      </c>
      <c r="I67" s="854">
        <f t="shared" ref="I67:I85" si="46">I66+H67</f>
        <v>413720023</v>
      </c>
      <c r="J67" s="982">
        <f t="shared" ref="J67:J88" si="47">J$59*I66</f>
        <v>617568.47214041674</v>
      </c>
      <c r="K67" s="855">
        <f t="shared" si="45"/>
        <v>177038069.19806293</v>
      </c>
      <c r="L67" s="415"/>
      <c r="M67" s="415"/>
      <c r="N67" s="279"/>
      <c r="O67" s="155"/>
      <c r="P67" s="155"/>
    </row>
    <row r="68" spans="1:16" ht="14.25">
      <c r="A68" s="191">
        <f t="shared" si="40"/>
        <v>7</v>
      </c>
      <c r="B68" s="153">
        <v>41365</v>
      </c>
      <c r="C68" s="1068"/>
      <c r="D68" s="847">
        <f t="shared" si="41"/>
        <v>416459215</v>
      </c>
      <c r="E68" s="847">
        <f t="shared" si="42"/>
        <v>617925.33101908339</v>
      </c>
      <c r="F68" s="847">
        <f t="shared" si="43"/>
        <v>177655994.529082</v>
      </c>
      <c r="G68" s="249">
        <f t="shared" si="44"/>
        <v>41365</v>
      </c>
      <c r="H68" s="539">
        <f>359142+2380050</f>
        <v>2739192</v>
      </c>
      <c r="I68" s="854">
        <f t="shared" si="46"/>
        <v>416459215</v>
      </c>
      <c r="J68" s="982">
        <f t="shared" si="47"/>
        <v>617925.33101908339</v>
      </c>
      <c r="K68" s="855">
        <f t="shared" si="45"/>
        <v>177655994.529082</v>
      </c>
      <c r="L68" s="415"/>
      <c r="M68" s="415"/>
      <c r="N68" s="279"/>
      <c r="O68" s="155"/>
      <c r="P68" s="155"/>
    </row>
    <row r="69" spans="1:16" ht="14.25">
      <c r="A69" s="191">
        <f t="shared" si="40"/>
        <v>8</v>
      </c>
      <c r="B69" s="153">
        <v>41395</v>
      </c>
      <c r="C69" s="1068"/>
      <c r="D69" s="847">
        <f t="shared" si="41"/>
        <v>416594715</v>
      </c>
      <c r="E69" s="847">
        <f t="shared" si="42"/>
        <v>622016.54253708338</v>
      </c>
      <c r="F69" s="847">
        <f t="shared" si="43"/>
        <v>178278011.07161909</v>
      </c>
      <c r="G69" s="249">
        <f t="shared" si="44"/>
        <v>41395</v>
      </c>
      <c r="H69" s="539">
        <v>135500</v>
      </c>
      <c r="I69" s="854">
        <f t="shared" si="46"/>
        <v>416594715</v>
      </c>
      <c r="J69" s="982">
        <f t="shared" si="47"/>
        <v>622016.54253708338</v>
      </c>
      <c r="K69" s="855">
        <f t="shared" si="45"/>
        <v>178278011.07161909</v>
      </c>
      <c r="L69" s="415"/>
      <c r="M69" s="415"/>
      <c r="N69" s="279"/>
      <c r="O69" s="155"/>
      <c r="P69" s="155"/>
    </row>
    <row r="70" spans="1:16" ht="14.25">
      <c r="A70" s="191">
        <f t="shared" si="40"/>
        <v>9</v>
      </c>
      <c r="B70" s="153">
        <v>41426</v>
      </c>
      <c r="C70" s="1068"/>
      <c r="D70" s="847">
        <f t="shared" si="41"/>
        <v>416652635</v>
      </c>
      <c r="E70" s="847">
        <f t="shared" si="42"/>
        <v>622218.92307875003</v>
      </c>
      <c r="F70" s="847">
        <f t="shared" si="43"/>
        <v>178900229.99469784</v>
      </c>
      <c r="G70" s="249">
        <f t="shared" si="44"/>
        <v>41426</v>
      </c>
      <c r="H70" s="539">
        <v>57920</v>
      </c>
      <c r="I70" s="854">
        <f t="shared" si="46"/>
        <v>416652635</v>
      </c>
      <c r="J70" s="982">
        <f t="shared" si="47"/>
        <v>622218.92307875003</v>
      </c>
      <c r="K70" s="855">
        <f t="shared" si="45"/>
        <v>178900229.99469784</v>
      </c>
      <c r="L70" s="415"/>
      <c r="M70" s="415"/>
      <c r="N70" s="279"/>
      <c r="O70" s="155"/>
      <c r="P70" s="155"/>
    </row>
    <row r="71" spans="1:16" ht="14.25">
      <c r="A71" s="191">
        <f t="shared" si="40"/>
        <v>10</v>
      </c>
      <c r="B71" s="153">
        <v>41456</v>
      </c>
      <c r="C71" s="1068"/>
      <c r="D71" s="847">
        <f t="shared" si="41"/>
        <v>419656273</v>
      </c>
      <c r="E71" s="847">
        <f t="shared" si="42"/>
        <v>622305.43142541673</v>
      </c>
      <c r="F71" s="847">
        <f t="shared" si="43"/>
        <v>179522535.42612326</v>
      </c>
      <c r="G71" s="249">
        <f t="shared" si="44"/>
        <v>41456</v>
      </c>
      <c r="H71" s="539">
        <v>3003638</v>
      </c>
      <c r="I71" s="854">
        <f t="shared" si="46"/>
        <v>419656273</v>
      </c>
      <c r="J71" s="982">
        <f t="shared" si="47"/>
        <v>622305.43142541673</v>
      </c>
      <c r="K71" s="855">
        <f t="shared" si="45"/>
        <v>179522535.42612326</v>
      </c>
      <c r="L71" s="415"/>
      <c r="M71" s="415"/>
      <c r="N71" s="279"/>
      <c r="O71" s="155"/>
      <c r="P71" s="155"/>
    </row>
    <row r="72" spans="1:16" ht="14.25">
      <c r="A72" s="191">
        <f t="shared" si="40"/>
        <v>11</v>
      </c>
      <c r="B72" s="153">
        <v>41487</v>
      </c>
      <c r="C72" s="1068"/>
      <c r="D72" s="847">
        <f t="shared" si="41"/>
        <v>419808708</v>
      </c>
      <c r="E72" s="847">
        <f t="shared" si="42"/>
        <v>626791.61508158338</v>
      </c>
      <c r="F72" s="847">
        <f t="shared" si="43"/>
        <v>180149327.04120484</v>
      </c>
      <c r="G72" s="249">
        <f t="shared" si="44"/>
        <v>41487</v>
      </c>
      <c r="H72" s="539">
        <v>152435</v>
      </c>
      <c r="I72" s="854">
        <f t="shared" si="46"/>
        <v>419808708</v>
      </c>
      <c r="J72" s="982">
        <f t="shared" si="47"/>
        <v>626791.61508158338</v>
      </c>
      <c r="K72" s="855">
        <f t="shared" si="45"/>
        <v>180149327.04120484</v>
      </c>
      <c r="L72" s="415"/>
      <c r="M72" s="415"/>
      <c r="N72" s="279"/>
      <c r="O72" s="155"/>
      <c r="P72" s="155"/>
    </row>
    <row r="73" spans="1:16" ht="14.25">
      <c r="A73" s="191">
        <f t="shared" si="40"/>
        <v>12</v>
      </c>
      <c r="B73" s="153">
        <v>41518</v>
      </c>
      <c r="C73" s="1068"/>
      <c r="D73" s="847">
        <f t="shared" si="41"/>
        <v>419808708</v>
      </c>
      <c r="E73" s="847">
        <f t="shared" si="42"/>
        <v>627019.28945700009</v>
      </c>
      <c r="F73" s="847">
        <f t="shared" si="43"/>
        <v>180776346.33066183</v>
      </c>
      <c r="G73" s="249">
        <f t="shared" si="44"/>
        <v>41518</v>
      </c>
      <c r="H73" s="539">
        <v>0</v>
      </c>
      <c r="I73" s="854">
        <f t="shared" si="46"/>
        <v>419808708</v>
      </c>
      <c r="J73" s="982">
        <f t="shared" si="47"/>
        <v>627019.28945700009</v>
      </c>
      <c r="K73" s="855">
        <f t="shared" si="45"/>
        <v>180776346.33066183</v>
      </c>
      <c r="L73" s="415"/>
      <c r="M73" s="415"/>
      <c r="N73" s="279"/>
      <c r="O73" s="155"/>
      <c r="P73" s="155"/>
    </row>
    <row r="74" spans="1:16" ht="14.25">
      <c r="A74" s="191">
        <f t="shared" si="40"/>
        <v>13</v>
      </c>
      <c r="B74" s="153">
        <v>41548</v>
      </c>
      <c r="C74" s="1068"/>
      <c r="D74" s="847">
        <f t="shared" si="41"/>
        <v>421608708</v>
      </c>
      <c r="E74" s="847">
        <f t="shared" si="42"/>
        <v>627019.28945700009</v>
      </c>
      <c r="F74" s="847">
        <f t="shared" si="43"/>
        <v>181403365.62011883</v>
      </c>
      <c r="G74" s="249">
        <f t="shared" si="44"/>
        <v>41548</v>
      </c>
      <c r="H74" s="539">
        <v>1800000</v>
      </c>
      <c r="I74" s="854">
        <f t="shared" si="46"/>
        <v>421608708</v>
      </c>
      <c r="J74" s="982">
        <f t="shared" si="47"/>
        <v>627019.28945700009</v>
      </c>
      <c r="K74" s="855">
        <f t="shared" si="45"/>
        <v>181403365.62011883</v>
      </c>
      <c r="L74" s="415"/>
      <c r="M74" s="415"/>
      <c r="N74" s="279"/>
      <c r="O74" s="155"/>
      <c r="P74" s="155"/>
    </row>
    <row r="75" spans="1:16" ht="14.25">
      <c r="A75" s="191">
        <f t="shared" si="40"/>
        <v>14</v>
      </c>
      <c r="B75" s="153">
        <v>41579</v>
      </c>
      <c r="C75" s="1068"/>
      <c r="D75" s="847">
        <f t="shared" si="41"/>
        <v>422060708</v>
      </c>
      <c r="E75" s="847">
        <f t="shared" si="42"/>
        <v>629707.73945700005</v>
      </c>
      <c r="F75" s="847">
        <f t="shared" si="43"/>
        <v>182033073.35957584</v>
      </c>
      <c r="G75" s="249">
        <f t="shared" si="44"/>
        <v>41579</v>
      </c>
      <c r="H75" s="539">
        <v>452000</v>
      </c>
      <c r="I75" s="854">
        <f t="shared" si="46"/>
        <v>422060708</v>
      </c>
      <c r="J75" s="982">
        <f t="shared" si="47"/>
        <v>629707.73945700005</v>
      </c>
      <c r="K75" s="855">
        <f t="shared" si="45"/>
        <v>182033073.35957584</v>
      </c>
      <c r="L75" s="415"/>
      <c r="M75" s="415"/>
      <c r="N75" s="279"/>
      <c r="O75" s="155"/>
      <c r="P75" s="155"/>
    </row>
    <row r="76" spans="1:16" ht="14.25">
      <c r="A76" s="191">
        <f t="shared" si="40"/>
        <v>15</v>
      </c>
      <c r="B76" s="153">
        <v>41609</v>
      </c>
      <c r="C76" s="1068"/>
      <c r="D76" s="847">
        <f t="shared" si="41"/>
        <v>422060708</v>
      </c>
      <c r="E76" s="847">
        <f t="shared" si="42"/>
        <v>630382.83912366675</v>
      </c>
      <c r="F76" s="847">
        <f t="shared" si="43"/>
        <v>182663456.1986995</v>
      </c>
      <c r="G76" s="249">
        <f t="shared" si="44"/>
        <v>41609</v>
      </c>
      <c r="H76" s="539">
        <v>0</v>
      </c>
      <c r="I76" s="854">
        <f t="shared" si="46"/>
        <v>422060708</v>
      </c>
      <c r="J76" s="982">
        <f t="shared" si="47"/>
        <v>630382.83912366675</v>
      </c>
      <c r="K76" s="855">
        <f t="shared" si="45"/>
        <v>182663456.1986995</v>
      </c>
      <c r="L76" s="415"/>
      <c r="M76" s="415"/>
      <c r="N76" s="279"/>
      <c r="O76" s="155"/>
      <c r="P76" s="155"/>
    </row>
    <row r="77" spans="1:16" ht="14.25">
      <c r="A77" s="191">
        <f>+A76+1</f>
        <v>16</v>
      </c>
      <c r="B77" s="153">
        <v>41640</v>
      </c>
      <c r="C77" s="1068"/>
      <c r="D77" s="847">
        <f t="shared" si="41"/>
        <v>422060708</v>
      </c>
      <c r="E77" s="847">
        <f t="shared" si="42"/>
        <v>630382.83912366675</v>
      </c>
      <c r="F77" s="847">
        <f t="shared" si="43"/>
        <v>183293839.03782317</v>
      </c>
      <c r="G77" s="249">
        <f t="shared" si="44"/>
        <v>41640</v>
      </c>
      <c r="H77" s="539">
        <v>0</v>
      </c>
      <c r="I77" s="854">
        <f t="shared" si="46"/>
        <v>422060708</v>
      </c>
      <c r="J77" s="982">
        <f t="shared" si="47"/>
        <v>630382.83912366675</v>
      </c>
      <c r="K77" s="855">
        <f t="shared" si="45"/>
        <v>183293839.03782317</v>
      </c>
      <c r="L77" s="415"/>
      <c r="M77" s="415"/>
      <c r="N77" s="279"/>
      <c r="O77" s="155"/>
      <c r="P77" s="155"/>
    </row>
    <row r="78" spans="1:16" ht="14.25">
      <c r="A78" s="191">
        <f t="shared" si="40"/>
        <v>17</v>
      </c>
      <c r="B78" s="153">
        <v>41671</v>
      </c>
      <c r="C78" s="1068"/>
      <c r="D78" s="847">
        <f t="shared" si="41"/>
        <v>422060708</v>
      </c>
      <c r="E78" s="847">
        <f t="shared" si="42"/>
        <v>630382.83912366675</v>
      </c>
      <c r="F78" s="847">
        <f t="shared" si="43"/>
        <v>183924221.87694684</v>
      </c>
      <c r="G78" s="249">
        <f t="shared" si="44"/>
        <v>41671</v>
      </c>
      <c r="H78" s="539">
        <v>0</v>
      </c>
      <c r="I78" s="854">
        <f t="shared" si="46"/>
        <v>422060708</v>
      </c>
      <c r="J78" s="982">
        <f t="shared" si="47"/>
        <v>630382.83912366675</v>
      </c>
      <c r="K78" s="855">
        <f t="shared" si="45"/>
        <v>183924221.87694684</v>
      </c>
      <c r="L78" s="415"/>
      <c r="M78" s="415"/>
      <c r="N78" s="279"/>
      <c r="O78" s="155"/>
      <c r="P78" s="155"/>
    </row>
    <row r="79" spans="1:16" ht="14.25">
      <c r="A79" s="191">
        <f t="shared" si="40"/>
        <v>18</v>
      </c>
      <c r="B79" s="153">
        <v>41699</v>
      </c>
      <c r="C79" s="1068"/>
      <c r="D79" s="847">
        <f t="shared" si="41"/>
        <v>422060708</v>
      </c>
      <c r="E79" s="847">
        <f t="shared" si="42"/>
        <v>630382.83912366675</v>
      </c>
      <c r="F79" s="847">
        <f t="shared" si="43"/>
        <v>184554604.7160705</v>
      </c>
      <c r="G79" s="249">
        <f t="shared" si="44"/>
        <v>41699</v>
      </c>
      <c r="H79" s="539">
        <v>0</v>
      </c>
      <c r="I79" s="854">
        <f t="shared" si="46"/>
        <v>422060708</v>
      </c>
      <c r="J79" s="982">
        <f t="shared" si="47"/>
        <v>630382.83912366675</v>
      </c>
      <c r="K79" s="855">
        <f t="shared" si="45"/>
        <v>184554604.7160705</v>
      </c>
      <c r="L79" s="415"/>
      <c r="M79" s="415"/>
      <c r="N79" s="279"/>
      <c r="O79" s="155"/>
      <c r="P79" s="155"/>
    </row>
    <row r="80" spans="1:16" ht="14.25">
      <c r="A80" s="191">
        <f t="shared" si="40"/>
        <v>19</v>
      </c>
      <c r="B80" s="153">
        <v>41730</v>
      </c>
      <c r="C80" s="1068"/>
      <c r="D80" s="847">
        <f t="shared" si="41"/>
        <v>422060708</v>
      </c>
      <c r="E80" s="847">
        <f t="shared" si="42"/>
        <v>630382.83912366675</v>
      </c>
      <c r="F80" s="847">
        <f t="shared" si="43"/>
        <v>185184987.55519417</v>
      </c>
      <c r="G80" s="249">
        <f t="shared" si="44"/>
        <v>41730</v>
      </c>
      <c r="H80" s="539">
        <v>0</v>
      </c>
      <c r="I80" s="854">
        <f t="shared" si="46"/>
        <v>422060708</v>
      </c>
      <c r="J80" s="982">
        <f t="shared" si="47"/>
        <v>630382.83912366675</v>
      </c>
      <c r="K80" s="855">
        <f t="shared" si="45"/>
        <v>185184987.55519417</v>
      </c>
      <c r="L80" s="415"/>
      <c r="M80" s="415"/>
      <c r="N80" s="279"/>
      <c r="O80" s="155"/>
      <c r="P80" s="155"/>
    </row>
    <row r="81" spans="1:16" ht="14.25">
      <c r="A81" s="191">
        <f t="shared" si="40"/>
        <v>20</v>
      </c>
      <c r="B81" s="153">
        <v>41760</v>
      </c>
      <c r="C81" s="1068"/>
      <c r="D81" s="847">
        <f t="shared" si="41"/>
        <v>422060708</v>
      </c>
      <c r="E81" s="847">
        <f t="shared" si="42"/>
        <v>630382.83912366675</v>
      </c>
      <c r="F81" s="847">
        <f t="shared" si="43"/>
        <v>185815370.39431784</v>
      </c>
      <c r="G81" s="249">
        <f t="shared" si="44"/>
        <v>41760</v>
      </c>
      <c r="H81" s="539">
        <v>0</v>
      </c>
      <c r="I81" s="854">
        <f t="shared" si="46"/>
        <v>422060708</v>
      </c>
      <c r="J81" s="982">
        <f t="shared" si="47"/>
        <v>630382.83912366675</v>
      </c>
      <c r="K81" s="855">
        <f t="shared" si="45"/>
        <v>185815370.39431784</v>
      </c>
      <c r="L81" s="415"/>
      <c r="M81" s="415"/>
      <c r="N81" s="279"/>
      <c r="O81" s="155"/>
      <c r="P81" s="155"/>
    </row>
    <row r="82" spans="1:16" ht="14.25">
      <c r="A82" s="191">
        <f t="shared" si="40"/>
        <v>21</v>
      </c>
      <c r="B82" s="153">
        <v>41791</v>
      </c>
      <c r="C82" s="1068"/>
      <c r="D82" s="847">
        <f t="shared" si="41"/>
        <v>422060708</v>
      </c>
      <c r="E82" s="847">
        <f t="shared" si="42"/>
        <v>630382.83912366675</v>
      </c>
      <c r="F82" s="847">
        <f t="shared" si="43"/>
        <v>186445753.2334415</v>
      </c>
      <c r="G82" s="249">
        <f t="shared" si="44"/>
        <v>41791</v>
      </c>
      <c r="H82" s="539">
        <v>0</v>
      </c>
      <c r="I82" s="854">
        <f t="shared" si="46"/>
        <v>422060708</v>
      </c>
      <c r="J82" s="982">
        <f t="shared" si="47"/>
        <v>630382.83912366675</v>
      </c>
      <c r="K82" s="855">
        <f t="shared" si="45"/>
        <v>186445753.2334415</v>
      </c>
      <c r="L82" s="415"/>
      <c r="M82" s="415"/>
      <c r="N82" s="279"/>
      <c r="O82" s="155"/>
      <c r="P82" s="155"/>
    </row>
    <row r="83" spans="1:16" ht="14.25">
      <c r="A83" s="191">
        <f t="shared" si="40"/>
        <v>22</v>
      </c>
      <c r="B83" s="153">
        <v>41821</v>
      </c>
      <c r="C83" s="1068"/>
      <c r="D83" s="847">
        <f t="shared" si="41"/>
        <v>422060708</v>
      </c>
      <c r="E83" s="847">
        <f t="shared" si="42"/>
        <v>630382.83912366675</v>
      </c>
      <c r="F83" s="847">
        <f t="shared" si="43"/>
        <v>187076136.07256517</v>
      </c>
      <c r="G83" s="249">
        <f t="shared" si="44"/>
        <v>41821</v>
      </c>
      <c r="H83" s="539">
        <v>0</v>
      </c>
      <c r="I83" s="854">
        <f t="shared" si="46"/>
        <v>422060708</v>
      </c>
      <c r="J83" s="982">
        <f t="shared" si="47"/>
        <v>630382.83912366675</v>
      </c>
      <c r="K83" s="855">
        <f t="shared" si="45"/>
        <v>187076136.07256517</v>
      </c>
      <c r="L83" s="415"/>
      <c r="M83" s="415"/>
      <c r="N83" s="279"/>
      <c r="O83" s="155"/>
      <c r="P83" s="155"/>
    </row>
    <row r="84" spans="1:16" ht="14.25">
      <c r="A84" s="191">
        <f t="shared" si="40"/>
        <v>23</v>
      </c>
      <c r="B84" s="153">
        <v>41852</v>
      </c>
      <c r="C84" s="1068"/>
      <c r="D84" s="847">
        <f t="shared" si="41"/>
        <v>422060708</v>
      </c>
      <c r="E84" s="847">
        <f t="shared" si="42"/>
        <v>630382.83912366675</v>
      </c>
      <c r="F84" s="847">
        <f t="shared" si="43"/>
        <v>187706518.91168883</v>
      </c>
      <c r="G84" s="249">
        <f t="shared" si="44"/>
        <v>41852</v>
      </c>
      <c r="H84" s="539">
        <v>0</v>
      </c>
      <c r="I84" s="854">
        <f t="shared" si="46"/>
        <v>422060708</v>
      </c>
      <c r="J84" s="982">
        <f t="shared" si="47"/>
        <v>630382.83912366675</v>
      </c>
      <c r="K84" s="855">
        <f t="shared" si="45"/>
        <v>187706518.91168883</v>
      </c>
      <c r="L84" s="415"/>
      <c r="M84" s="415"/>
      <c r="N84" s="279"/>
      <c r="O84" s="155"/>
      <c r="P84" s="155"/>
    </row>
    <row r="85" spans="1:16" ht="14.25">
      <c r="A85" s="191">
        <f t="shared" si="40"/>
        <v>24</v>
      </c>
      <c r="B85" s="153">
        <v>41883</v>
      </c>
      <c r="C85" s="1068"/>
      <c r="D85" s="847">
        <f t="shared" si="41"/>
        <v>422060708</v>
      </c>
      <c r="E85" s="847">
        <f t="shared" si="42"/>
        <v>630382.83912366675</v>
      </c>
      <c r="F85" s="847">
        <f t="shared" si="43"/>
        <v>188336901.7508125</v>
      </c>
      <c r="G85" s="249">
        <f t="shared" si="44"/>
        <v>41883</v>
      </c>
      <c r="H85" s="539">
        <v>0</v>
      </c>
      <c r="I85" s="854">
        <f t="shared" si="46"/>
        <v>422060708</v>
      </c>
      <c r="J85" s="982">
        <f t="shared" si="47"/>
        <v>630382.83912366675</v>
      </c>
      <c r="K85" s="855">
        <f t="shared" si="45"/>
        <v>188336901.7508125</v>
      </c>
      <c r="L85" s="415"/>
      <c r="M85" s="415"/>
      <c r="N85" s="279"/>
      <c r="O85" s="155"/>
      <c r="P85" s="155"/>
    </row>
    <row r="86" spans="1:16" ht="14.25">
      <c r="A86" s="191">
        <f t="shared" si="40"/>
        <v>25</v>
      </c>
      <c r="B86" s="153">
        <v>41913</v>
      </c>
      <c r="C86" s="1068"/>
      <c r="D86" s="847">
        <f t="shared" si="41"/>
        <v>422060708</v>
      </c>
      <c r="E86" s="847">
        <f t="shared" si="42"/>
        <v>630382.83912366675</v>
      </c>
      <c r="F86" s="847">
        <f t="shared" si="43"/>
        <v>188967284.58993617</v>
      </c>
      <c r="G86" s="249">
        <f t="shared" si="44"/>
        <v>41913</v>
      </c>
      <c r="H86" s="539">
        <v>0</v>
      </c>
      <c r="I86" s="854">
        <f>I85+H86</f>
        <v>422060708</v>
      </c>
      <c r="J86" s="982">
        <f t="shared" si="47"/>
        <v>630382.83912366675</v>
      </c>
      <c r="K86" s="855">
        <f t="shared" si="45"/>
        <v>188967284.58993617</v>
      </c>
      <c r="L86" s="415"/>
      <c r="M86" s="415"/>
      <c r="N86" s="279"/>
      <c r="O86" s="155"/>
      <c r="P86" s="155"/>
    </row>
    <row r="87" spans="1:16" ht="15">
      <c r="A87" s="191">
        <f t="shared" si="40"/>
        <v>26</v>
      </c>
      <c r="B87" s="153">
        <v>41944</v>
      </c>
      <c r="C87" s="1068"/>
      <c r="D87" s="847">
        <f t="shared" si="41"/>
        <v>422060708</v>
      </c>
      <c r="E87" s="847">
        <f t="shared" si="42"/>
        <v>630382.83912366675</v>
      </c>
      <c r="F87" s="847">
        <f t="shared" si="43"/>
        <v>189597667.42905983</v>
      </c>
      <c r="G87" s="249">
        <f t="shared" si="44"/>
        <v>41944</v>
      </c>
      <c r="H87" s="539">
        <v>0</v>
      </c>
      <c r="I87" s="854">
        <f>I86+H87</f>
        <v>422060708</v>
      </c>
      <c r="J87" s="982">
        <f t="shared" si="47"/>
        <v>630382.83912366675</v>
      </c>
      <c r="K87" s="855">
        <f t="shared" si="45"/>
        <v>189597667.42905983</v>
      </c>
      <c r="L87" s="415"/>
      <c r="M87" s="415"/>
      <c r="N87" s="437"/>
      <c r="O87" s="155"/>
      <c r="P87" s="155"/>
    </row>
    <row r="88" spans="1:16" ht="14.25">
      <c r="A88" s="191">
        <f t="shared" si="40"/>
        <v>27</v>
      </c>
      <c r="B88" s="153">
        <v>41974</v>
      </c>
      <c r="C88" s="1068"/>
      <c r="D88" s="847">
        <f t="shared" si="41"/>
        <v>422060708</v>
      </c>
      <c r="E88" s="847">
        <f t="shared" si="42"/>
        <v>630382.83912366675</v>
      </c>
      <c r="F88" s="847">
        <f t="shared" si="43"/>
        <v>190228050.2681835</v>
      </c>
      <c r="G88" s="249">
        <f t="shared" si="44"/>
        <v>41974</v>
      </c>
      <c r="H88" s="539">
        <v>0</v>
      </c>
      <c r="I88" s="854">
        <f>I87+H88</f>
        <v>422060708</v>
      </c>
      <c r="J88" s="982">
        <f t="shared" si="47"/>
        <v>630382.83912366675</v>
      </c>
      <c r="K88" s="855">
        <f t="shared" si="45"/>
        <v>190228050.2681835</v>
      </c>
      <c r="L88" s="415"/>
      <c r="M88" s="415"/>
      <c r="N88" s="279"/>
      <c r="O88" s="155"/>
      <c r="P88" s="155"/>
    </row>
    <row r="89" spans="1:16" ht="14.25">
      <c r="B89" s="178"/>
      <c r="C89" s="178"/>
      <c r="D89" s="179"/>
      <c r="E89" s="179"/>
      <c r="F89" s="179"/>
      <c r="G89" s="180"/>
      <c r="H89" s="2128">
        <f>SUM(H65:H88)</f>
        <v>9440940</v>
      </c>
      <c r="I89" s="851"/>
      <c r="J89" s="851"/>
      <c r="K89" s="852"/>
      <c r="L89" s="135"/>
      <c r="M89" s="135"/>
      <c r="N89" s="123"/>
      <c r="O89" s="123"/>
      <c r="P89" s="123"/>
    </row>
    <row r="90" spans="1:16" ht="14.25">
      <c r="A90" s="191">
        <f>A88+1</f>
        <v>28</v>
      </c>
      <c r="B90" s="183" t="s">
        <v>1046</v>
      </c>
      <c r="C90" s="183"/>
      <c r="D90" s="847"/>
      <c r="E90" s="983">
        <f>SUM(E77:E88)</f>
        <v>7564594.0694839992</v>
      </c>
      <c r="F90" s="847"/>
      <c r="G90" s="180" t="s">
        <v>149</v>
      </c>
      <c r="H90" s="181"/>
      <c r="I90" s="983"/>
      <c r="J90" s="983">
        <f>SUM(J77:J88)</f>
        <v>7564594.0694839992</v>
      </c>
      <c r="K90" s="984"/>
      <c r="L90" s="123"/>
      <c r="M90" s="123"/>
      <c r="N90" s="279"/>
      <c r="O90" s="90"/>
      <c r="P90" s="135"/>
    </row>
    <row r="91" spans="1:16" ht="14.25">
      <c r="A91" s="191">
        <f>+A90+1</f>
        <v>29</v>
      </c>
      <c r="B91" s="183" t="s">
        <v>1553</v>
      </c>
      <c r="C91" s="847"/>
      <c r="D91" s="847">
        <f>SUM(D76:D88)/13</f>
        <v>422060708</v>
      </c>
      <c r="E91" s="901"/>
      <c r="F91" s="847">
        <f>SUM(F76:F88)/13</f>
        <v>186445753.23344153</v>
      </c>
      <c r="G91" s="185" t="s">
        <v>1059</v>
      </c>
      <c r="H91" s="186"/>
      <c r="I91" s="1996">
        <f>SUM(I76:I88)/13</f>
        <v>422060708</v>
      </c>
      <c r="J91" s="985"/>
      <c r="K91" s="1998">
        <f>SUM(K76:K88)/13</f>
        <v>186445753.23344153</v>
      </c>
      <c r="L91" s="123"/>
      <c r="M91" s="123"/>
      <c r="N91" s="123"/>
      <c r="O91" s="135"/>
      <c r="P91" s="90"/>
    </row>
    <row r="92" spans="1:16">
      <c r="B92" s="154"/>
      <c r="D92" s="140"/>
      <c r="E92" s="140"/>
      <c r="F92" s="140"/>
      <c r="K92" s="88"/>
      <c r="L92" s="90"/>
      <c r="M92" s="90"/>
      <c r="N92" s="123"/>
      <c r="O92" s="123"/>
      <c r="P92" s="123"/>
    </row>
    <row r="93" spans="1:16" ht="15.75" customHeight="1">
      <c r="A93" s="191"/>
      <c r="B93" s="118" t="s">
        <v>1547</v>
      </c>
      <c r="C93" s="362" t="s">
        <v>140</v>
      </c>
      <c r="D93"/>
      <c r="E93"/>
      <c r="F93"/>
      <c r="G93"/>
      <c r="H93"/>
      <c r="I93"/>
      <c r="J93"/>
    </row>
    <row r="94" spans="1:16" ht="30" customHeight="1">
      <c r="C94" s="2269" t="s">
        <v>1428</v>
      </c>
      <c r="D94" s="2133"/>
      <c r="E94" s="2133"/>
      <c r="F94" s="2133"/>
      <c r="G94" s="2133"/>
      <c r="H94" s="2133"/>
      <c r="I94" s="2133"/>
      <c r="J94" s="2133"/>
      <c r="K94" s="2133"/>
    </row>
    <row r="95" spans="1:16">
      <c r="C95" s="362" t="s">
        <v>1699</v>
      </c>
      <c r="D95" s="167"/>
    </row>
    <row r="96" spans="1:16">
      <c r="C96" s="88"/>
      <c r="J96" s="562"/>
    </row>
  </sheetData>
  <customSheetViews>
    <customSheetView guid="{FAA8FFD9-C96B-4A1B-8B9E-B863FD90DDBA}" scale="75" showRuler="0" topLeftCell="G40">
      <selection activeCell="H63" sqref="H63"/>
      <rowBreaks count="1" manualBreakCount="1">
        <brk id="48" max="16383" man="1"/>
      </rowBreaks>
      <pageMargins left="0.3" right="0" top="0.38" bottom="0.35" header="0" footer="0"/>
      <printOptions gridLines="1"/>
      <pageSetup paperSize="5" scale="30" fitToHeight="2" orientation="landscape" r:id="rId1"/>
      <headerFooter alignWithMargins="0">
        <oddFooter>&amp;R&amp;"Arial MT,Bold"&amp;14P1 -Project Transmission Plant</oddFooter>
      </headerFooter>
    </customSheetView>
  </customSheetViews>
  <mergeCells count="18">
    <mergeCell ref="C94:K94"/>
    <mergeCell ref="L54:P54"/>
    <mergeCell ref="D13:F13"/>
    <mergeCell ref="B54:F54"/>
    <mergeCell ref="H54:K54"/>
    <mergeCell ref="B53:F53"/>
    <mergeCell ref="H47:I47"/>
    <mergeCell ref="M47:N47"/>
    <mergeCell ref="B47:D47"/>
    <mergeCell ref="G58:H58"/>
    <mergeCell ref="O1:P1"/>
    <mergeCell ref="X1:Y1"/>
    <mergeCell ref="AH1:AI1"/>
    <mergeCell ref="J49:K49"/>
    <mergeCell ref="R47:S47"/>
    <mergeCell ref="W47:X47"/>
    <mergeCell ref="AB47:AC47"/>
    <mergeCell ref="AG47:AH47"/>
  </mergeCells>
  <phoneticPr fontId="28" type="noConversion"/>
  <printOptions horizontalCentered="1" gridLines="1"/>
  <pageMargins left="0.5" right="0.25" top="0.5" bottom="0.5" header="0" footer="0"/>
  <pageSetup scale="60" fitToHeight="2" orientation="landscape" r:id="rId2"/>
  <headerFooter alignWithMargins="0">
    <oddFooter>&amp;R&amp;"Arial MT,Bold"&amp;14P1 -Project Transmission Plant</oddFooter>
  </headerFooter>
  <colBreaks count="2" manualBreakCount="2">
    <brk id="17" max="47" man="1"/>
    <brk id="27" max="47"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pageSetUpPr fitToPage="1"/>
  </sheetPr>
  <dimension ref="A1:M80"/>
  <sheetViews>
    <sheetView view="pageBreakPreview" zoomScale="75" zoomScaleNormal="75" zoomScaleSheetLayoutView="75" workbookViewId="0">
      <selection activeCell="B56" sqref="B56"/>
    </sheetView>
  </sheetViews>
  <sheetFormatPr defaultRowHeight="15"/>
  <cols>
    <col min="1" max="1" width="5.33203125" style="115" customWidth="1"/>
    <col min="2" max="2" width="38.21875" style="115" customWidth="1"/>
    <col min="3" max="3" width="28.5546875" style="115" customWidth="1"/>
    <col min="4" max="4" width="13.6640625" style="115" customWidth="1"/>
    <col min="5" max="5" width="14.77734375" style="115" customWidth="1"/>
    <col min="6" max="6" width="16.5546875" style="115" customWidth="1"/>
    <col min="7" max="7" width="3.21875" style="115" customWidth="1"/>
    <col min="8" max="8" width="13.6640625" style="115" customWidth="1"/>
    <col min="9" max="9" width="11.21875" style="115" customWidth="1"/>
    <col min="10" max="10" width="3.21875" style="115" customWidth="1"/>
    <col min="11" max="11" width="14.33203125" style="115" customWidth="1"/>
    <col min="12" max="12" width="13.44140625" style="115" customWidth="1"/>
    <col min="13" max="13" width="14.44140625" style="115" bestFit="1" customWidth="1"/>
    <col min="14" max="14" width="13.21875" style="115" customWidth="1"/>
    <col min="15" max="16384" width="8.88671875" style="115"/>
  </cols>
  <sheetData>
    <row r="1" spans="1:13" ht="20.25">
      <c r="A1" s="76"/>
      <c r="B1" s="45" t="s">
        <v>1562</v>
      </c>
      <c r="E1" s="2193" t="s">
        <v>210</v>
      </c>
      <c r="F1" s="2193"/>
    </row>
    <row r="2" spans="1:13" ht="18">
      <c r="A2" s="76"/>
      <c r="B2" s="1423" t="s">
        <v>67</v>
      </c>
      <c r="F2" s="1099"/>
    </row>
    <row r="3" spans="1:13">
      <c r="B3" s="47" t="str">
        <f>+'P-1 (Trans Plant)'!B50</f>
        <v>For the 12 months ended - December 31, 2014</v>
      </c>
    </row>
    <row r="4" spans="1:13" s="296" customFormat="1" ht="20.25">
      <c r="B4" s="281"/>
      <c r="D4" s="78"/>
      <c r="E4" s="78"/>
      <c r="F4" s="78"/>
    </row>
    <row r="5" spans="1:13">
      <c r="B5" s="282" t="s">
        <v>916</v>
      </c>
      <c r="C5" s="282" t="s">
        <v>917</v>
      </c>
      <c r="D5" s="282" t="s">
        <v>924</v>
      </c>
      <c r="E5" s="1634" t="s">
        <v>925</v>
      </c>
      <c r="F5" s="1634" t="s">
        <v>926</v>
      </c>
    </row>
    <row r="6" spans="1:13" ht="15.75">
      <c r="B6" s="74"/>
      <c r="C6" s="296"/>
      <c r="D6" s="416"/>
      <c r="E6" s="78" t="s">
        <v>681</v>
      </c>
      <c r="F6" s="416"/>
      <c r="G6" s="296"/>
      <c r="H6" s="296"/>
      <c r="I6" s="296"/>
      <c r="J6" s="296"/>
      <c r="K6" s="296"/>
      <c r="L6" s="296"/>
      <c r="M6" s="296"/>
    </row>
    <row r="7" spans="1:13" ht="15.75">
      <c r="B7" s="74"/>
      <c r="C7" s="296"/>
      <c r="D7" s="289" t="s">
        <v>73</v>
      </c>
      <c r="E7" s="78" t="s">
        <v>685</v>
      </c>
      <c r="F7" s="416"/>
      <c r="G7" s="296"/>
      <c r="H7" s="296"/>
      <c r="I7" s="296"/>
      <c r="J7" s="296"/>
      <c r="K7" s="296"/>
      <c r="L7" s="296"/>
      <c r="M7" s="296"/>
    </row>
    <row r="8" spans="1:13" ht="15.75">
      <c r="B8" s="74"/>
      <c r="C8" s="296"/>
      <c r="D8" s="289" t="s">
        <v>683</v>
      </c>
      <c r="E8" s="78" t="s">
        <v>686</v>
      </c>
      <c r="F8" s="78" t="s">
        <v>148</v>
      </c>
      <c r="G8" s="296"/>
      <c r="H8" s="296"/>
      <c r="I8" s="296"/>
      <c r="J8" s="296"/>
      <c r="K8" s="296"/>
      <c r="L8" s="296"/>
      <c r="M8" s="296"/>
    </row>
    <row r="9" spans="1:13" ht="16.5" thickBot="1">
      <c r="A9" s="417" t="s">
        <v>50</v>
      </c>
      <c r="B9" s="417"/>
      <c r="C9" s="417"/>
      <c r="D9" s="418" t="s">
        <v>682</v>
      </c>
      <c r="E9" s="419" t="s">
        <v>88</v>
      </c>
      <c r="F9" s="418" t="s">
        <v>682</v>
      </c>
      <c r="G9" s="296"/>
      <c r="H9" s="296"/>
      <c r="I9" s="296"/>
      <c r="J9" s="296"/>
      <c r="K9" s="296"/>
      <c r="L9" s="296"/>
      <c r="M9" s="296"/>
    </row>
    <row r="10" spans="1:13">
      <c r="C10" s="296"/>
      <c r="D10" s="296"/>
      <c r="E10" s="123" t="s">
        <v>957</v>
      </c>
      <c r="F10" s="131" t="s">
        <v>958</v>
      </c>
      <c r="G10" s="296"/>
      <c r="H10" s="296"/>
      <c r="I10" s="296"/>
      <c r="J10" s="296"/>
      <c r="K10" s="296"/>
      <c r="L10" s="296"/>
      <c r="M10" s="296"/>
    </row>
    <row r="11" spans="1:13">
      <c r="A11" s="1254">
        <v>1</v>
      </c>
      <c r="B11" s="115" t="s">
        <v>1154</v>
      </c>
      <c r="C11" s="420" t="s">
        <v>638</v>
      </c>
      <c r="D11" s="657">
        <f>'Actual Gross Rev Req'!M39</f>
        <v>183359399.53846154</v>
      </c>
      <c r="E11" s="658"/>
      <c r="F11" s="143"/>
      <c r="G11" s="296"/>
      <c r="H11" s="421"/>
      <c r="I11" s="296"/>
      <c r="J11" s="296"/>
      <c r="K11" s="296"/>
      <c r="L11" s="296"/>
      <c r="M11" s="296"/>
    </row>
    <row r="12" spans="1:13">
      <c r="A12" s="1255">
        <v>2</v>
      </c>
      <c r="B12" s="115" t="s">
        <v>1402</v>
      </c>
      <c r="C12" s="143" t="s">
        <v>506</v>
      </c>
      <c r="D12" s="143"/>
      <c r="E12" s="143"/>
      <c r="F12" s="1295">
        <f>'Projected Gross Rev Req'!K31</f>
        <v>187433943.6122883</v>
      </c>
    </row>
    <row r="13" spans="1:13">
      <c r="A13" s="422"/>
      <c r="C13" s="143"/>
      <c r="D13" s="143"/>
      <c r="E13" s="143"/>
      <c r="F13" s="143"/>
    </row>
    <row r="14" spans="1:13" ht="15.75">
      <c r="A14" s="422"/>
      <c r="B14" s="74" t="s">
        <v>684</v>
      </c>
      <c r="C14" s="143"/>
      <c r="D14" s="143"/>
      <c r="E14" s="1065"/>
      <c r="F14" s="143"/>
    </row>
    <row r="15" spans="1:13">
      <c r="A15" s="1255">
        <f>A12+1</f>
        <v>3</v>
      </c>
      <c r="B15" s="47" t="s">
        <v>1126</v>
      </c>
      <c r="C15" s="143" t="s">
        <v>507</v>
      </c>
      <c r="D15" s="70">
        <f>'Actual Gross Rev Req'!F75</f>
        <v>41200552</v>
      </c>
      <c r="E15" s="659">
        <f>IF($D$11=0,0,D15/$D$11)</f>
        <v>0.22469833618405669</v>
      </c>
      <c r="F15" s="660">
        <f t="shared" ref="F15:F24" si="0">E15*F$12</f>
        <v>42116095.27409748</v>
      </c>
      <c r="G15" s="143"/>
      <c r="H15" s="59"/>
      <c r="I15" s="113"/>
    </row>
    <row r="16" spans="1:13">
      <c r="A16" s="1255">
        <f>+A15+1</f>
        <v>4</v>
      </c>
      <c r="B16" s="47" t="s">
        <v>809</v>
      </c>
      <c r="C16" s="143" t="s">
        <v>508</v>
      </c>
      <c r="D16" s="68">
        <f>'Actual Gross Rev Req'!F76</f>
        <v>6810279</v>
      </c>
      <c r="E16" s="659">
        <f t="shared" ref="E16:E24" si="1">IF($D$11=0,0,D16/$D$11)</f>
        <v>3.7141695583331538E-2</v>
      </c>
      <c r="F16" s="660">
        <f t="shared" si="0"/>
        <v>6961614.4756309409</v>
      </c>
      <c r="G16" s="143"/>
      <c r="H16" s="13"/>
      <c r="I16" s="423"/>
    </row>
    <row r="17" spans="1:9">
      <c r="A17" s="1375">
        <f>+A16+1</f>
        <v>5</v>
      </c>
      <c r="B17" s="24" t="s">
        <v>808</v>
      </c>
      <c r="C17" s="143" t="s">
        <v>1680</v>
      </c>
      <c r="D17" s="68">
        <f>'Actual Gross Rev Req'!F77</f>
        <v>23997074</v>
      </c>
      <c r="E17" s="659">
        <f t="shared" si="1"/>
        <v>0.13087452326089433</v>
      </c>
      <c r="F17" s="660">
        <f t="shared" si="0"/>
        <v>24530328.013167579</v>
      </c>
      <c r="G17" s="143"/>
      <c r="H17" s="13"/>
      <c r="I17" s="423"/>
    </row>
    <row r="18" spans="1:9">
      <c r="A18" s="1375" t="s">
        <v>1641</v>
      </c>
      <c r="B18" s="245" t="s">
        <v>517</v>
      </c>
      <c r="C18" s="143" t="s">
        <v>1681</v>
      </c>
      <c r="D18" s="68">
        <f>'Actual Gross Rev Req'!H78</f>
        <v>2358786</v>
      </c>
      <c r="E18" s="1879"/>
      <c r="F18" s="660">
        <f>D18</f>
        <v>2358786</v>
      </c>
      <c r="G18" s="143"/>
      <c r="H18" s="13"/>
      <c r="I18" s="423"/>
    </row>
    <row r="19" spans="1:9">
      <c r="A19" s="1375">
        <f>+A17+1</f>
        <v>6</v>
      </c>
      <c r="B19" s="245" t="s">
        <v>390</v>
      </c>
      <c r="C19" s="143" t="s">
        <v>704</v>
      </c>
      <c r="D19" s="68">
        <f>'A-10 (Act. A&amp;G)'!F17</f>
        <v>128423343</v>
      </c>
      <c r="E19" s="659">
        <f t="shared" si="1"/>
        <v>0.70039138066146356</v>
      </c>
      <c r="F19" s="660">
        <f>E19*F$12</f>
        <v>131277118.54943351</v>
      </c>
      <c r="G19" s="143"/>
      <c r="H19" s="2086"/>
      <c r="I19" s="423"/>
    </row>
    <row r="20" spans="1:9">
      <c r="A20" s="1375" t="s">
        <v>1538</v>
      </c>
      <c r="B20" s="24" t="s">
        <v>108</v>
      </c>
      <c r="C20" s="143" t="s">
        <v>109</v>
      </c>
      <c r="D20" s="68">
        <f>'A-10 (Act. A&amp;G)'!F20</f>
        <v>0</v>
      </c>
      <c r="E20" s="659">
        <f t="shared" si="1"/>
        <v>0</v>
      </c>
      <c r="F20" s="660">
        <f t="shared" si="0"/>
        <v>0</v>
      </c>
      <c r="G20" s="143"/>
      <c r="H20" s="13"/>
      <c r="I20" s="423"/>
    </row>
    <row r="21" spans="1:9">
      <c r="A21" s="1375" t="s">
        <v>1078</v>
      </c>
      <c r="B21" s="24" t="s">
        <v>1070</v>
      </c>
      <c r="C21" s="143" t="s">
        <v>405</v>
      </c>
      <c r="D21" s="71">
        <f>'A-10 (Act. A&amp;G)'!I25</f>
        <v>0</v>
      </c>
      <c r="E21" s="659">
        <f t="shared" si="1"/>
        <v>0</v>
      </c>
      <c r="F21" s="660">
        <f t="shared" si="0"/>
        <v>0</v>
      </c>
      <c r="H21" s="13"/>
      <c r="I21" s="423"/>
    </row>
    <row r="22" spans="1:9">
      <c r="A22" s="1375" t="s">
        <v>1079</v>
      </c>
      <c r="B22" s="24" t="s">
        <v>1071</v>
      </c>
      <c r="C22" s="143" t="s">
        <v>404</v>
      </c>
      <c r="D22" s="71">
        <f>'A-10 (Act. A&amp;G)'!I32</f>
        <v>669366</v>
      </c>
      <c r="E22" s="659">
        <f t="shared" si="1"/>
        <v>3.6505682374881115E-3</v>
      </c>
      <c r="F22" s="660">
        <f t="shared" si="0"/>
        <v>684240.40117815731</v>
      </c>
      <c r="H22" s="13"/>
      <c r="I22" s="423"/>
    </row>
    <row r="23" spans="1:9">
      <c r="A23" s="1375" t="s">
        <v>1080</v>
      </c>
      <c r="B23" s="24" t="s">
        <v>1072</v>
      </c>
      <c r="C23" s="143" t="s">
        <v>406</v>
      </c>
      <c r="D23" s="71">
        <f>'A-10 (Act. A&amp;G)'!I37</f>
        <v>67905</v>
      </c>
      <c r="E23" s="659">
        <f t="shared" si="1"/>
        <v>3.7033825465683978E-4</v>
      </c>
      <c r="F23" s="660">
        <f t="shared" si="0"/>
        <v>69413.959540823373</v>
      </c>
      <c r="H23" s="13"/>
      <c r="I23" s="423"/>
    </row>
    <row r="24" spans="1:9">
      <c r="A24" s="1375" t="s">
        <v>705</v>
      </c>
      <c r="B24" s="24" t="s">
        <v>1073</v>
      </c>
      <c r="C24" s="143" t="s">
        <v>407</v>
      </c>
      <c r="D24" s="71">
        <f>'A-10 (Act. A&amp;G)'!F43</f>
        <v>149492</v>
      </c>
      <c r="E24" s="659">
        <f t="shared" si="1"/>
        <v>8.1529499101922235E-4</v>
      </c>
      <c r="F24" s="660">
        <f t="shared" si="0"/>
        <v>152813.95537407801</v>
      </c>
      <c r="H24" s="13"/>
      <c r="I24" s="423"/>
    </row>
    <row r="25" spans="1:9">
      <c r="A25" s="1375">
        <f>A19+1</f>
        <v>7</v>
      </c>
      <c r="B25" s="24" t="s">
        <v>1004</v>
      </c>
      <c r="C25" s="143" t="s">
        <v>1682</v>
      </c>
      <c r="D25" s="661">
        <f>'Actual Gross Rev Req'!F88</f>
        <v>2358786</v>
      </c>
      <c r="E25" s="1879"/>
      <c r="F25" s="1880">
        <f>D25</f>
        <v>2358786</v>
      </c>
      <c r="G25" s="143"/>
      <c r="H25" s="13"/>
      <c r="I25" s="71"/>
    </row>
    <row r="26" spans="1:9">
      <c r="A26" s="1375">
        <f>A25+1</f>
        <v>8</v>
      </c>
      <c r="B26" s="24" t="s">
        <v>144</v>
      </c>
      <c r="C26" s="15" t="s">
        <v>408</v>
      </c>
      <c r="D26" s="70">
        <f>D15-D16-D17-D18+D19+D21+D22+D23+D24+D25+D20</f>
        <v>139703305</v>
      </c>
      <c r="E26" s="143"/>
      <c r="F26" s="70">
        <f>F15-F16-F17-F18+F19+F21+F22+F23+F24+F25+F20</f>
        <v>142807739.65082553</v>
      </c>
      <c r="G26" s="143"/>
      <c r="H26" s="113"/>
      <c r="I26" s="113"/>
    </row>
    <row r="27" spans="1:9">
      <c r="A27" s="422"/>
      <c r="C27" s="143"/>
      <c r="D27" s="143"/>
      <c r="E27" s="143"/>
      <c r="F27" s="143"/>
    </row>
    <row r="28" spans="1:9" ht="15.75">
      <c r="A28" s="422"/>
      <c r="B28" s="74" t="s">
        <v>687</v>
      </c>
      <c r="C28" s="143"/>
      <c r="D28" s="143"/>
      <c r="E28" s="143"/>
      <c r="F28" s="143"/>
    </row>
    <row r="29" spans="1:9" ht="15.75">
      <c r="A29" s="422"/>
      <c r="B29" s="2" t="s">
        <v>479</v>
      </c>
      <c r="C29" s="580"/>
      <c r="D29" s="143"/>
      <c r="E29" s="143"/>
      <c r="F29" s="143"/>
    </row>
    <row r="30" spans="1:9">
      <c r="A30" s="1255">
        <f>A26+1</f>
        <v>9</v>
      </c>
      <c r="B30" s="2" t="s">
        <v>480</v>
      </c>
      <c r="C30" s="143" t="s">
        <v>785</v>
      </c>
      <c r="D30" s="505">
        <f>'Actual Gross Rev Req'!F100</f>
        <v>12347515</v>
      </c>
      <c r="E30" s="659">
        <f t="shared" ref="E30:E35" si="2">IF($D$11=0,0,D30/$D$11)</f>
        <v>6.7340507391932092E-2</v>
      </c>
      <c r="F30" s="660">
        <f t="shared" ref="F30:F35" si="3">E30*F$12</f>
        <v>12621896.865322283</v>
      </c>
    </row>
    <row r="31" spans="1:9">
      <c r="A31" s="1255">
        <f>+A30+1</f>
        <v>10</v>
      </c>
      <c r="B31" s="2" t="s">
        <v>481</v>
      </c>
      <c r="C31" s="143" t="s">
        <v>1683</v>
      </c>
      <c r="D31" s="662">
        <f>'Actual Gross Rev Req'!F101</f>
        <v>0</v>
      </c>
      <c r="E31" s="659">
        <f t="shared" si="2"/>
        <v>0</v>
      </c>
      <c r="F31" s="660">
        <f t="shared" si="3"/>
        <v>0</v>
      </c>
    </row>
    <row r="32" spans="1:9">
      <c r="A32" s="422"/>
      <c r="B32" s="2" t="s">
        <v>482</v>
      </c>
      <c r="C32" s="15" t="s">
        <v>49</v>
      </c>
      <c r="D32" s="75"/>
      <c r="E32" s="659">
        <f t="shared" si="2"/>
        <v>0</v>
      </c>
      <c r="F32" s="660">
        <f t="shared" si="3"/>
        <v>0</v>
      </c>
    </row>
    <row r="33" spans="1:9">
      <c r="A33" s="1255">
        <f>+A31+1</f>
        <v>11</v>
      </c>
      <c r="B33" s="2" t="s">
        <v>1033</v>
      </c>
      <c r="C33" s="143" t="s">
        <v>786</v>
      </c>
      <c r="D33" s="662">
        <f>'Actual Gross Rev Req'!F103</f>
        <v>76306784</v>
      </c>
      <c r="E33" s="659">
        <f t="shared" si="2"/>
        <v>0.41615965252980586</v>
      </c>
      <c r="F33" s="660">
        <f t="shared" si="3"/>
        <v>78002444.845981121</v>
      </c>
    </row>
    <row r="34" spans="1:9">
      <c r="A34" s="1255">
        <f>+A33+1</f>
        <v>12</v>
      </c>
      <c r="B34" s="2" t="s">
        <v>483</v>
      </c>
      <c r="C34" s="143" t="s">
        <v>787</v>
      </c>
      <c r="D34" s="662">
        <f>'Actual Gross Rev Req'!F104</f>
        <v>56656342</v>
      </c>
      <c r="E34" s="659">
        <f t="shared" si="2"/>
        <v>0.30899066065121872</v>
      </c>
      <c r="F34" s="660">
        <f t="shared" si="3"/>
        <v>57915338.065224238</v>
      </c>
    </row>
    <row r="35" spans="1:9">
      <c r="A35" s="1255">
        <f>+A34+1</f>
        <v>13</v>
      </c>
      <c r="B35" s="2" t="s">
        <v>1127</v>
      </c>
      <c r="C35" s="143" t="s">
        <v>788</v>
      </c>
      <c r="D35" s="662">
        <f>'Actual Gross Rev Req'!F105</f>
        <v>0</v>
      </c>
      <c r="E35" s="659">
        <f t="shared" si="2"/>
        <v>0</v>
      </c>
      <c r="F35" s="660">
        <f t="shared" si="3"/>
        <v>0</v>
      </c>
    </row>
    <row r="36" spans="1:9">
      <c r="A36" s="1256">
        <f>A35+1</f>
        <v>14</v>
      </c>
      <c r="B36" s="2" t="s">
        <v>145</v>
      </c>
      <c r="C36" s="812" t="str">
        <f>"(sum line "&amp;A30&amp;" thru line "&amp;A35&amp;")"</f>
        <v>(sum line 9 thru line 13)</v>
      </c>
      <c r="D36" s="1379">
        <f>SUM(D30:D35)</f>
        <v>145310641</v>
      </c>
      <c r="E36" s="143"/>
      <c r="F36" s="1379">
        <f>SUM(F30:F35)</f>
        <v>148539679.77652764</v>
      </c>
    </row>
    <row r="37" spans="1:9">
      <c r="A37" s="422"/>
      <c r="D37" s="663"/>
      <c r="E37" s="143"/>
      <c r="F37" s="663"/>
    </row>
    <row r="38" spans="1:9" ht="20.25">
      <c r="A38" s="76"/>
      <c r="B38" s="1292" t="s">
        <v>441</v>
      </c>
      <c r="C38" s="1293"/>
      <c r="D38" s="1293"/>
      <c r="E38" s="1293"/>
      <c r="F38" s="1294"/>
      <c r="G38" s="26"/>
      <c r="H38" s="26"/>
    </row>
    <row r="39" spans="1:9">
      <c r="A39" s="76"/>
      <c r="B39" s="485"/>
      <c r="C39" s="485"/>
      <c r="D39" s="485"/>
      <c r="E39" s="485"/>
      <c r="F39" s="485"/>
      <c r="G39" s="485"/>
      <c r="H39" s="485"/>
    </row>
    <row r="40" spans="1:9" ht="16.5" thickBot="1">
      <c r="A40" s="1374">
        <f>+A36+1</f>
        <v>15</v>
      </c>
      <c r="B40" s="486" t="s">
        <v>518</v>
      </c>
      <c r="C40" s="546" t="s">
        <v>359</v>
      </c>
      <c r="D40" s="481"/>
      <c r="E40" s="481"/>
      <c r="F40" s="726">
        <f>'A-1 (Act. Rev Credit) '!N42</f>
        <v>5795907</v>
      </c>
      <c r="G40" s="485"/>
      <c r="H40" s="485"/>
    </row>
    <row r="41" spans="1:9" ht="16.5" thickTop="1">
      <c r="A41" s="862"/>
      <c r="B41" s="486"/>
      <c r="C41" s="485"/>
      <c r="D41" s="481"/>
      <c r="E41" s="481"/>
      <c r="F41" s="857"/>
      <c r="G41" s="485"/>
      <c r="H41" s="485"/>
    </row>
    <row r="42" spans="1:9" ht="15.75">
      <c r="A42" s="1374"/>
      <c r="B42" s="56" t="s">
        <v>535</v>
      </c>
      <c r="D42" s="481"/>
      <c r="E42" s="481"/>
      <c r="F42" s="481"/>
      <c r="G42" s="485"/>
      <c r="H42" s="485"/>
    </row>
    <row r="43" spans="1:9" ht="15" customHeight="1">
      <c r="A43" s="1375">
        <f>A40+1</f>
        <v>16</v>
      </c>
      <c r="B43" s="39" t="s">
        <v>442</v>
      </c>
      <c r="C43" s="115" t="s">
        <v>1408</v>
      </c>
      <c r="D43" s="481"/>
      <c r="E43" s="857"/>
      <c r="F43" s="725">
        <f>'A-1 (Act. Rev Credit) '!N66</f>
        <v>347526.34537432063</v>
      </c>
      <c r="G43" s="485"/>
      <c r="H43" s="485"/>
    </row>
    <row r="44" spans="1:9" ht="15" customHeight="1">
      <c r="A44" s="1375">
        <f>+A43+1</f>
        <v>17</v>
      </c>
      <c r="B44" s="39" t="s">
        <v>443</v>
      </c>
      <c r="C44" s="115" t="s">
        <v>2</v>
      </c>
      <c r="D44" s="481"/>
      <c r="E44" s="857"/>
      <c r="F44" s="733">
        <f>'A-1 (Act. Rev Credit) '!N67</f>
        <v>28597.654625679454</v>
      </c>
      <c r="G44" s="485"/>
      <c r="H44" s="485"/>
    </row>
    <row r="45" spans="1:9" ht="15" customHeight="1">
      <c r="A45" s="1375">
        <f>+A44+1</f>
        <v>18</v>
      </c>
      <c r="B45" s="39" t="s">
        <v>444</v>
      </c>
      <c r="C45" s="115" t="s">
        <v>3</v>
      </c>
      <c r="D45" s="481"/>
      <c r="E45" s="857"/>
      <c r="F45" s="733">
        <f>'A-1 (Act. Rev Credit) '!N68</f>
        <v>0</v>
      </c>
      <c r="G45" s="485"/>
      <c r="H45" s="485"/>
    </row>
    <row r="46" spans="1:9" ht="15" customHeight="1">
      <c r="A46" s="1375">
        <f>+A45+1</f>
        <v>19</v>
      </c>
      <c r="B46" s="39" t="s">
        <v>445</v>
      </c>
      <c r="C46" s="115" t="s">
        <v>4</v>
      </c>
      <c r="D46" s="481"/>
      <c r="E46" s="863"/>
      <c r="F46" s="864">
        <f>'A-1 (Act. Rev Credit) '!N69</f>
        <v>0</v>
      </c>
      <c r="G46" s="485"/>
      <c r="H46" s="485"/>
    </row>
    <row r="47" spans="1:9" ht="15" customHeight="1" thickBot="1">
      <c r="A47" s="1375">
        <f>+A46+1</f>
        <v>20</v>
      </c>
      <c r="B47" s="39" t="s">
        <v>446</v>
      </c>
      <c r="D47" s="481"/>
      <c r="E47" s="865"/>
      <c r="F47" s="739">
        <f>SUM(F43:F46)</f>
        <v>376124.00000000012</v>
      </c>
      <c r="G47" s="485"/>
      <c r="H47" s="485"/>
    </row>
    <row r="48" spans="1:9" ht="21" thickTop="1">
      <c r="A48" s="76"/>
      <c r="C48" s="1264"/>
      <c r="D48" s="1264"/>
      <c r="E48" s="1264"/>
      <c r="F48" s="1264"/>
      <c r="G48"/>
      <c r="H48"/>
      <c r="I48" s="595"/>
    </row>
    <row r="49" spans="1:9" ht="20.25">
      <c r="A49" s="76"/>
      <c r="C49" s="1264"/>
      <c r="D49" s="1264"/>
      <c r="E49" s="1264"/>
      <c r="F49" s="1264"/>
      <c r="G49"/>
      <c r="H49"/>
      <c r="I49" s="595"/>
    </row>
    <row r="50" spans="1:9" ht="20.25">
      <c r="A50" s="76"/>
      <c r="C50" s="1264"/>
      <c r="D50" s="1264"/>
      <c r="E50" s="1264"/>
      <c r="F50" s="1264"/>
      <c r="G50"/>
      <c r="H50"/>
      <c r="I50" s="595"/>
    </row>
    <row r="51" spans="1:9" ht="20.25">
      <c r="A51" s="76"/>
      <c r="C51" s="1264"/>
      <c r="D51" s="1264"/>
      <c r="E51" s="1264"/>
      <c r="F51" s="1264"/>
      <c r="G51"/>
      <c r="H51"/>
      <c r="I51" s="595"/>
    </row>
    <row r="52" spans="1:9" ht="20.25">
      <c r="A52" s="76"/>
      <c r="C52" s="1264"/>
      <c r="D52" s="1264"/>
      <c r="E52" s="1264"/>
      <c r="F52" s="1264"/>
      <c r="G52"/>
      <c r="H52"/>
      <c r="I52" s="595"/>
    </row>
    <row r="53" spans="1:9" ht="20.25">
      <c r="A53" s="76"/>
      <c r="C53" s="1264"/>
      <c r="D53" s="1264"/>
      <c r="E53" s="1264"/>
      <c r="F53" s="1264"/>
      <c r="G53"/>
      <c r="H53"/>
      <c r="I53" s="595"/>
    </row>
    <row r="54" spans="1:9" ht="20.25">
      <c r="A54" s="76"/>
      <c r="C54" s="1264"/>
      <c r="D54" s="1264"/>
      <c r="E54" s="1264"/>
      <c r="F54" s="1264"/>
      <c r="G54"/>
      <c r="H54"/>
      <c r="I54" s="595"/>
    </row>
    <row r="55" spans="1:9" ht="20.25">
      <c r="A55" s="76"/>
      <c r="C55" s="1264"/>
      <c r="D55" s="1264"/>
      <c r="E55" s="1264"/>
      <c r="F55" s="1264"/>
      <c r="G55"/>
      <c r="H55"/>
      <c r="I55" s="595"/>
    </row>
    <row r="56" spans="1:9">
      <c r="A56" s="866"/>
      <c r="B56" s="972"/>
      <c r="C56" s="1285"/>
      <c r="D56" s="605"/>
      <c r="E56" s="1286"/>
      <c r="F56" s="1287"/>
      <c r="G56" s="420"/>
      <c r="H56" s="1288"/>
    </row>
    <row r="57" spans="1:9">
      <c r="A57" s="866"/>
      <c r="B57" s="420"/>
      <c r="C57" s="420"/>
      <c r="D57" s="420"/>
      <c r="E57" s="420"/>
      <c r="F57" s="420"/>
      <c r="G57" s="420"/>
      <c r="H57" s="420"/>
    </row>
    <row r="58" spans="1:9">
      <c r="A58" s="866"/>
      <c r="B58" s="972"/>
      <c r="C58" s="1285"/>
      <c r="D58" s="310"/>
      <c r="E58" s="1286"/>
      <c r="F58" s="1287"/>
      <c r="G58" s="420"/>
      <c r="H58" s="1288"/>
    </row>
    <row r="59" spans="1:9">
      <c r="A59" s="866"/>
      <c r="B59" s="972"/>
      <c r="C59" s="1285"/>
      <c r="D59" s="310"/>
      <c r="E59" s="1285"/>
      <c r="F59" s="1289"/>
      <c r="G59" s="420"/>
      <c r="H59" s="1288"/>
    </row>
    <row r="60" spans="1:9">
      <c r="A60" s="296"/>
      <c r="B60" s="972"/>
      <c r="C60" s="1285"/>
      <c r="D60" s="310"/>
      <c r="E60" s="1285"/>
      <c r="F60" s="1289"/>
      <c r="G60" s="420"/>
      <c r="H60" s="1288"/>
    </row>
    <row r="61" spans="1:9">
      <c r="B61" s="972"/>
      <c r="C61" s="1285"/>
      <c r="D61" s="310"/>
      <c r="E61" s="1285"/>
      <c r="F61" s="1289"/>
      <c r="G61" s="420"/>
      <c r="H61" s="1288"/>
    </row>
    <row r="62" spans="1:9">
      <c r="B62" s="972"/>
      <c r="C62" s="1285"/>
      <c r="D62" s="310"/>
      <c r="E62" s="1285"/>
      <c r="F62" s="1289"/>
      <c r="G62" s="420"/>
      <c r="H62" s="1288"/>
    </row>
    <row r="63" spans="1:9">
      <c r="B63" s="972"/>
      <c r="C63" s="1285"/>
      <c r="D63" s="1283"/>
      <c r="E63" s="1285"/>
      <c r="F63" s="1289"/>
      <c r="G63" s="420"/>
      <c r="H63" s="1288"/>
    </row>
    <row r="64" spans="1:9">
      <c r="B64" s="972"/>
      <c r="C64" s="1285"/>
      <c r="D64" s="310"/>
      <c r="E64" s="1285"/>
      <c r="F64" s="1289"/>
      <c r="G64" s="420"/>
      <c r="H64" s="1288"/>
    </row>
    <row r="65" spans="2:8">
      <c r="B65" s="972"/>
      <c r="C65" s="1285"/>
      <c r="D65" s="310"/>
      <c r="E65" s="1285"/>
      <c r="F65" s="1289"/>
      <c r="G65" s="420"/>
      <c r="H65" s="1288"/>
    </row>
    <row r="66" spans="2:8">
      <c r="B66" s="972"/>
      <c r="C66" s="1285"/>
      <c r="D66" s="310"/>
      <c r="E66" s="1285"/>
      <c r="F66" s="1289"/>
      <c r="G66" s="420"/>
      <c r="H66" s="1288"/>
    </row>
    <row r="67" spans="2:8">
      <c r="B67" s="972"/>
      <c r="C67" s="1285"/>
      <c r="D67" s="310"/>
      <c r="E67" s="1285"/>
      <c r="F67" s="1289"/>
      <c r="G67" s="420"/>
      <c r="H67" s="1288"/>
    </row>
    <row r="68" spans="2:8">
      <c r="B68" s="972"/>
      <c r="C68" s="1285"/>
      <c r="D68" s="1283"/>
      <c r="E68" s="1285"/>
      <c r="F68" s="1289"/>
      <c r="G68" s="420"/>
      <c r="H68" s="1288"/>
    </row>
    <row r="69" spans="2:8">
      <c r="B69" s="972"/>
      <c r="C69" s="1285"/>
      <c r="D69" s="1278"/>
      <c r="E69" s="1285"/>
      <c r="F69" s="1289"/>
      <c r="G69" s="420"/>
      <c r="H69" s="1288"/>
    </row>
    <row r="70" spans="2:8">
      <c r="B70" s="1284"/>
      <c r="C70" s="420"/>
      <c r="D70" s="71"/>
      <c r="E70" s="420"/>
      <c r="F70" s="1290"/>
      <c r="G70" s="420"/>
      <c r="H70" s="1291"/>
    </row>
    <row r="71" spans="2:8">
      <c r="B71" s="1284"/>
      <c r="C71" s="420"/>
      <c r="D71" s="1278"/>
      <c r="E71" s="1285"/>
      <c r="F71" s="1289"/>
      <c r="G71" s="420"/>
      <c r="H71" s="1288"/>
    </row>
    <row r="72" spans="2:8">
      <c r="B72" s="1284"/>
      <c r="C72" s="420"/>
      <c r="D72" s="1278"/>
      <c r="E72" s="1285"/>
      <c r="F72" s="1289"/>
      <c r="G72" s="420"/>
      <c r="H72" s="1288"/>
    </row>
    <row r="73" spans="2:8">
      <c r="B73" s="1284"/>
      <c r="C73" s="420"/>
      <c r="D73" s="71"/>
      <c r="E73" s="420"/>
      <c r="F73" s="1290"/>
      <c r="G73" s="420"/>
      <c r="H73" s="1291"/>
    </row>
    <row r="74" spans="2:8">
      <c r="B74" s="972"/>
      <c r="C74" s="1285"/>
      <c r="D74" s="1285"/>
      <c r="E74" s="1285"/>
      <c r="F74" s="1289"/>
      <c r="G74" s="420"/>
      <c r="H74" s="1288"/>
    </row>
    <row r="75" spans="2:8">
      <c r="B75" s="972"/>
      <c r="C75" s="1285"/>
      <c r="D75" s="1285"/>
      <c r="E75" s="1285"/>
      <c r="F75" s="1285"/>
      <c r="G75" s="420"/>
      <c r="H75" s="1288"/>
    </row>
    <row r="76" spans="2:8">
      <c r="B76" s="972"/>
      <c r="C76" s="1285"/>
      <c r="D76" s="1285"/>
      <c r="E76" s="1285"/>
      <c r="F76" s="1285"/>
      <c r="G76" s="420"/>
      <c r="H76" s="1288"/>
    </row>
    <row r="77" spans="2:8">
      <c r="B77" s="972"/>
      <c r="C77" s="1285"/>
      <c r="D77" s="1285"/>
      <c r="E77" s="1285"/>
      <c r="F77" s="1285"/>
      <c r="G77" s="420"/>
      <c r="H77" s="1288"/>
    </row>
    <row r="78" spans="2:8">
      <c r="B78" s="972"/>
      <c r="C78" s="1285"/>
      <c r="D78" s="1285"/>
      <c r="E78" s="1285"/>
      <c r="F78" s="1285"/>
      <c r="G78" s="420"/>
      <c r="H78" s="1288"/>
    </row>
    <row r="79" spans="2:8">
      <c r="B79" s="1284"/>
      <c r="C79" s="1285"/>
      <c r="D79" s="1283"/>
      <c r="E79" s="1285"/>
      <c r="F79" s="1289"/>
      <c r="G79" s="420"/>
      <c r="H79" s="1288"/>
    </row>
    <row r="80" spans="2:8">
      <c r="B80" s="1284"/>
      <c r="C80" s="1285"/>
      <c r="D80" s="1288"/>
      <c r="E80" s="1285"/>
      <c r="F80" s="1285"/>
      <c r="G80" s="420"/>
      <c r="H80" s="1288"/>
    </row>
  </sheetData>
  <customSheetViews>
    <customSheetView guid="{FAA8FFD9-C96B-4A1B-8B9E-B863FD90DDBA}" scale="75" fitToPage="1" showRuler="0">
      <selection activeCell="F1" sqref="F1:F2"/>
      <pageMargins left="0.44" right="0.42" top="0.52" bottom="0.6" header="0" footer="0.5"/>
      <pageSetup scale="62" orientation="landscape" r:id="rId1"/>
      <headerFooter alignWithMargins="0">
        <oddFooter xml:space="preserve">&amp;R&amp;"Arial MT,Bold"&amp;14P-2 </oddFooter>
      </headerFooter>
    </customSheetView>
  </customSheetViews>
  <mergeCells count="1">
    <mergeCell ref="E1:F1"/>
  </mergeCells>
  <phoneticPr fontId="28" type="noConversion"/>
  <printOptions horizontalCentered="1" gridLines="1"/>
  <pageMargins left="0.5" right="0.5" top="0.25" bottom="0.5" header="0" footer="0"/>
  <pageSetup scale="77" orientation="landscape" r:id="rId2"/>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enableFormatConditionsCalculation="0">
    <pageSetUpPr fitToPage="1"/>
  </sheetPr>
  <dimension ref="A1:O35"/>
  <sheetViews>
    <sheetView zoomScale="75" zoomScaleNormal="75" zoomScaleSheetLayoutView="75" workbookViewId="0">
      <selection activeCell="B56" sqref="B56"/>
    </sheetView>
  </sheetViews>
  <sheetFormatPr defaultRowHeight="15"/>
  <cols>
    <col min="1" max="1" width="5.21875" style="115" customWidth="1"/>
    <col min="2" max="2" width="15.109375" style="115" customWidth="1"/>
    <col min="3" max="3" width="19.109375" style="115" bestFit="1" customWidth="1"/>
    <col min="4" max="4" width="19.21875" style="115" customWidth="1"/>
    <col min="5" max="5" width="19.109375" style="115" customWidth="1"/>
    <col min="6" max="6" width="13.77734375" style="115" customWidth="1"/>
    <col min="7" max="7" width="12.5546875" style="115" customWidth="1"/>
    <col min="8" max="8" width="1.21875" style="115" customWidth="1"/>
    <col min="9" max="9" width="7.6640625" style="115" bestFit="1" customWidth="1"/>
    <col min="10" max="10" width="2.33203125" style="115" customWidth="1"/>
    <col min="11" max="11" width="6.77734375" style="115" customWidth="1"/>
    <col min="12" max="16384" width="8.88671875" style="115"/>
  </cols>
  <sheetData>
    <row r="1" spans="1:14" ht="20.25">
      <c r="A1" s="45" t="s">
        <v>1228</v>
      </c>
      <c r="G1" s="1098"/>
    </row>
    <row r="2" spans="1:14" ht="18">
      <c r="A2" s="1423" t="s">
        <v>67</v>
      </c>
      <c r="F2" s="2193" t="s">
        <v>211</v>
      </c>
      <c r="G2" s="2193"/>
    </row>
    <row r="3" spans="1:14">
      <c r="A3" s="143" t="str">
        <f>'P-1 (Trans Plant)'!B3</f>
        <v>For the 12 months ended - December 31, 2014</v>
      </c>
      <c r="B3" s="143"/>
      <c r="C3" s="143"/>
      <c r="D3" s="143"/>
      <c r="E3" s="143"/>
      <c r="F3" s="143"/>
      <c r="G3" s="143"/>
    </row>
    <row r="4" spans="1:14">
      <c r="A4" s="143"/>
      <c r="B4" s="143"/>
      <c r="C4" s="143"/>
      <c r="D4" s="143"/>
      <c r="E4" s="143"/>
      <c r="F4" s="143"/>
      <c r="G4" s="143"/>
    </row>
    <row r="5" spans="1:14">
      <c r="A5" s="143"/>
      <c r="B5" s="143"/>
      <c r="C5" s="143"/>
      <c r="D5" s="143"/>
      <c r="E5" s="143"/>
      <c r="F5" s="143"/>
      <c r="G5" s="143"/>
    </row>
    <row r="6" spans="1:14">
      <c r="A6" s="1881" t="s">
        <v>1388</v>
      </c>
      <c r="B6" s="143"/>
      <c r="C6" s="143"/>
      <c r="D6" s="143"/>
      <c r="E6" s="143"/>
      <c r="F6" s="143"/>
      <c r="G6" s="143"/>
    </row>
    <row r="7" spans="1:14">
      <c r="A7" s="32"/>
      <c r="B7" s="143"/>
      <c r="C7" s="143"/>
      <c r="D7" s="143"/>
      <c r="E7" s="143"/>
      <c r="F7" s="143"/>
      <c r="G7" s="143"/>
    </row>
    <row r="8" spans="1:14" ht="15" customHeight="1">
      <c r="A8" s="1796">
        <v>1</v>
      </c>
      <c r="B8" s="143" t="s">
        <v>233</v>
      </c>
      <c r="C8" s="143"/>
      <c r="D8" s="143"/>
      <c r="E8" s="143"/>
      <c r="F8" s="143"/>
      <c r="G8" s="143"/>
      <c r="I8" s="68"/>
      <c r="J8" s="143"/>
      <c r="K8" s="68"/>
      <c r="L8" s="143"/>
      <c r="M8" s="695"/>
      <c r="N8" s="143"/>
    </row>
    <row r="9" spans="1:14">
      <c r="A9" s="143"/>
      <c r="B9" s="143"/>
      <c r="C9" s="143"/>
      <c r="D9" s="143"/>
      <c r="E9" s="143"/>
      <c r="F9" s="143"/>
      <c r="G9" s="143"/>
    </row>
    <row r="10" spans="1:14">
      <c r="A10" s="143"/>
      <c r="B10" s="1882" t="s">
        <v>1529</v>
      </c>
      <c r="C10" s="1883" t="s">
        <v>1527</v>
      </c>
      <c r="D10" s="1882" t="s">
        <v>1528</v>
      </c>
      <c r="E10" s="1882" t="s">
        <v>1167</v>
      </c>
      <c r="F10" s="1882" t="s">
        <v>1168</v>
      </c>
      <c r="G10" s="1882" t="s">
        <v>1169</v>
      </c>
    </row>
    <row r="11" spans="1:14" ht="92.25" customHeight="1">
      <c r="A11" s="143"/>
      <c r="B11" s="1085" t="s">
        <v>1582</v>
      </c>
      <c r="C11" s="1085" t="s">
        <v>817</v>
      </c>
      <c r="D11" s="1884" t="s">
        <v>845</v>
      </c>
      <c r="E11" s="1884" t="s">
        <v>1325</v>
      </c>
      <c r="F11" s="1085" t="s">
        <v>813</v>
      </c>
      <c r="G11" s="1085" t="s">
        <v>812</v>
      </c>
    </row>
    <row r="12" spans="1:14" ht="15.75">
      <c r="A12" s="1796">
        <v>2</v>
      </c>
      <c r="B12" s="789" t="s">
        <v>499</v>
      </c>
      <c r="C12" s="1914"/>
      <c r="D12" s="1914"/>
      <c r="E12" s="1915"/>
      <c r="F12" s="2012">
        <v>2583</v>
      </c>
      <c r="G12" s="691">
        <f t="shared" ref="G12:G19" si="0">F12</f>
        <v>2583</v>
      </c>
      <c r="I12" s="653"/>
    </row>
    <row r="13" spans="1:14">
      <c r="A13" s="1796">
        <v>3</v>
      </c>
      <c r="B13" s="789" t="s">
        <v>1517</v>
      </c>
      <c r="C13" s="1916"/>
      <c r="D13" s="1916"/>
      <c r="E13" s="1917"/>
      <c r="F13" s="2012">
        <v>2554</v>
      </c>
      <c r="G13" s="691">
        <f t="shared" si="0"/>
        <v>2554</v>
      </c>
    </row>
    <row r="14" spans="1:14">
      <c r="A14" s="1796">
        <v>4</v>
      </c>
      <c r="B14" s="789" t="s">
        <v>1518</v>
      </c>
      <c r="C14" s="1916"/>
      <c r="D14" s="1916"/>
      <c r="E14" s="1917"/>
      <c r="F14" s="2012">
        <v>2271</v>
      </c>
      <c r="G14" s="691">
        <f t="shared" si="0"/>
        <v>2271</v>
      </c>
    </row>
    <row r="15" spans="1:14">
      <c r="A15" s="1796">
        <v>5</v>
      </c>
      <c r="B15" s="789" t="s">
        <v>1519</v>
      </c>
      <c r="C15" s="1916"/>
      <c r="D15" s="1916"/>
      <c r="E15" s="1917"/>
      <c r="F15" s="2012">
        <v>2131</v>
      </c>
      <c r="G15" s="691">
        <f t="shared" si="0"/>
        <v>2131</v>
      </c>
    </row>
    <row r="16" spans="1:14">
      <c r="A16" s="1796">
        <v>6</v>
      </c>
      <c r="B16" s="789" t="s">
        <v>1125</v>
      </c>
      <c r="C16" s="1916"/>
      <c r="D16" s="1916"/>
      <c r="E16" s="1917"/>
      <c r="F16" s="2012">
        <v>2597</v>
      </c>
      <c r="G16" s="691">
        <f t="shared" si="0"/>
        <v>2597</v>
      </c>
    </row>
    <row r="17" spans="1:15">
      <c r="A17" s="1796">
        <v>7</v>
      </c>
      <c r="B17" s="789" t="s">
        <v>1520</v>
      </c>
      <c r="C17" s="1916"/>
      <c r="D17" s="1916"/>
      <c r="E17" s="1917"/>
      <c r="F17" s="2012">
        <v>3457</v>
      </c>
      <c r="G17" s="691">
        <f t="shared" si="0"/>
        <v>3457</v>
      </c>
    </row>
    <row r="18" spans="1:15">
      <c r="A18" s="1796">
        <v>8</v>
      </c>
      <c r="B18" s="789" t="s">
        <v>1521</v>
      </c>
      <c r="C18" s="1916"/>
      <c r="D18" s="1916"/>
      <c r="E18" s="1917"/>
      <c r="F18" s="2012">
        <v>3568</v>
      </c>
      <c r="G18" s="691">
        <f t="shared" si="0"/>
        <v>3568</v>
      </c>
    </row>
    <row r="19" spans="1:15">
      <c r="A19" s="1796">
        <v>9</v>
      </c>
      <c r="B19" s="789" t="s">
        <v>1522</v>
      </c>
      <c r="C19" s="1918"/>
      <c r="D19" s="1918"/>
      <c r="E19" s="1919"/>
      <c r="F19" s="2012">
        <v>3566</v>
      </c>
      <c r="G19" s="691">
        <f t="shared" si="0"/>
        <v>3566</v>
      </c>
      <c r="I19" s="538"/>
    </row>
    <row r="20" spans="1:15">
      <c r="A20" s="1796">
        <v>10</v>
      </c>
      <c r="B20" s="1885" t="s">
        <v>1523</v>
      </c>
      <c r="C20" s="690">
        <f>'A-2 (Act. Divisor) '!O19</f>
        <v>1.1335067550558027</v>
      </c>
      <c r="D20" s="696">
        <f>AVERAGE($F$12:$F$19)</f>
        <v>2840.875</v>
      </c>
      <c r="E20" s="1055">
        <f>C20*D20</f>
        <v>3220.1510027691534</v>
      </c>
      <c r="F20" s="1915"/>
      <c r="G20" s="1886">
        <f>E20</f>
        <v>3220.1510027691534</v>
      </c>
    </row>
    <row r="21" spans="1:15">
      <c r="A21" s="1796">
        <v>11</v>
      </c>
      <c r="B21" s="1885" t="s">
        <v>1524</v>
      </c>
      <c r="C21" s="690">
        <f>'A-2 (Act. Divisor) '!O20</f>
        <v>0.79415960392716289</v>
      </c>
      <c r="D21" s="696">
        <f>AVERAGE($F$12:$F$19)</f>
        <v>2840.875</v>
      </c>
      <c r="E21" s="1055">
        <f>C21*D21</f>
        <v>2256.1081648065788</v>
      </c>
      <c r="F21" s="1917"/>
      <c r="G21" s="1886">
        <f>E21</f>
        <v>2256.1081648065788</v>
      </c>
    </row>
    <row r="22" spans="1:15">
      <c r="A22" s="1796">
        <v>12</v>
      </c>
      <c r="B22" s="1885" t="s">
        <v>1525</v>
      </c>
      <c r="C22" s="690">
        <f>'A-2 (Act. Divisor) '!O21</f>
        <v>0.75757321473525219</v>
      </c>
      <c r="D22" s="696">
        <f>AVERAGE($F$12:$F$19)</f>
        <v>2840.875</v>
      </c>
      <c r="E22" s="1055">
        <f>C22*D22</f>
        <v>2152.1708064110094</v>
      </c>
      <c r="F22" s="1917"/>
      <c r="G22" s="1886">
        <f>E22</f>
        <v>2152.1708064110094</v>
      </c>
    </row>
    <row r="23" spans="1:15">
      <c r="A23" s="1796">
        <v>13</v>
      </c>
      <c r="B23" s="1885" t="s">
        <v>1526</v>
      </c>
      <c r="C23" s="690">
        <f>'A-2 (Act. Divisor) '!O22</f>
        <v>0.8307459931190736</v>
      </c>
      <c r="D23" s="696">
        <f>AVERAGE($F$12:$F$19)</f>
        <v>2840.875</v>
      </c>
      <c r="E23" s="1055">
        <f>C23*D23</f>
        <v>2360.0455232021482</v>
      </c>
      <c r="F23" s="1917"/>
      <c r="G23" s="1886">
        <f>E23</f>
        <v>2360.0455232021482</v>
      </c>
    </row>
    <row r="24" spans="1:15">
      <c r="A24" s="1796">
        <v>14</v>
      </c>
      <c r="B24" s="1887" t="s">
        <v>54</v>
      </c>
      <c r="C24" s="1888"/>
      <c r="D24" s="1889"/>
      <c r="E24" s="1889"/>
      <c r="F24" s="692"/>
      <c r="G24" s="1890">
        <f>SUM(G12:G23)</f>
        <v>32715.475497188891</v>
      </c>
      <c r="L24" s="422"/>
    </row>
    <row r="25" spans="1:15">
      <c r="A25" s="1796">
        <v>15</v>
      </c>
      <c r="B25" s="1887" t="s">
        <v>1392</v>
      </c>
      <c r="C25" s="1888"/>
      <c r="D25" s="1889"/>
      <c r="E25" s="1889"/>
      <c r="F25" s="693"/>
      <c r="G25" s="1891">
        <f>G24/12</f>
        <v>2726.2896247657409</v>
      </c>
    </row>
    <row r="26" spans="1:15">
      <c r="A26" s="143"/>
      <c r="B26" s="143"/>
      <c r="C26" s="143"/>
      <c r="D26" s="143"/>
      <c r="E26" s="143"/>
      <c r="F26" s="143"/>
      <c r="G26" s="143"/>
    </row>
    <row r="27" spans="1:15">
      <c r="A27" s="143"/>
      <c r="B27" s="143"/>
      <c r="C27" s="143"/>
      <c r="D27" s="143"/>
      <c r="E27" s="143"/>
      <c r="F27" s="143"/>
      <c r="G27" s="143"/>
    </row>
    <row r="28" spans="1:15" ht="45" customHeight="1">
      <c r="A28" s="1892" t="s">
        <v>135</v>
      </c>
      <c r="B28" s="2279" t="s">
        <v>1704</v>
      </c>
      <c r="C28" s="2280"/>
      <c r="D28" s="2280"/>
      <c r="E28" s="2280"/>
      <c r="F28" s="2280"/>
      <c r="G28" s="2280"/>
      <c r="H28" s="694"/>
      <c r="I28" s="694"/>
      <c r="J28" s="694"/>
      <c r="K28" s="694"/>
      <c r="L28" s="694"/>
      <c r="M28" s="694"/>
      <c r="N28" s="694"/>
      <c r="O28" s="694"/>
    </row>
    <row r="29" spans="1:15" ht="15.75">
      <c r="A29" s="143"/>
      <c r="B29" s="742" t="s">
        <v>232</v>
      </c>
      <c r="C29" s="602"/>
      <c r="D29" s="602"/>
      <c r="E29" s="602"/>
      <c r="F29" s="602"/>
      <c r="G29" s="602"/>
      <c r="H29" s="537"/>
      <c r="I29" s="537"/>
    </row>
    <row r="30" spans="1:15" ht="17.25" customHeight="1">
      <c r="A30" s="143"/>
      <c r="B30" s="2281" t="s">
        <v>1427</v>
      </c>
      <c r="C30" s="2185"/>
      <c r="D30" s="2185"/>
      <c r="E30" s="2185"/>
      <c r="F30" s="2185"/>
      <c r="G30" s="2185"/>
    </row>
    <row r="35" spans="2:4">
      <c r="B35" s="143"/>
      <c r="C35" s="1995"/>
      <c r="D35" s="143"/>
    </row>
  </sheetData>
  <customSheetViews>
    <customSheetView guid="{FAA8FFD9-C96B-4A1B-8B9E-B863FD90DDBA}" scale="75" fitToPage="1" showRuler="0">
      <selection activeCell="F11" sqref="F11"/>
      <pageMargins left="0.75" right="0.75" top="1" bottom="1" header="0.5" footer="0.5"/>
      <printOptions horizontalCentered="1"/>
      <pageSetup scale="61" orientation="landscape" r:id="rId1"/>
      <headerFooter alignWithMargins="0">
        <oddFooter>&amp;R&amp;"Arial MT,Bold"&amp;16P-3</oddFooter>
      </headerFooter>
    </customSheetView>
  </customSheetViews>
  <mergeCells count="3">
    <mergeCell ref="B28:G28"/>
    <mergeCell ref="B30:G30"/>
    <mergeCell ref="F2:G2"/>
  </mergeCells>
  <phoneticPr fontId="28" type="noConversion"/>
  <printOptions horizontalCentered="1" gridLines="1"/>
  <pageMargins left="0.5" right="0.5" top="0.5" bottom="0.5" header="0" footer="0"/>
  <pageSetup scale="93" orientation="landscape" r:id="rId2"/>
  <headerFooter alignWithMargins="0">
    <oddFooter>&amp;R&amp;"Arial MT,Bold"&amp;16P-3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dimension ref="A1:O175"/>
  <sheetViews>
    <sheetView view="pageBreakPreview" topLeftCell="A52" zoomScaleNormal="100" zoomScaleSheetLayoutView="75" workbookViewId="0">
      <selection activeCell="B59" sqref="B59"/>
    </sheetView>
  </sheetViews>
  <sheetFormatPr defaultRowHeight="12.75"/>
  <cols>
    <col min="1" max="1" width="2.88671875" style="118" customWidth="1"/>
    <col min="2" max="2" width="7.77734375" style="118" customWidth="1"/>
    <col min="3" max="3" width="9.5546875" style="118" customWidth="1"/>
    <col min="4" max="4" width="8.6640625" style="118" customWidth="1"/>
    <col min="5" max="5" width="9.33203125" style="118" customWidth="1"/>
    <col min="6" max="6" width="5.88671875" style="118" customWidth="1"/>
    <col min="7" max="7" width="12.33203125" style="118" customWidth="1"/>
    <col min="8" max="8" width="10.33203125" style="118" customWidth="1"/>
    <col min="9" max="9" width="10.5546875" style="118" customWidth="1"/>
    <col min="10" max="10" width="12.77734375" style="118" customWidth="1"/>
    <col min="11" max="11" width="10.33203125" style="118" customWidth="1"/>
    <col min="12" max="12" width="8.88671875" style="118"/>
    <col min="13" max="13" width="12.44140625" style="118" customWidth="1"/>
    <col min="14" max="14" width="10.33203125" style="118" customWidth="1"/>
    <col min="15" max="15" width="10.44140625" style="118" customWidth="1"/>
    <col min="16" max="16384" width="8.88671875" style="118"/>
  </cols>
  <sheetData>
    <row r="1" spans="1:15" ht="20.25">
      <c r="A1" s="91"/>
      <c r="B1" s="45" t="s">
        <v>618</v>
      </c>
      <c r="C1" s="91"/>
      <c r="D1" s="91"/>
    </row>
    <row r="2" spans="1:15" ht="20.25">
      <c r="A2" s="91"/>
      <c r="B2" s="1427" t="s">
        <v>73</v>
      </c>
      <c r="C2" s="91"/>
      <c r="D2" s="91"/>
    </row>
    <row r="3" spans="1:15" ht="18">
      <c r="A3" s="92"/>
      <c r="B3" s="402" t="str">
        <f>+'Projected Gross Rev Req'!D4</f>
        <v>For the 12 months ended - December 31, 2014</v>
      </c>
      <c r="C3" s="92"/>
      <c r="D3" s="92"/>
    </row>
    <row r="4" spans="1:15" ht="15.75">
      <c r="L4" s="2193" t="s">
        <v>212</v>
      </c>
      <c r="M4" s="2193"/>
      <c r="N4" s="1098"/>
    </row>
    <row r="5" spans="1:15" ht="15.75">
      <c r="H5" s="280"/>
      <c r="N5" s="1099"/>
      <c r="O5" s="118" t="s">
        <v>1422</v>
      </c>
    </row>
    <row r="7" spans="1:15" ht="15.75">
      <c r="A7" s="119">
        <v>1</v>
      </c>
      <c r="B7" s="74" t="s">
        <v>1152</v>
      </c>
      <c r="G7" s="2083" t="s">
        <v>623</v>
      </c>
      <c r="H7" s="2103" t="s">
        <v>1859</v>
      </c>
      <c r="I7" s="530"/>
      <c r="J7" s="2083" t="s">
        <v>623</v>
      </c>
      <c r="K7" s="2103" t="s">
        <v>1860</v>
      </c>
      <c r="L7" s="530"/>
      <c r="M7" s="2083" t="s">
        <v>623</v>
      </c>
      <c r="N7" s="2101" t="s">
        <v>272</v>
      </c>
      <c r="O7" s="2122"/>
    </row>
    <row r="8" spans="1:15">
      <c r="A8" s="119"/>
      <c r="B8" s="157"/>
      <c r="G8" s="2084"/>
      <c r="H8" s="2104"/>
      <c r="I8" s="145"/>
      <c r="J8" s="2084"/>
      <c r="K8" s="2104"/>
      <c r="L8" s="145"/>
      <c r="M8" s="2084"/>
      <c r="N8" s="165"/>
      <c r="O8" s="145"/>
    </row>
    <row r="9" spans="1:15" ht="21" customHeight="1">
      <c r="A9" s="119">
        <f>+A7+1</f>
        <v>2</v>
      </c>
      <c r="G9" s="134" t="s">
        <v>632</v>
      </c>
      <c r="H9" s="2105"/>
      <c r="I9" s="526"/>
      <c r="J9" s="134" t="s">
        <v>632</v>
      </c>
      <c r="K9" s="2105"/>
      <c r="L9" s="2085"/>
      <c r="M9" s="2121" t="s">
        <v>632</v>
      </c>
      <c r="N9" s="1067"/>
      <c r="O9" s="526"/>
    </row>
    <row r="10" spans="1:15">
      <c r="A10" s="119">
        <f>+A9+1</f>
        <v>3</v>
      </c>
      <c r="G10" s="134" t="s">
        <v>224</v>
      </c>
      <c r="H10" s="2106">
        <f>IF('P-1 (Trans Plant)'!$I$91=0,0,ROUND('P-1 (Trans Plant)'!$J$90/'P-1 (Trans Plant)'!$I$91/12,6))</f>
        <v>1.4940000000000001E-3</v>
      </c>
      <c r="I10" s="145" t="s">
        <v>730</v>
      </c>
      <c r="J10" s="134" t="s">
        <v>224</v>
      </c>
      <c r="K10" s="2106">
        <f>IF('P-1 (Trans Plant)'!$I$91=0,0,ROUND('P-1 (Trans Plant)'!$J$90/'P-1 (Trans Plant)'!$I$91/12,6))</f>
        <v>1.4940000000000001E-3</v>
      </c>
      <c r="L10" s="145" t="s">
        <v>730</v>
      </c>
      <c r="M10" s="134" t="s">
        <v>624</v>
      </c>
      <c r="N10" s="174">
        <f>IF('P-1 (Trans Plant)'!$I$91=0,0,ROUND('P-1 (Trans Plant)'!$J$90/'P-1 (Trans Plant)'!$I$91/12,6))</f>
        <v>1.4940000000000001E-3</v>
      </c>
      <c r="O10" s="145" t="s">
        <v>730</v>
      </c>
    </row>
    <row r="11" spans="1:15">
      <c r="A11" s="119">
        <f>+A10+1</f>
        <v>4</v>
      </c>
      <c r="G11" s="134" t="s">
        <v>627</v>
      </c>
      <c r="H11" s="2107"/>
      <c r="I11" s="145"/>
      <c r="J11" s="134" t="s">
        <v>627</v>
      </c>
      <c r="K11" s="2107"/>
      <c r="L11" s="145"/>
      <c r="M11" s="134" t="s">
        <v>627</v>
      </c>
      <c r="N11" s="133">
        <v>0</v>
      </c>
      <c r="O11" s="145"/>
    </row>
    <row r="12" spans="1:15">
      <c r="A12" s="119">
        <f>+A11+1</f>
        <v>5</v>
      </c>
      <c r="C12" s="2282" t="s">
        <v>54</v>
      </c>
      <c r="D12" s="2282"/>
      <c r="E12" s="2282"/>
      <c r="G12" s="134" t="s">
        <v>628</v>
      </c>
      <c r="H12" s="2108">
        <v>0</v>
      </c>
      <c r="I12" s="145"/>
      <c r="J12" s="134" t="s">
        <v>628</v>
      </c>
      <c r="K12" s="2108"/>
      <c r="L12" s="145"/>
      <c r="M12" s="134" t="s">
        <v>628</v>
      </c>
      <c r="N12" s="126"/>
      <c r="O12" s="145"/>
    </row>
    <row r="13" spans="1:15">
      <c r="A13" s="119">
        <f>+A12+1</f>
        <v>6</v>
      </c>
      <c r="G13" s="134" t="s">
        <v>633</v>
      </c>
      <c r="H13" s="2109"/>
      <c r="I13" s="145"/>
      <c r="J13" s="134" t="s">
        <v>633</v>
      </c>
      <c r="K13" s="2109"/>
      <c r="L13" s="145"/>
      <c r="M13" s="134" t="s">
        <v>633</v>
      </c>
      <c r="N13" s="173"/>
      <c r="O13" s="145"/>
    </row>
    <row r="14" spans="1:15">
      <c r="G14" s="134"/>
      <c r="H14" s="135"/>
      <c r="I14" s="145"/>
      <c r="J14" s="134"/>
      <c r="K14" s="135"/>
      <c r="L14" s="145"/>
      <c r="M14" s="134"/>
      <c r="N14" s="135"/>
      <c r="O14" s="145"/>
    </row>
    <row r="15" spans="1:15">
      <c r="B15" s="117" t="s">
        <v>394</v>
      </c>
      <c r="C15" s="117" t="s">
        <v>1045</v>
      </c>
      <c r="D15" s="117" t="s">
        <v>634</v>
      </c>
      <c r="E15" s="117" t="s">
        <v>265</v>
      </c>
      <c r="F15" s="117" t="s">
        <v>394</v>
      </c>
      <c r="G15" s="2119" t="s">
        <v>1045</v>
      </c>
      <c r="H15" s="1248" t="s">
        <v>634</v>
      </c>
      <c r="I15" s="2118" t="s">
        <v>265</v>
      </c>
      <c r="J15" s="2120" t="s">
        <v>1045</v>
      </c>
      <c r="K15" s="1550" t="s">
        <v>634</v>
      </c>
      <c r="L15" s="526" t="s">
        <v>265</v>
      </c>
      <c r="M15" s="2119" t="s">
        <v>1045</v>
      </c>
      <c r="N15" s="1248" t="s">
        <v>634</v>
      </c>
      <c r="O15" s="2118" t="s">
        <v>265</v>
      </c>
    </row>
    <row r="16" spans="1:15">
      <c r="A16" s="119">
        <f>+A13+1</f>
        <v>7</v>
      </c>
      <c r="G16" s="2111"/>
      <c r="H16" s="2112"/>
      <c r="I16" s="2112"/>
      <c r="J16" s="2111">
        <v>0</v>
      </c>
      <c r="K16" s="2112"/>
      <c r="L16" s="2113"/>
      <c r="M16" s="799">
        <v>0</v>
      </c>
      <c r="N16" s="1550"/>
      <c r="O16" s="526"/>
    </row>
    <row r="17" spans="1:15">
      <c r="A17" s="119">
        <f t="shared" ref="A17:A40" si="0">+A16+1</f>
        <v>8</v>
      </c>
      <c r="B17" s="1936">
        <v>41275</v>
      </c>
      <c r="C17" s="773">
        <f>+G17+J17+M17</f>
        <v>0</v>
      </c>
      <c r="D17" s="773">
        <f>+H17+K17+N17</f>
        <v>0</v>
      </c>
      <c r="E17" s="773">
        <f>+I17+L17+O17</f>
        <v>0</v>
      </c>
      <c r="F17" s="152">
        <f t="shared" ref="F17:F40" si="1">+B17</f>
        <v>41275</v>
      </c>
      <c r="G17" s="2114">
        <v>0</v>
      </c>
      <c r="H17" s="2115">
        <f>ROUND(G16*H$10,0)+H12</f>
        <v>0</v>
      </c>
      <c r="I17" s="2107">
        <f>+G17-H17</f>
        <v>0</v>
      </c>
      <c r="J17" s="2114">
        <v>0</v>
      </c>
      <c r="K17" s="2115">
        <f>ROUND(J16*K$10,0)+K12</f>
        <v>0</v>
      </c>
      <c r="L17" s="2116">
        <f>+J17-K17</f>
        <v>0</v>
      </c>
      <c r="M17" s="799">
        <v>0</v>
      </c>
      <c r="N17" s="169">
        <f>ROUND(M16*N$10,0)+N12</f>
        <v>0</v>
      </c>
      <c r="O17" s="171">
        <f>+M17-N17</f>
        <v>0</v>
      </c>
    </row>
    <row r="18" spans="1:15">
      <c r="A18" s="119">
        <f t="shared" si="0"/>
        <v>9</v>
      </c>
      <c r="B18" s="153">
        <v>41306</v>
      </c>
      <c r="C18" s="773">
        <f t="shared" ref="C18:C34" si="2">+G18+J18+M18</f>
        <v>0</v>
      </c>
      <c r="D18" s="773">
        <f t="shared" ref="D18:D31" si="3">+H18+K18+N18</f>
        <v>0</v>
      </c>
      <c r="E18" s="773">
        <f t="shared" ref="E18:E39" si="4">+I18+L18+O18</f>
        <v>0</v>
      </c>
      <c r="F18" s="152">
        <f t="shared" si="1"/>
        <v>41306</v>
      </c>
      <c r="G18" s="2114">
        <f>+G17</f>
        <v>0</v>
      </c>
      <c r="H18" s="2115">
        <f>ROUND(G17*H$10,0)+H17</f>
        <v>0</v>
      </c>
      <c r="I18" s="2107">
        <f t="shared" ref="I18:I40" si="5">+G18-H18</f>
        <v>0</v>
      </c>
      <c r="J18" s="2114">
        <v>0</v>
      </c>
      <c r="K18" s="2115">
        <f>ROUND(J17*K$10,0)+K17</f>
        <v>0</v>
      </c>
      <c r="L18" s="2116">
        <f t="shared" ref="L18:L40" si="6">+J18-K18</f>
        <v>0</v>
      </c>
      <c r="M18" s="799">
        <f t="shared" ref="M18:M40" si="7">+M17</f>
        <v>0</v>
      </c>
      <c r="N18" s="169">
        <f>ROUND(M17*N$10,0)+N17</f>
        <v>0</v>
      </c>
      <c r="O18" s="171">
        <f t="shared" ref="O18:O40" si="8">+M18-N18</f>
        <v>0</v>
      </c>
    </row>
    <row r="19" spans="1:15">
      <c r="A19" s="119">
        <f t="shared" si="0"/>
        <v>10</v>
      </c>
      <c r="B19" s="153">
        <v>41334</v>
      </c>
      <c r="C19" s="773">
        <f>+G19+J19+M19</f>
        <v>0</v>
      </c>
      <c r="D19" s="773">
        <f>+H19+K19+N19</f>
        <v>0</v>
      </c>
      <c r="E19" s="773">
        <f t="shared" si="4"/>
        <v>0</v>
      </c>
      <c r="F19" s="152">
        <f t="shared" si="1"/>
        <v>41334</v>
      </c>
      <c r="G19" s="2114">
        <f>G18</f>
        <v>0</v>
      </c>
      <c r="H19" s="2115">
        <f t="shared" ref="H19:H38" si="9">ROUND(G18*H$10,0)+H18</f>
        <v>0</v>
      </c>
      <c r="I19" s="2107">
        <f t="shared" si="5"/>
        <v>0</v>
      </c>
      <c r="J19" s="2114">
        <v>0</v>
      </c>
      <c r="K19" s="2115">
        <f t="shared" ref="K19:K40" si="10">ROUND(J18*K$10,0)+K18</f>
        <v>0</v>
      </c>
      <c r="L19" s="2116">
        <f t="shared" si="6"/>
        <v>0</v>
      </c>
      <c r="M19" s="799">
        <f t="shared" si="7"/>
        <v>0</v>
      </c>
      <c r="N19" s="169">
        <f t="shared" ref="N19:N40" si="11">ROUND(M18*N$10,0)+N18</f>
        <v>0</v>
      </c>
      <c r="O19" s="171">
        <f t="shared" si="8"/>
        <v>0</v>
      </c>
    </row>
    <row r="20" spans="1:15">
      <c r="A20" s="119">
        <f t="shared" si="0"/>
        <v>11</v>
      </c>
      <c r="B20" s="153">
        <v>41365</v>
      </c>
      <c r="C20" s="773">
        <f t="shared" si="2"/>
        <v>0</v>
      </c>
      <c r="D20" s="773">
        <f>+H20+K20+N20</f>
        <v>0</v>
      </c>
      <c r="E20" s="773">
        <f>+I20+L20+O20</f>
        <v>0</v>
      </c>
      <c r="F20" s="152">
        <f t="shared" si="1"/>
        <v>41365</v>
      </c>
      <c r="G20" s="2114">
        <f>+G19</f>
        <v>0</v>
      </c>
      <c r="H20" s="2115">
        <f t="shared" si="9"/>
        <v>0</v>
      </c>
      <c r="I20" s="2107">
        <f t="shared" si="5"/>
        <v>0</v>
      </c>
      <c r="J20" s="2114">
        <f>+J19</f>
        <v>0</v>
      </c>
      <c r="K20" s="2115">
        <f t="shared" si="10"/>
        <v>0</v>
      </c>
      <c r="L20" s="2116">
        <f t="shared" si="6"/>
        <v>0</v>
      </c>
      <c r="M20" s="799">
        <f t="shared" si="7"/>
        <v>0</v>
      </c>
      <c r="N20" s="169">
        <f t="shared" si="11"/>
        <v>0</v>
      </c>
      <c r="O20" s="171">
        <f t="shared" si="8"/>
        <v>0</v>
      </c>
    </row>
    <row r="21" spans="1:15">
      <c r="A21" s="119">
        <f t="shared" si="0"/>
        <v>12</v>
      </c>
      <c r="B21" s="153">
        <v>41395</v>
      </c>
      <c r="C21" s="773">
        <f t="shared" si="2"/>
        <v>0</v>
      </c>
      <c r="D21" s="773">
        <f t="shared" si="3"/>
        <v>0</v>
      </c>
      <c r="E21" s="773">
        <f t="shared" si="4"/>
        <v>0</v>
      </c>
      <c r="F21" s="152">
        <f t="shared" si="1"/>
        <v>41395</v>
      </c>
      <c r="G21" s="2114">
        <v>0</v>
      </c>
      <c r="H21" s="2115">
        <f t="shared" si="9"/>
        <v>0</v>
      </c>
      <c r="I21" s="2107">
        <f t="shared" si="5"/>
        <v>0</v>
      </c>
      <c r="J21" s="2114">
        <f t="shared" ref="J21:J40" si="12">+J20</f>
        <v>0</v>
      </c>
      <c r="K21" s="2115">
        <f t="shared" si="10"/>
        <v>0</v>
      </c>
      <c r="L21" s="2116">
        <f t="shared" si="6"/>
        <v>0</v>
      </c>
      <c r="M21" s="799">
        <f t="shared" si="7"/>
        <v>0</v>
      </c>
      <c r="N21" s="169">
        <f t="shared" si="11"/>
        <v>0</v>
      </c>
      <c r="O21" s="171">
        <f t="shared" si="8"/>
        <v>0</v>
      </c>
    </row>
    <row r="22" spans="1:15">
      <c r="A22" s="119">
        <f t="shared" si="0"/>
        <v>13</v>
      </c>
      <c r="B22" s="153">
        <v>41426</v>
      </c>
      <c r="C22" s="773">
        <f t="shared" si="2"/>
        <v>0</v>
      </c>
      <c r="D22" s="773">
        <f t="shared" si="3"/>
        <v>0</v>
      </c>
      <c r="E22" s="773">
        <f t="shared" si="4"/>
        <v>0</v>
      </c>
      <c r="F22" s="152">
        <f t="shared" si="1"/>
        <v>41426</v>
      </c>
      <c r="G22" s="2114">
        <f>G21</f>
        <v>0</v>
      </c>
      <c r="H22" s="2115">
        <f>ROUND(G21*H$10,0)+H21</f>
        <v>0</v>
      </c>
      <c r="I22" s="2107">
        <f t="shared" si="5"/>
        <v>0</v>
      </c>
      <c r="J22" s="2114">
        <f t="shared" si="12"/>
        <v>0</v>
      </c>
      <c r="K22" s="2115">
        <f t="shared" si="10"/>
        <v>0</v>
      </c>
      <c r="L22" s="2116">
        <f t="shared" si="6"/>
        <v>0</v>
      </c>
      <c r="M22" s="799">
        <f t="shared" si="7"/>
        <v>0</v>
      </c>
      <c r="N22" s="169">
        <f t="shared" si="11"/>
        <v>0</v>
      </c>
      <c r="O22" s="171">
        <f t="shared" si="8"/>
        <v>0</v>
      </c>
    </row>
    <row r="23" spans="1:15">
      <c r="A23" s="119">
        <f t="shared" si="0"/>
        <v>14</v>
      </c>
      <c r="B23" s="153">
        <v>41456</v>
      </c>
      <c r="C23" s="773">
        <f t="shared" si="2"/>
        <v>0</v>
      </c>
      <c r="D23" s="773">
        <f t="shared" si="3"/>
        <v>0</v>
      </c>
      <c r="E23" s="773">
        <f t="shared" si="4"/>
        <v>0</v>
      </c>
      <c r="F23" s="152">
        <f t="shared" si="1"/>
        <v>41456</v>
      </c>
      <c r="G23" s="2114">
        <f t="shared" ref="G23:G39" si="13">G22</f>
        <v>0</v>
      </c>
      <c r="H23" s="2115">
        <f t="shared" si="9"/>
        <v>0</v>
      </c>
      <c r="I23" s="2107">
        <f t="shared" si="5"/>
        <v>0</v>
      </c>
      <c r="J23" s="2114">
        <f t="shared" si="12"/>
        <v>0</v>
      </c>
      <c r="K23" s="2115">
        <f t="shared" si="10"/>
        <v>0</v>
      </c>
      <c r="L23" s="2116">
        <f t="shared" si="6"/>
        <v>0</v>
      </c>
      <c r="M23" s="799">
        <f t="shared" si="7"/>
        <v>0</v>
      </c>
      <c r="N23" s="169">
        <f t="shared" si="11"/>
        <v>0</v>
      </c>
      <c r="O23" s="171">
        <f t="shared" si="8"/>
        <v>0</v>
      </c>
    </row>
    <row r="24" spans="1:15">
      <c r="A24" s="119">
        <f t="shared" si="0"/>
        <v>15</v>
      </c>
      <c r="B24" s="153">
        <v>41487</v>
      </c>
      <c r="C24" s="773">
        <f t="shared" si="2"/>
        <v>0</v>
      </c>
      <c r="D24" s="773">
        <f t="shared" si="3"/>
        <v>0</v>
      </c>
      <c r="E24" s="773">
        <f t="shared" si="4"/>
        <v>0</v>
      </c>
      <c r="F24" s="152">
        <f t="shared" si="1"/>
        <v>41487</v>
      </c>
      <c r="G24" s="2114">
        <f t="shared" si="13"/>
        <v>0</v>
      </c>
      <c r="H24" s="2115">
        <f t="shared" si="9"/>
        <v>0</v>
      </c>
      <c r="I24" s="2107">
        <f t="shared" si="5"/>
        <v>0</v>
      </c>
      <c r="J24" s="2114">
        <f t="shared" si="12"/>
        <v>0</v>
      </c>
      <c r="K24" s="2115">
        <f t="shared" si="10"/>
        <v>0</v>
      </c>
      <c r="L24" s="2116">
        <f t="shared" si="6"/>
        <v>0</v>
      </c>
      <c r="M24" s="799">
        <f t="shared" si="7"/>
        <v>0</v>
      </c>
      <c r="N24" s="169">
        <f t="shared" si="11"/>
        <v>0</v>
      </c>
      <c r="O24" s="171">
        <f t="shared" si="8"/>
        <v>0</v>
      </c>
    </row>
    <row r="25" spans="1:15">
      <c r="A25" s="119">
        <f t="shared" si="0"/>
        <v>16</v>
      </c>
      <c r="B25" s="153">
        <v>41518</v>
      </c>
      <c r="C25" s="773">
        <f t="shared" si="2"/>
        <v>0</v>
      </c>
      <c r="D25" s="773">
        <f t="shared" si="3"/>
        <v>0</v>
      </c>
      <c r="E25" s="773">
        <f t="shared" si="4"/>
        <v>0</v>
      </c>
      <c r="F25" s="152">
        <f t="shared" si="1"/>
        <v>41518</v>
      </c>
      <c r="G25" s="2114">
        <f t="shared" si="13"/>
        <v>0</v>
      </c>
      <c r="H25" s="2115">
        <f t="shared" si="9"/>
        <v>0</v>
      </c>
      <c r="I25" s="2107">
        <f t="shared" si="5"/>
        <v>0</v>
      </c>
      <c r="J25" s="2114">
        <f t="shared" si="12"/>
        <v>0</v>
      </c>
      <c r="K25" s="2115">
        <f t="shared" si="10"/>
        <v>0</v>
      </c>
      <c r="L25" s="2116">
        <f t="shared" si="6"/>
        <v>0</v>
      </c>
      <c r="M25" s="799">
        <f t="shared" si="7"/>
        <v>0</v>
      </c>
      <c r="N25" s="169">
        <f t="shared" si="11"/>
        <v>0</v>
      </c>
      <c r="O25" s="171">
        <f t="shared" si="8"/>
        <v>0</v>
      </c>
    </row>
    <row r="26" spans="1:15">
      <c r="A26" s="119">
        <f t="shared" si="0"/>
        <v>17</v>
      </c>
      <c r="B26" s="153">
        <v>41548</v>
      </c>
      <c r="C26" s="773">
        <f t="shared" si="2"/>
        <v>0</v>
      </c>
      <c r="D26" s="773">
        <f t="shared" si="3"/>
        <v>0</v>
      </c>
      <c r="E26" s="773">
        <f t="shared" si="4"/>
        <v>0</v>
      </c>
      <c r="F26" s="152">
        <f t="shared" si="1"/>
        <v>41548</v>
      </c>
      <c r="G26" s="2114">
        <f t="shared" si="13"/>
        <v>0</v>
      </c>
      <c r="H26" s="2115">
        <f t="shared" si="9"/>
        <v>0</v>
      </c>
      <c r="I26" s="2107">
        <f t="shared" si="5"/>
        <v>0</v>
      </c>
      <c r="J26" s="2114">
        <f t="shared" si="12"/>
        <v>0</v>
      </c>
      <c r="K26" s="2115">
        <f t="shared" si="10"/>
        <v>0</v>
      </c>
      <c r="L26" s="2116">
        <f t="shared" si="6"/>
        <v>0</v>
      </c>
      <c r="M26" s="799">
        <f t="shared" si="7"/>
        <v>0</v>
      </c>
      <c r="N26" s="169">
        <f t="shared" si="11"/>
        <v>0</v>
      </c>
      <c r="O26" s="171">
        <f t="shared" si="8"/>
        <v>0</v>
      </c>
    </row>
    <row r="27" spans="1:15">
      <c r="A27" s="119">
        <f t="shared" si="0"/>
        <v>18</v>
      </c>
      <c r="B27" s="153">
        <v>41579</v>
      </c>
      <c r="C27" s="773">
        <f t="shared" si="2"/>
        <v>0</v>
      </c>
      <c r="D27" s="773">
        <f>+H27+K27+N27</f>
        <v>0</v>
      </c>
      <c r="E27" s="773">
        <f t="shared" si="4"/>
        <v>0</v>
      </c>
      <c r="F27" s="152">
        <f t="shared" si="1"/>
        <v>41579</v>
      </c>
      <c r="G27" s="2114">
        <f t="shared" si="13"/>
        <v>0</v>
      </c>
      <c r="H27" s="2115">
        <f t="shared" si="9"/>
        <v>0</v>
      </c>
      <c r="I27" s="2107">
        <f t="shared" si="5"/>
        <v>0</v>
      </c>
      <c r="J27" s="2114">
        <f t="shared" si="12"/>
        <v>0</v>
      </c>
      <c r="K27" s="2115">
        <f t="shared" si="10"/>
        <v>0</v>
      </c>
      <c r="L27" s="2116">
        <f t="shared" si="6"/>
        <v>0</v>
      </c>
      <c r="M27" s="799">
        <f t="shared" si="7"/>
        <v>0</v>
      </c>
      <c r="N27" s="169">
        <f t="shared" si="11"/>
        <v>0</v>
      </c>
      <c r="O27" s="171">
        <f t="shared" si="8"/>
        <v>0</v>
      </c>
    </row>
    <row r="28" spans="1:15">
      <c r="A28" s="119">
        <f t="shared" si="0"/>
        <v>19</v>
      </c>
      <c r="B28" s="153">
        <v>41609</v>
      </c>
      <c r="C28" s="773">
        <f t="shared" si="2"/>
        <v>0</v>
      </c>
      <c r="D28" s="773">
        <f>+H28+K28+N28</f>
        <v>0</v>
      </c>
      <c r="E28" s="773">
        <f t="shared" si="4"/>
        <v>0</v>
      </c>
      <c r="F28" s="152">
        <f t="shared" si="1"/>
        <v>41609</v>
      </c>
      <c r="G28" s="2114">
        <f>H11</f>
        <v>0</v>
      </c>
      <c r="H28" s="2115">
        <f t="shared" si="9"/>
        <v>0</v>
      </c>
      <c r="I28" s="2107">
        <f>+G28-H28</f>
        <v>0</v>
      </c>
      <c r="J28" s="2114">
        <f>K11</f>
        <v>0</v>
      </c>
      <c r="K28" s="2115">
        <f t="shared" si="10"/>
        <v>0</v>
      </c>
      <c r="L28" s="2116">
        <f t="shared" si="6"/>
        <v>0</v>
      </c>
      <c r="M28" s="799">
        <f t="shared" si="7"/>
        <v>0</v>
      </c>
      <c r="N28" s="169">
        <f t="shared" si="11"/>
        <v>0</v>
      </c>
      <c r="O28" s="171">
        <f t="shared" si="8"/>
        <v>0</v>
      </c>
    </row>
    <row r="29" spans="1:15">
      <c r="A29" s="119">
        <f t="shared" si="0"/>
        <v>20</v>
      </c>
      <c r="B29" s="153">
        <v>41640</v>
      </c>
      <c r="C29" s="773">
        <f t="shared" si="2"/>
        <v>0</v>
      </c>
      <c r="D29" s="773">
        <f t="shared" si="3"/>
        <v>0</v>
      </c>
      <c r="E29" s="773">
        <f t="shared" si="4"/>
        <v>0</v>
      </c>
      <c r="F29" s="152">
        <f t="shared" si="1"/>
        <v>41640</v>
      </c>
      <c r="G29" s="2114">
        <f>G28</f>
        <v>0</v>
      </c>
      <c r="H29" s="2115">
        <f t="shared" si="9"/>
        <v>0</v>
      </c>
      <c r="I29" s="2107">
        <f t="shared" si="5"/>
        <v>0</v>
      </c>
      <c r="J29" s="2114">
        <f t="shared" si="12"/>
        <v>0</v>
      </c>
      <c r="K29" s="2115">
        <f t="shared" si="10"/>
        <v>0</v>
      </c>
      <c r="L29" s="2116">
        <f t="shared" si="6"/>
        <v>0</v>
      </c>
      <c r="M29" s="799">
        <f t="shared" si="7"/>
        <v>0</v>
      </c>
      <c r="N29" s="169">
        <f t="shared" si="11"/>
        <v>0</v>
      </c>
      <c r="O29" s="171">
        <f t="shared" si="8"/>
        <v>0</v>
      </c>
    </row>
    <row r="30" spans="1:15">
      <c r="A30" s="119">
        <f t="shared" si="0"/>
        <v>21</v>
      </c>
      <c r="B30" s="153">
        <v>41671</v>
      </c>
      <c r="C30" s="773">
        <f t="shared" si="2"/>
        <v>0</v>
      </c>
      <c r="D30" s="773">
        <f t="shared" si="3"/>
        <v>0</v>
      </c>
      <c r="E30" s="773">
        <f t="shared" si="4"/>
        <v>0</v>
      </c>
      <c r="F30" s="152">
        <f t="shared" si="1"/>
        <v>41671</v>
      </c>
      <c r="G30" s="2114">
        <f t="shared" si="13"/>
        <v>0</v>
      </c>
      <c r="H30" s="2115">
        <f>ROUND(G29*H$10,0)+H29</f>
        <v>0</v>
      </c>
      <c r="I30" s="2107">
        <f t="shared" si="5"/>
        <v>0</v>
      </c>
      <c r="J30" s="2114">
        <f>K11</f>
        <v>0</v>
      </c>
      <c r="K30" s="2115">
        <f t="shared" si="10"/>
        <v>0</v>
      </c>
      <c r="L30" s="2116">
        <f t="shared" si="6"/>
        <v>0</v>
      </c>
      <c r="M30" s="799">
        <f t="shared" si="7"/>
        <v>0</v>
      </c>
      <c r="N30" s="169">
        <f t="shared" si="11"/>
        <v>0</v>
      </c>
      <c r="O30" s="171">
        <f t="shared" si="8"/>
        <v>0</v>
      </c>
    </row>
    <row r="31" spans="1:15">
      <c r="A31" s="119">
        <f t="shared" si="0"/>
        <v>22</v>
      </c>
      <c r="B31" s="153">
        <v>41699</v>
      </c>
      <c r="C31" s="773">
        <f t="shared" si="2"/>
        <v>0</v>
      </c>
      <c r="D31" s="773">
        <f t="shared" si="3"/>
        <v>0</v>
      </c>
      <c r="E31" s="773">
        <f t="shared" si="4"/>
        <v>0</v>
      </c>
      <c r="F31" s="152">
        <f t="shared" si="1"/>
        <v>41699</v>
      </c>
      <c r="G31" s="2114">
        <f t="shared" si="13"/>
        <v>0</v>
      </c>
      <c r="H31" s="2115">
        <f t="shared" si="9"/>
        <v>0</v>
      </c>
      <c r="I31" s="2107">
        <f t="shared" si="5"/>
        <v>0</v>
      </c>
      <c r="J31" s="2114">
        <f t="shared" si="12"/>
        <v>0</v>
      </c>
      <c r="K31" s="2115">
        <f t="shared" si="10"/>
        <v>0</v>
      </c>
      <c r="L31" s="2116">
        <f t="shared" si="6"/>
        <v>0</v>
      </c>
      <c r="M31" s="799">
        <f t="shared" si="7"/>
        <v>0</v>
      </c>
      <c r="N31" s="169">
        <f t="shared" si="11"/>
        <v>0</v>
      </c>
      <c r="O31" s="171">
        <f t="shared" si="8"/>
        <v>0</v>
      </c>
    </row>
    <row r="32" spans="1:15">
      <c r="A32" s="119">
        <f t="shared" si="0"/>
        <v>23</v>
      </c>
      <c r="B32" s="153">
        <v>41730</v>
      </c>
      <c r="C32" s="773">
        <f>+G32+J32+M32</f>
        <v>0</v>
      </c>
      <c r="D32" s="773">
        <f>+H32+K32+N32</f>
        <v>0</v>
      </c>
      <c r="E32" s="773">
        <f t="shared" si="4"/>
        <v>0</v>
      </c>
      <c r="F32" s="152">
        <f t="shared" si="1"/>
        <v>41730</v>
      </c>
      <c r="G32" s="2114">
        <f t="shared" si="13"/>
        <v>0</v>
      </c>
      <c r="H32" s="2115">
        <f t="shared" si="9"/>
        <v>0</v>
      </c>
      <c r="I32" s="2107">
        <f t="shared" si="5"/>
        <v>0</v>
      </c>
      <c r="J32" s="2114">
        <f t="shared" si="12"/>
        <v>0</v>
      </c>
      <c r="K32" s="2115">
        <f t="shared" si="10"/>
        <v>0</v>
      </c>
      <c r="L32" s="2116">
        <f t="shared" si="6"/>
        <v>0</v>
      </c>
      <c r="M32" s="799">
        <f t="shared" si="7"/>
        <v>0</v>
      </c>
      <c r="N32" s="169">
        <f t="shared" si="11"/>
        <v>0</v>
      </c>
      <c r="O32" s="171">
        <f t="shared" si="8"/>
        <v>0</v>
      </c>
    </row>
    <row r="33" spans="1:15">
      <c r="A33" s="119">
        <f t="shared" si="0"/>
        <v>24</v>
      </c>
      <c r="B33" s="153">
        <v>41760</v>
      </c>
      <c r="C33" s="773">
        <f>+G33+J33+M33</f>
        <v>0</v>
      </c>
      <c r="D33" s="773">
        <f>+H33+K33+N33</f>
        <v>0</v>
      </c>
      <c r="E33" s="773">
        <f t="shared" si="4"/>
        <v>0</v>
      </c>
      <c r="F33" s="152">
        <f t="shared" si="1"/>
        <v>41760</v>
      </c>
      <c r="G33" s="2114">
        <f t="shared" si="13"/>
        <v>0</v>
      </c>
      <c r="H33" s="2115">
        <f t="shared" si="9"/>
        <v>0</v>
      </c>
      <c r="I33" s="2107">
        <f t="shared" si="5"/>
        <v>0</v>
      </c>
      <c r="J33" s="2114">
        <f t="shared" si="12"/>
        <v>0</v>
      </c>
      <c r="K33" s="2115">
        <f t="shared" si="10"/>
        <v>0</v>
      </c>
      <c r="L33" s="2116">
        <f t="shared" si="6"/>
        <v>0</v>
      </c>
      <c r="M33" s="799">
        <f t="shared" si="7"/>
        <v>0</v>
      </c>
      <c r="N33" s="169">
        <f t="shared" si="11"/>
        <v>0</v>
      </c>
      <c r="O33" s="171">
        <f t="shared" si="8"/>
        <v>0</v>
      </c>
    </row>
    <row r="34" spans="1:15">
      <c r="A34" s="119">
        <f t="shared" si="0"/>
        <v>25</v>
      </c>
      <c r="B34" s="153">
        <v>41791</v>
      </c>
      <c r="C34" s="773">
        <f t="shared" si="2"/>
        <v>0</v>
      </c>
      <c r="D34" s="773">
        <f t="shared" ref="D34:D39" si="14">+H34+K34+N34</f>
        <v>0</v>
      </c>
      <c r="E34" s="773">
        <f t="shared" si="4"/>
        <v>0</v>
      </c>
      <c r="F34" s="152">
        <f t="shared" si="1"/>
        <v>41791</v>
      </c>
      <c r="G34" s="2114">
        <f t="shared" si="13"/>
        <v>0</v>
      </c>
      <c r="H34" s="2115">
        <f t="shared" si="9"/>
        <v>0</v>
      </c>
      <c r="I34" s="2107">
        <f t="shared" si="5"/>
        <v>0</v>
      </c>
      <c r="J34" s="2114">
        <f t="shared" si="12"/>
        <v>0</v>
      </c>
      <c r="K34" s="2115">
        <f t="shared" si="10"/>
        <v>0</v>
      </c>
      <c r="L34" s="2116">
        <f t="shared" si="6"/>
        <v>0</v>
      </c>
      <c r="M34" s="799">
        <f t="shared" si="7"/>
        <v>0</v>
      </c>
      <c r="N34" s="169">
        <f t="shared" si="11"/>
        <v>0</v>
      </c>
      <c r="O34" s="171">
        <f t="shared" si="8"/>
        <v>0</v>
      </c>
    </row>
    <row r="35" spans="1:15">
      <c r="A35" s="119">
        <f t="shared" si="0"/>
        <v>26</v>
      </c>
      <c r="B35" s="153">
        <v>41821</v>
      </c>
      <c r="C35" s="773">
        <f t="shared" ref="C35:C40" si="15">+G35+J35+M35</f>
        <v>0</v>
      </c>
      <c r="D35" s="773">
        <f t="shared" si="14"/>
        <v>0</v>
      </c>
      <c r="E35" s="773">
        <f t="shared" si="4"/>
        <v>0</v>
      </c>
      <c r="F35" s="152">
        <f t="shared" si="1"/>
        <v>41821</v>
      </c>
      <c r="G35" s="2114">
        <f t="shared" si="13"/>
        <v>0</v>
      </c>
      <c r="H35" s="2115">
        <f t="shared" si="9"/>
        <v>0</v>
      </c>
      <c r="I35" s="2107">
        <f t="shared" si="5"/>
        <v>0</v>
      </c>
      <c r="J35" s="2114">
        <f t="shared" si="12"/>
        <v>0</v>
      </c>
      <c r="K35" s="2115">
        <f t="shared" si="10"/>
        <v>0</v>
      </c>
      <c r="L35" s="2116">
        <f t="shared" si="6"/>
        <v>0</v>
      </c>
      <c r="M35" s="799">
        <f>N11</f>
        <v>0</v>
      </c>
      <c r="N35" s="169">
        <f t="shared" si="11"/>
        <v>0</v>
      </c>
      <c r="O35" s="171">
        <f t="shared" si="8"/>
        <v>0</v>
      </c>
    </row>
    <row r="36" spans="1:15">
      <c r="A36" s="119">
        <f t="shared" si="0"/>
        <v>27</v>
      </c>
      <c r="B36" s="153">
        <v>41852</v>
      </c>
      <c r="C36" s="773">
        <f t="shared" si="15"/>
        <v>0</v>
      </c>
      <c r="D36" s="773">
        <f t="shared" si="14"/>
        <v>0</v>
      </c>
      <c r="E36" s="773">
        <f t="shared" si="4"/>
        <v>0</v>
      </c>
      <c r="F36" s="152">
        <f t="shared" si="1"/>
        <v>41852</v>
      </c>
      <c r="G36" s="2114">
        <f t="shared" si="13"/>
        <v>0</v>
      </c>
      <c r="H36" s="2115">
        <f t="shared" si="9"/>
        <v>0</v>
      </c>
      <c r="I36" s="2107">
        <f t="shared" si="5"/>
        <v>0</v>
      </c>
      <c r="J36" s="2114">
        <f t="shared" si="12"/>
        <v>0</v>
      </c>
      <c r="K36" s="2115">
        <f t="shared" si="10"/>
        <v>0</v>
      </c>
      <c r="L36" s="2116">
        <f t="shared" si="6"/>
        <v>0</v>
      </c>
      <c r="M36" s="799">
        <f t="shared" si="7"/>
        <v>0</v>
      </c>
      <c r="N36" s="169">
        <f t="shared" si="11"/>
        <v>0</v>
      </c>
      <c r="O36" s="171">
        <f t="shared" si="8"/>
        <v>0</v>
      </c>
    </row>
    <row r="37" spans="1:15">
      <c r="A37" s="119">
        <f t="shared" si="0"/>
        <v>28</v>
      </c>
      <c r="B37" s="153">
        <v>41883</v>
      </c>
      <c r="C37" s="773">
        <f t="shared" si="15"/>
        <v>0</v>
      </c>
      <c r="D37" s="773">
        <f t="shared" si="14"/>
        <v>0</v>
      </c>
      <c r="E37" s="773">
        <f t="shared" si="4"/>
        <v>0</v>
      </c>
      <c r="F37" s="152">
        <f t="shared" si="1"/>
        <v>41883</v>
      </c>
      <c r="G37" s="2114">
        <f t="shared" si="13"/>
        <v>0</v>
      </c>
      <c r="H37" s="2115">
        <f t="shared" si="9"/>
        <v>0</v>
      </c>
      <c r="I37" s="2107">
        <f t="shared" si="5"/>
        <v>0</v>
      </c>
      <c r="J37" s="2114">
        <f t="shared" si="12"/>
        <v>0</v>
      </c>
      <c r="K37" s="2115">
        <f t="shared" si="10"/>
        <v>0</v>
      </c>
      <c r="L37" s="2116">
        <f t="shared" si="6"/>
        <v>0</v>
      </c>
      <c r="M37" s="799">
        <f t="shared" si="7"/>
        <v>0</v>
      </c>
      <c r="N37" s="169">
        <f t="shared" si="11"/>
        <v>0</v>
      </c>
      <c r="O37" s="171">
        <f t="shared" si="8"/>
        <v>0</v>
      </c>
    </row>
    <row r="38" spans="1:15">
      <c r="A38" s="119">
        <f t="shared" si="0"/>
        <v>29</v>
      </c>
      <c r="B38" s="153">
        <v>41913</v>
      </c>
      <c r="C38" s="773">
        <f t="shared" si="15"/>
        <v>0</v>
      </c>
      <c r="D38" s="773">
        <f t="shared" si="14"/>
        <v>0</v>
      </c>
      <c r="E38" s="773">
        <f t="shared" si="4"/>
        <v>0</v>
      </c>
      <c r="F38" s="152">
        <f t="shared" si="1"/>
        <v>41913</v>
      </c>
      <c r="G38" s="2114">
        <f t="shared" si="13"/>
        <v>0</v>
      </c>
      <c r="H38" s="2115">
        <f t="shared" si="9"/>
        <v>0</v>
      </c>
      <c r="I38" s="2107">
        <f t="shared" si="5"/>
        <v>0</v>
      </c>
      <c r="J38" s="2114">
        <f t="shared" si="12"/>
        <v>0</v>
      </c>
      <c r="K38" s="2115">
        <f t="shared" si="10"/>
        <v>0</v>
      </c>
      <c r="L38" s="2116">
        <f t="shared" si="6"/>
        <v>0</v>
      </c>
      <c r="M38" s="799">
        <f t="shared" si="7"/>
        <v>0</v>
      </c>
      <c r="N38" s="169">
        <f t="shared" si="11"/>
        <v>0</v>
      </c>
      <c r="O38" s="171">
        <f t="shared" si="8"/>
        <v>0</v>
      </c>
    </row>
    <row r="39" spans="1:15">
      <c r="A39" s="119">
        <f t="shared" si="0"/>
        <v>30</v>
      </c>
      <c r="B39" s="153">
        <v>41944</v>
      </c>
      <c r="C39" s="773">
        <f t="shared" si="15"/>
        <v>0</v>
      </c>
      <c r="D39" s="773">
        <f t="shared" si="14"/>
        <v>0</v>
      </c>
      <c r="E39" s="773">
        <f t="shared" si="4"/>
        <v>0</v>
      </c>
      <c r="F39" s="152">
        <f t="shared" si="1"/>
        <v>41944</v>
      </c>
      <c r="G39" s="2114">
        <f t="shared" si="13"/>
        <v>0</v>
      </c>
      <c r="H39" s="2115">
        <f>ROUND(G38*H$10,0)+H38</f>
        <v>0</v>
      </c>
      <c r="I39" s="2107">
        <f t="shared" si="5"/>
        <v>0</v>
      </c>
      <c r="J39" s="2114">
        <f t="shared" si="12"/>
        <v>0</v>
      </c>
      <c r="K39" s="2115">
        <f t="shared" si="10"/>
        <v>0</v>
      </c>
      <c r="L39" s="2116">
        <f t="shared" si="6"/>
        <v>0</v>
      </c>
      <c r="M39" s="799">
        <f t="shared" si="7"/>
        <v>0</v>
      </c>
      <c r="N39" s="169">
        <f t="shared" si="11"/>
        <v>0</v>
      </c>
      <c r="O39" s="171">
        <f t="shared" si="8"/>
        <v>0</v>
      </c>
    </row>
    <row r="40" spans="1:15">
      <c r="A40" s="119">
        <f t="shared" si="0"/>
        <v>31</v>
      </c>
      <c r="B40" s="153">
        <v>41974</v>
      </c>
      <c r="C40" s="773">
        <f t="shared" si="15"/>
        <v>0</v>
      </c>
      <c r="D40" s="773">
        <f>+H40+K40+N40</f>
        <v>0</v>
      </c>
      <c r="E40" s="773">
        <f>+I40+L40+O40</f>
        <v>0</v>
      </c>
      <c r="F40" s="152">
        <f t="shared" si="1"/>
        <v>41974</v>
      </c>
      <c r="G40" s="2114">
        <f>G39</f>
        <v>0</v>
      </c>
      <c r="H40" s="2115">
        <f>ROUND(G39*H$10,0)+H39</f>
        <v>0</v>
      </c>
      <c r="I40" s="2107">
        <f t="shared" si="5"/>
        <v>0</v>
      </c>
      <c r="J40" s="2114">
        <f t="shared" si="12"/>
        <v>0</v>
      </c>
      <c r="K40" s="2115">
        <f t="shared" si="10"/>
        <v>0</v>
      </c>
      <c r="L40" s="2116">
        <f t="shared" si="6"/>
        <v>0</v>
      </c>
      <c r="M40" s="799">
        <f t="shared" si="7"/>
        <v>0</v>
      </c>
      <c r="N40" s="169">
        <f t="shared" si="11"/>
        <v>0</v>
      </c>
      <c r="O40" s="171">
        <f t="shared" si="8"/>
        <v>0</v>
      </c>
    </row>
    <row r="41" spans="1:15" ht="15">
      <c r="B41" s="424"/>
      <c r="F41" s="139"/>
      <c r="G41" s="137"/>
      <c r="H41" s="132"/>
      <c r="I41" s="132"/>
      <c r="J41" s="137"/>
      <c r="K41" s="132"/>
      <c r="L41" s="149"/>
      <c r="M41" s="560"/>
      <c r="N41" s="90"/>
      <c r="O41" s="171"/>
    </row>
    <row r="42" spans="1:15">
      <c r="A42" s="119">
        <f>A40+1</f>
        <v>32</v>
      </c>
      <c r="B42" s="154" t="s">
        <v>1553</v>
      </c>
      <c r="C42" s="773">
        <f>AVERAGE(C28:C40)</f>
        <v>0</v>
      </c>
      <c r="D42" s="901">
        <f>AVERAGE(D28:D40)</f>
        <v>0</v>
      </c>
      <c r="E42" s="773">
        <f>AVERAGE(E28:E40)</f>
        <v>0</v>
      </c>
      <c r="F42" s="1001"/>
      <c r="G42" s="1002">
        <f t="shared" ref="G42:O42" si="16">AVERAGE(G28:G40)</f>
        <v>0</v>
      </c>
      <c r="H42" s="901">
        <f t="shared" si="16"/>
        <v>0</v>
      </c>
      <c r="I42" s="901">
        <f t="shared" si="16"/>
        <v>0</v>
      </c>
      <c r="J42" s="1002">
        <f>AVERAGE(J28:J40)</f>
        <v>0</v>
      </c>
      <c r="K42" s="901">
        <f>AVERAGE(K28:K40)</f>
        <v>0</v>
      </c>
      <c r="L42" s="984">
        <f>AVERAGE(L28:L40)</f>
        <v>0</v>
      </c>
      <c r="M42" s="889">
        <f t="shared" si="16"/>
        <v>0</v>
      </c>
      <c r="N42" s="889">
        <f t="shared" si="16"/>
        <v>0</v>
      </c>
      <c r="O42" s="891">
        <f t="shared" si="16"/>
        <v>0</v>
      </c>
    </row>
    <row r="43" spans="1:15">
      <c r="A43" s="119">
        <f>A42+1</f>
        <v>33</v>
      </c>
      <c r="B43" s="154" t="s">
        <v>462</v>
      </c>
      <c r="C43" s="1001"/>
      <c r="D43" s="1893">
        <f>D40-D28</f>
        <v>0</v>
      </c>
      <c r="E43" s="1893"/>
      <c r="F43" s="139"/>
      <c r="G43" s="1894" t="s">
        <v>462</v>
      </c>
      <c r="H43" s="961">
        <f>H40-H28</f>
        <v>0</v>
      </c>
      <c r="I43" s="648"/>
      <c r="J43" s="1894" t="s">
        <v>462</v>
      </c>
      <c r="K43" s="961">
        <f>K40-K28</f>
        <v>0</v>
      </c>
      <c r="L43" s="1766"/>
      <c r="M43" s="2082" t="s">
        <v>462</v>
      </c>
      <c r="N43" s="1893">
        <f>N40-N28</f>
        <v>0</v>
      </c>
      <c r="O43" s="1766"/>
    </row>
    <row r="44" spans="1:15" ht="15.75">
      <c r="B44" s="742" t="s">
        <v>1547</v>
      </c>
      <c r="C44" s="1893"/>
      <c r="D44" s="1893"/>
      <c r="E44" s="1893"/>
      <c r="F44" s="139"/>
      <c r="G44" s="1895"/>
      <c r="H44" s="649"/>
      <c r="I44" s="649"/>
      <c r="J44" s="1895"/>
      <c r="K44" s="649"/>
      <c r="L44" s="2081"/>
      <c r="M44" s="649"/>
      <c r="N44" s="649"/>
      <c r="O44" s="929"/>
    </row>
    <row r="45" spans="1:15" ht="15.75">
      <c r="B45" s="1896" t="s">
        <v>509</v>
      </c>
      <c r="C45" s="88"/>
      <c r="D45" s="88"/>
      <c r="E45" s="88"/>
      <c r="F45" s="88"/>
      <c r="G45" s="88"/>
      <c r="H45" s="88"/>
      <c r="I45" s="88"/>
      <c r="J45" s="88"/>
      <c r="K45" s="88"/>
      <c r="L45" s="88"/>
      <c r="M45" s="88"/>
      <c r="N45" s="88"/>
      <c r="O45" s="88"/>
    </row>
    <row r="46" spans="1:15" ht="15.75">
      <c r="B46" s="1896" t="s">
        <v>1113</v>
      </c>
      <c r="C46" s="88"/>
      <c r="D46" s="88"/>
      <c r="E46" s="88"/>
      <c r="F46" s="88"/>
      <c r="G46" s="88"/>
      <c r="H46" s="88"/>
      <c r="I46" s="88"/>
      <c r="J46" s="88"/>
      <c r="K46" s="88"/>
      <c r="L46" s="88"/>
      <c r="M46" s="88"/>
      <c r="N46" s="88"/>
      <c r="O46" s="88"/>
    </row>
    <row r="47" spans="1:15" ht="15" customHeight="1">
      <c r="C47" s="652"/>
      <c r="L47" s="2193" t="s">
        <v>213</v>
      </c>
      <c r="M47" s="2193"/>
    </row>
    <row r="48" spans="1:15" ht="15.75">
      <c r="H48" s="248"/>
      <c r="K48" s="248"/>
      <c r="N48" s="1099"/>
      <c r="O48" s="118" t="s">
        <v>1420</v>
      </c>
    </row>
    <row r="49" spans="1:15" ht="15.75">
      <c r="A49" s="119">
        <v>1</v>
      </c>
      <c r="B49" s="74" t="s">
        <v>1532</v>
      </c>
      <c r="G49" s="2083" t="s">
        <v>623</v>
      </c>
      <c r="H49" s="2123" t="s">
        <v>1861</v>
      </c>
      <c r="I49" s="523"/>
      <c r="J49" s="121" t="s">
        <v>623</v>
      </c>
      <c r="K49" s="796" t="s">
        <v>839</v>
      </c>
      <c r="L49" s="523"/>
      <c r="M49" s="2083" t="s">
        <v>623</v>
      </c>
      <c r="N49" s="796" t="s">
        <v>1350</v>
      </c>
      <c r="O49" s="530"/>
    </row>
    <row r="50" spans="1:15">
      <c r="A50" s="119">
        <f>+A49+1</f>
        <v>2</v>
      </c>
      <c r="G50" s="134" t="s">
        <v>632</v>
      </c>
      <c r="H50" s="2124">
        <v>702</v>
      </c>
      <c r="I50" s="135"/>
      <c r="J50" s="134" t="s">
        <v>632</v>
      </c>
      <c r="K50" s="165"/>
      <c r="L50" s="145"/>
      <c r="M50" s="134" t="s">
        <v>632</v>
      </c>
      <c r="N50" s="165"/>
      <c r="O50" s="135"/>
    </row>
    <row r="51" spans="1:15">
      <c r="A51" s="119">
        <f>+A50+1</f>
        <v>3</v>
      </c>
      <c r="G51" s="134" t="s">
        <v>624</v>
      </c>
      <c r="H51" s="2106">
        <f>IF('P-1 (Trans Plant)'!$I$91=0,0,ROUND('P-1 (Trans Plant)'!$J$90/'P-1 (Trans Plant)'!$I$91/12,6))</f>
        <v>1.4940000000000001E-3</v>
      </c>
      <c r="I51" s="135" t="s">
        <v>730</v>
      </c>
      <c r="J51" s="134" t="s">
        <v>224</v>
      </c>
      <c r="K51" s="174">
        <f>IF('P-1 (Trans Plant)'!$I$91=0,0,ROUND('P-1 (Trans Plant)'!$J$90/'P-1 (Trans Plant)'!$I$91/12,6))</f>
        <v>1.4940000000000001E-3</v>
      </c>
      <c r="L51" s="145" t="s">
        <v>730</v>
      </c>
      <c r="M51" s="134" t="s">
        <v>624</v>
      </c>
      <c r="N51" s="174">
        <f>IF('P-1 (Trans Plant)'!$I$91=0,0,ROUND('P-1 (Trans Plant)'!$J$90/'P-1 (Trans Plant)'!$I$91/12,6))</f>
        <v>1.4940000000000001E-3</v>
      </c>
      <c r="O51" s="135" t="s">
        <v>730</v>
      </c>
    </row>
    <row r="52" spans="1:15">
      <c r="A52" s="119">
        <f>+A51+1</f>
        <v>4</v>
      </c>
      <c r="G52" s="134" t="s">
        <v>627</v>
      </c>
      <c r="H52" s="89">
        <v>486554</v>
      </c>
      <c r="I52" s="135"/>
      <c r="J52" s="122" t="s">
        <v>627</v>
      </c>
      <c r="K52" s="133"/>
      <c r="L52" s="145"/>
      <c r="M52" s="134" t="s">
        <v>627</v>
      </c>
      <c r="N52" s="133"/>
      <c r="O52" s="135"/>
    </row>
    <row r="53" spans="1:15">
      <c r="A53" s="119">
        <f>+A52+1</f>
        <v>5</v>
      </c>
      <c r="C53" s="2282" t="s">
        <v>54</v>
      </c>
      <c r="D53" s="2282"/>
      <c r="E53" s="2282"/>
      <c r="G53" s="134" t="s">
        <v>628</v>
      </c>
      <c r="H53" s="648"/>
      <c r="I53" s="135"/>
      <c r="J53" s="122" t="s">
        <v>628</v>
      </c>
      <c r="K53" s="126"/>
      <c r="L53" s="145"/>
      <c r="M53" s="134" t="s">
        <v>628</v>
      </c>
      <c r="N53" s="126"/>
      <c r="O53" s="135"/>
    </row>
    <row r="54" spans="1:15">
      <c r="A54" s="119">
        <f>+A53+1</f>
        <v>6</v>
      </c>
      <c r="G54" s="134" t="s">
        <v>633</v>
      </c>
      <c r="H54" s="2125">
        <v>41275</v>
      </c>
      <c r="I54" s="135"/>
      <c r="J54" s="122" t="s">
        <v>633</v>
      </c>
      <c r="K54" s="173"/>
      <c r="L54" s="145"/>
      <c r="M54" s="134" t="s">
        <v>633</v>
      </c>
      <c r="N54" s="173"/>
      <c r="O54" s="135"/>
    </row>
    <row r="55" spans="1:15">
      <c r="G55" s="134"/>
      <c r="H55" s="135"/>
      <c r="I55" s="135"/>
      <c r="J55" s="122"/>
      <c r="K55" s="123"/>
      <c r="L55" s="146"/>
      <c r="M55" s="134"/>
      <c r="N55" s="135"/>
      <c r="O55" s="135"/>
    </row>
    <row r="56" spans="1:15">
      <c r="B56" s="117" t="s">
        <v>394</v>
      </c>
      <c r="C56" s="117" t="s">
        <v>1045</v>
      </c>
      <c r="D56" s="117" t="s">
        <v>634</v>
      </c>
      <c r="E56" s="141" t="s">
        <v>265</v>
      </c>
      <c r="F56" s="141" t="s">
        <v>394</v>
      </c>
      <c r="G56" s="1248" t="s">
        <v>1045</v>
      </c>
      <c r="H56" s="1248" t="s">
        <v>634</v>
      </c>
      <c r="I56" s="2118" t="s">
        <v>265</v>
      </c>
      <c r="J56" s="128" t="s">
        <v>1045</v>
      </c>
      <c r="K56" s="129" t="s">
        <v>634</v>
      </c>
      <c r="L56" s="147" t="s">
        <v>265</v>
      </c>
      <c r="M56" s="1248" t="s">
        <v>1045</v>
      </c>
      <c r="N56" s="1248" t="s">
        <v>634</v>
      </c>
      <c r="O56" s="2118" t="s">
        <v>265</v>
      </c>
    </row>
    <row r="57" spans="1:15">
      <c r="A57" s="119">
        <f>+A54+1</f>
        <v>7</v>
      </c>
      <c r="G57" s="2114">
        <v>0</v>
      </c>
      <c r="H57" s="2110"/>
      <c r="I57" s="2110"/>
      <c r="J57" s="168">
        <f>K52</f>
        <v>0</v>
      </c>
      <c r="K57" s="131"/>
      <c r="L57" s="148"/>
      <c r="M57" s="168">
        <f>N52</f>
        <v>0</v>
      </c>
      <c r="N57" s="211"/>
      <c r="O57" s="211"/>
    </row>
    <row r="58" spans="1:15">
      <c r="A58" s="119">
        <f t="shared" ref="A58:A81" si="17">+A57+1</f>
        <v>8</v>
      </c>
      <c r="B58" s="1936">
        <v>41275</v>
      </c>
      <c r="C58" s="773">
        <f>+G58+J58+M58</f>
        <v>486554</v>
      </c>
      <c r="D58" s="773">
        <f>+H58+K58+N58</f>
        <v>0</v>
      </c>
      <c r="E58" s="773">
        <f>+I58+L58+O58</f>
        <v>486554</v>
      </c>
      <c r="F58" s="152">
        <f t="shared" ref="F58:F81" si="18">+B58</f>
        <v>41275</v>
      </c>
      <c r="G58" s="2114">
        <f>H52</f>
        <v>486554</v>
      </c>
      <c r="H58" s="2115">
        <f>ROUND(G57*H$51,0)+H53</f>
        <v>0</v>
      </c>
      <c r="I58" s="2117">
        <f>+G58-H58</f>
        <v>486554</v>
      </c>
      <c r="J58" s="168">
        <v>0</v>
      </c>
      <c r="K58" s="169">
        <f>ROUND(J57*K$51,0)+K53</f>
        <v>0</v>
      </c>
      <c r="L58" s="171">
        <f t="shared" ref="L58:L81" si="19">+J58-K58</f>
        <v>0</v>
      </c>
      <c r="M58" s="168">
        <f>M57</f>
        <v>0</v>
      </c>
      <c r="N58" s="169">
        <f>ROUND(M57*N$51,0)+N53</f>
        <v>0</v>
      </c>
      <c r="O58" s="210">
        <f t="shared" ref="O58:O81" si="20">+M58-N58</f>
        <v>0</v>
      </c>
    </row>
    <row r="59" spans="1:15">
      <c r="A59" s="119">
        <f t="shared" si="17"/>
        <v>9</v>
      </c>
      <c r="B59" s="153">
        <v>41306</v>
      </c>
      <c r="C59" s="773">
        <f t="shared" ref="C59:C81" si="21">+G59+J59+M59</f>
        <v>486554</v>
      </c>
      <c r="D59" s="773">
        <f t="shared" ref="D59:D81" si="22">+H59+K59+N59</f>
        <v>727</v>
      </c>
      <c r="E59" s="773">
        <f t="shared" ref="E59:E81" si="23">+I59+L59+O59</f>
        <v>485827</v>
      </c>
      <c r="F59" s="152">
        <f t="shared" si="18"/>
        <v>41306</v>
      </c>
      <c r="G59" s="2114">
        <f t="shared" ref="G59:G67" si="24">+G58</f>
        <v>486554</v>
      </c>
      <c r="H59" s="2115">
        <f>ROUND(G58*H$51,0)+H58</f>
        <v>727</v>
      </c>
      <c r="I59" s="2117">
        <f t="shared" ref="I59:I81" si="25">+G59-H59</f>
        <v>485827</v>
      </c>
      <c r="J59" s="168">
        <f>+J58</f>
        <v>0</v>
      </c>
      <c r="K59" s="169">
        <f>ROUND(J58*K$51,0)+K58</f>
        <v>0</v>
      </c>
      <c r="L59" s="171">
        <f t="shared" si="19"/>
        <v>0</v>
      </c>
      <c r="M59" s="168">
        <f t="shared" ref="M59:M81" si="26">+M58</f>
        <v>0</v>
      </c>
      <c r="N59" s="169">
        <f>ROUND(M58*N$51,0)+N58</f>
        <v>0</v>
      </c>
      <c r="O59" s="210">
        <f t="shared" si="20"/>
        <v>0</v>
      </c>
    </row>
    <row r="60" spans="1:15">
      <c r="A60" s="119">
        <f t="shared" si="17"/>
        <v>10</v>
      </c>
      <c r="B60" s="153">
        <v>41334</v>
      </c>
      <c r="C60" s="773">
        <f t="shared" si="21"/>
        <v>486554</v>
      </c>
      <c r="D60" s="773">
        <f t="shared" si="22"/>
        <v>1454</v>
      </c>
      <c r="E60" s="773">
        <f t="shared" si="23"/>
        <v>485100</v>
      </c>
      <c r="F60" s="152">
        <f t="shared" si="18"/>
        <v>41334</v>
      </c>
      <c r="G60" s="2114">
        <f t="shared" si="24"/>
        <v>486554</v>
      </c>
      <c r="H60" s="2115">
        <f>ROUND(G59*H$51,0)+H59</f>
        <v>1454</v>
      </c>
      <c r="I60" s="2117">
        <f t="shared" si="25"/>
        <v>485100</v>
      </c>
      <c r="J60" s="168">
        <f t="shared" ref="J60:J81" si="27">+J59</f>
        <v>0</v>
      </c>
      <c r="K60" s="169">
        <f t="shared" ref="K60:K81" si="28">ROUND(J59*K$51,0)+K59</f>
        <v>0</v>
      </c>
      <c r="L60" s="171">
        <f t="shared" si="19"/>
        <v>0</v>
      </c>
      <c r="M60" s="168">
        <f t="shared" si="26"/>
        <v>0</v>
      </c>
      <c r="N60" s="169">
        <f t="shared" ref="N60:N81" si="29">ROUND(M59*N$51,0)+N59</f>
        <v>0</v>
      </c>
      <c r="O60" s="210">
        <f t="shared" si="20"/>
        <v>0</v>
      </c>
    </row>
    <row r="61" spans="1:15">
      <c r="A61" s="119">
        <f t="shared" si="17"/>
        <v>11</v>
      </c>
      <c r="B61" s="153">
        <v>41365</v>
      </c>
      <c r="C61" s="773">
        <f t="shared" si="21"/>
        <v>2866604</v>
      </c>
      <c r="D61" s="773">
        <f t="shared" si="22"/>
        <v>2181</v>
      </c>
      <c r="E61" s="773">
        <f t="shared" si="23"/>
        <v>2864423</v>
      </c>
      <c r="F61" s="152">
        <f t="shared" si="18"/>
        <v>41365</v>
      </c>
      <c r="G61" s="2114">
        <f>+G60+2380050</f>
        <v>2866604</v>
      </c>
      <c r="H61" s="2115">
        <f t="shared" ref="H61:H81" si="30">ROUND(G60*H$51,0)+H60</f>
        <v>2181</v>
      </c>
      <c r="I61" s="2117">
        <f t="shared" si="25"/>
        <v>2864423</v>
      </c>
      <c r="J61" s="168">
        <f t="shared" si="27"/>
        <v>0</v>
      </c>
      <c r="K61" s="169">
        <f t="shared" si="28"/>
        <v>0</v>
      </c>
      <c r="L61" s="171">
        <f t="shared" si="19"/>
        <v>0</v>
      </c>
      <c r="M61" s="168">
        <f t="shared" si="26"/>
        <v>0</v>
      </c>
      <c r="N61" s="169">
        <f t="shared" si="29"/>
        <v>0</v>
      </c>
      <c r="O61" s="210">
        <f t="shared" si="20"/>
        <v>0</v>
      </c>
    </row>
    <row r="62" spans="1:15">
      <c r="A62" s="119">
        <f t="shared" si="17"/>
        <v>12</v>
      </c>
      <c r="B62" s="153">
        <v>41395</v>
      </c>
      <c r="C62" s="773">
        <f t="shared" si="21"/>
        <v>2866604</v>
      </c>
      <c r="D62" s="773">
        <f t="shared" si="22"/>
        <v>6464</v>
      </c>
      <c r="E62" s="773">
        <f t="shared" si="23"/>
        <v>2860140</v>
      </c>
      <c r="F62" s="152">
        <f t="shared" si="18"/>
        <v>41395</v>
      </c>
      <c r="G62" s="2114">
        <f t="shared" si="24"/>
        <v>2866604</v>
      </c>
      <c r="H62" s="2115">
        <f t="shared" si="30"/>
        <v>6464</v>
      </c>
      <c r="I62" s="2117">
        <f t="shared" si="25"/>
        <v>2860140</v>
      </c>
      <c r="J62" s="168">
        <f t="shared" si="27"/>
        <v>0</v>
      </c>
      <c r="K62" s="169">
        <f t="shared" si="28"/>
        <v>0</v>
      </c>
      <c r="L62" s="171">
        <f t="shared" si="19"/>
        <v>0</v>
      </c>
      <c r="M62" s="168">
        <f t="shared" si="26"/>
        <v>0</v>
      </c>
      <c r="N62" s="169">
        <f t="shared" si="29"/>
        <v>0</v>
      </c>
      <c r="O62" s="210">
        <f t="shared" si="20"/>
        <v>0</v>
      </c>
    </row>
    <row r="63" spans="1:15">
      <c r="A63" s="119">
        <f t="shared" si="17"/>
        <v>13</v>
      </c>
      <c r="B63" s="153">
        <v>41426</v>
      </c>
      <c r="C63" s="773">
        <f t="shared" si="21"/>
        <v>2866604</v>
      </c>
      <c r="D63" s="773">
        <f t="shared" si="22"/>
        <v>10747</v>
      </c>
      <c r="E63" s="773">
        <f t="shared" si="23"/>
        <v>2855857</v>
      </c>
      <c r="F63" s="152">
        <f t="shared" si="18"/>
        <v>41426</v>
      </c>
      <c r="G63" s="2114">
        <f t="shared" si="24"/>
        <v>2866604</v>
      </c>
      <c r="H63" s="2115">
        <f t="shared" si="30"/>
        <v>10747</v>
      </c>
      <c r="I63" s="2117">
        <f t="shared" si="25"/>
        <v>2855857</v>
      </c>
      <c r="J63" s="168">
        <f t="shared" si="27"/>
        <v>0</v>
      </c>
      <c r="K63" s="169">
        <f t="shared" si="28"/>
        <v>0</v>
      </c>
      <c r="L63" s="171">
        <f t="shared" si="19"/>
        <v>0</v>
      </c>
      <c r="M63" s="168">
        <f t="shared" si="26"/>
        <v>0</v>
      </c>
      <c r="N63" s="169">
        <f t="shared" si="29"/>
        <v>0</v>
      </c>
      <c r="O63" s="210">
        <f t="shared" si="20"/>
        <v>0</v>
      </c>
    </row>
    <row r="64" spans="1:15">
      <c r="A64" s="119">
        <f t="shared" si="17"/>
        <v>14</v>
      </c>
      <c r="B64" s="153">
        <v>41456</v>
      </c>
      <c r="C64" s="773">
        <f t="shared" si="21"/>
        <v>2866604</v>
      </c>
      <c r="D64" s="773">
        <f t="shared" si="22"/>
        <v>15030</v>
      </c>
      <c r="E64" s="773">
        <f t="shared" si="23"/>
        <v>2851574</v>
      </c>
      <c r="F64" s="152">
        <f t="shared" si="18"/>
        <v>41456</v>
      </c>
      <c r="G64" s="2114">
        <f t="shared" si="24"/>
        <v>2866604</v>
      </c>
      <c r="H64" s="2115">
        <f t="shared" si="30"/>
        <v>15030</v>
      </c>
      <c r="I64" s="2117">
        <f t="shared" si="25"/>
        <v>2851574</v>
      </c>
      <c r="J64" s="168">
        <f t="shared" si="27"/>
        <v>0</v>
      </c>
      <c r="K64" s="169">
        <f t="shared" si="28"/>
        <v>0</v>
      </c>
      <c r="L64" s="171">
        <f t="shared" si="19"/>
        <v>0</v>
      </c>
      <c r="M64" s="168">
        <f t="shared" si="26"/>
        <v>0</v>
      </c>
      <c r="N64" s="169">
        <f t="shared" si="29"/>
        <v>0</v>
      </c>
      <c r="O64" s="210">
        <f t="shared" si="20"/>
        <v>0</v>
      </c>
    </row>
    <row r="65" spans="1:15">
      <c r="A65" s="119">
        <f t="shared" si="17"/>
        <v>15</v>
      </c>
      <c r="B65" s="153">
        <v>41487</v>
      </c>
      <c r="C65" s="773">
        <f t="shared" si="21"/>
        <v>2866604</v>
      </c>
      <c r="D65" s="773">
        <f t="shared" si="22"/>
        <v>19313</v>
      </c>
      <c r="E65" s="773">
        <f t="shared" si="23"/>
        <v>2847291</v>
      </c>
      <c r="F65" s="152">
        <f t="shared" si="18"/>
        <v>41487</v>
      </c>
      <c r="G65" s="2114">
        <f t="shared" si="24"/>
        <v>2866604</v>
      </c>
      <c r="H65" s="2115">
        <f t="shared" si="30"/>
        <v>19313</v>
      </c>
      <c r="I65" s="2117">
        <f t="shared" si="25"/>
        <v>2847291</v>
      </c>
      <c r="J65" s="168">
        <f t="shared" si="27"/>
        <v>0</v>
      </c>
      <c r="K65" s="169">
        <f t="shared" si="28"/>
        <v>0</v>
      </c>
      <c r="L65" s="171">
        <f t="shared" si="19"/>
        <v>0</v>
      </c>
      <c r="M65" s="168">
        <f t="shared" si="26"/>
        <v>0</v>
      </c>
      <c r="N65" s="169">
        <f t="shared" si="29"/>
        <v>0</v>
      </c>
      <c r="O65" s="210">
        <f t="shared" si="20"/>
        <v>0</v>
      </c>
    </row>
    <row r="66" spans="1:15">
      <c r="A66" s="119">
        <f t="shared" si="17"/>
        <v>16</v>
      </c>
      <c r="B66" s="153">
        <v>41518</v>
      </c>
      <c r="C66" s="773">
        <f t="shared" si="21"/>
        <v>2866604</v>
      </c>
      <c r="D66" s="773">
        <f t="shared" si="22"/>
        <v>23596</v>
      </c>
      <c r="E66" s="773">
        <f t="shared" si="23"/>
        <v>2843008</v>
      </c>
      <c r="F66" s="152">
        <f t="shared" si="18"/>
        <v>41518</v>
      </c>
      <c r="G66" s="2114">
        <f t="shared" si="24"/>
        <v>2866604</v>
      </c>
      <c r="H66" s="2115">
        <f t="shared" si="30"/>
        <v>23596</v>
      </c>
      <c r="I66" s="2117">
        <f t="shared" si="25"/>
        <v>2843008</v>
      </c>
      <c r="J66" s="168">
        <f t="shared" si="27"/>
        <v>0</v>
      </c>
      <c r="K66" s="169">
        <f t="shared" si="28"/>
        <v>0</v>
      </c>
      <c r="L66" s="171">
        <f t="shared" si="19"/>
        <v>0</v>
      </c>
      <c r="M66" s="168">
        <f t="shared" si="26"/>
        <v>0</v>
      </c>
      <c r="N66" s="169">
        <f t="shared" si="29"/>
        <v>0</v>
      </c>
      <c r="O66" s="210">
        <f t="shared" si="20"/>
        <v>0</v>
      </c>
    </row>
    <row r="67" spans="1:15">
      <c r="A67" s="119">
        <f t="shared" si="17"/>
        <v>17</v>
      </c>
      <c r="B67" s="153">
        <v>41548</v>
      </c>
      <c r="C67" s="773">
        <f t="shared" si="21"/>
        <v>2866604</v>
      </c>
      <c r="D67" s="773">
        <f t="shared" si="22"/>
        <v>27879</v>
      </c>
      <c r="E67" s="773">
        <f t="shared" si="23"/>
        <v>2838725</v>
      </c>
      <c r="F67" s="152">
        <f t="shared" si="18"/>
        <v>41548</v>
      </c>
      <c r="G67" s="2114">
        <f t="shared" si="24"/>
        <v>2866604</v>
      </c>
      <c r="H67" s="2115">
        <f t="shared" si="30"/>
        <v>27879</v>
      </c>
      <c r="I67" s="2117">
        <f t="shared" si="25"/>
        <v>2838725</v>
      </c>
      <c r="J67" s="168">
        <f t="shared" si="27"/>
        <v>0</v>
      </c>
      <c r="K67" s="169">
        <f t="shared" si="28"/>
        <v>0</v>
      </c>
      <c r="L67" s="171">
        <f t="shared" si="19"/>
        <v>0</v>
      </c>
      <c r="M67" s="168">
        <f t="shared" si="26"/>
        <v>0</v>
      </c>
      <c r="N67" s="169">
        <f t="shared" si="29"/>
        <v>0</v>
      </c>
      <c r="O67" s="210">
        <f t="shared" si="20"/>
        <v>0</v>
      </c>
    </row>
    <row r="68" spans="1:15">
      <c r="A68" s="119">
        <f t="shared" si="17"/>
        <v>18</v>
      </c>
      <c r="B68" s="153">
        <v>41579</v>
      </c>
      <c r="C68" s="773">
        <f t="shared" si="21"/>
        <v>2866604</v>
      </c>
      <c r="D68" s="773">
        <f t="shared" si="22"/>
        <v>32162</v>
      </c>
      <c r="E68" s="773">
        <f t="shared" si="23"/>
        <v>2834442</v>
      </c>
      <c r="F68" s="152">
        <f t="shared" si="18"/>
        <v>41579</v>
      </c>
      <c r="G68" s="2114">
        <f>G67</f>
        <v>2866604</v>
      </c>
      <c r="H68" s="2115">
        <f t="shared" si="30"/>
        <v>32162</v>
      </c>
      <c r="I68" s="2117">
        <f t="shared" si="25"/>
        <v>2834442</v>
      </c>
      <c r="J68" s="168">
        <f t="shared" si="27"/>
        <v>0</v>
      </c>
      <c r="K68" s="169">
        <f t="shared" si="28"/>
        <v>0</v>
      </c>
      <c r="L68" s="171">
        <f t="shared" si="19"/>
        <v>0</v>
      </c>
      <c r="M68" s="168">
        <f t="shared" si="26"/>
        <v>0</v>
      </c>
      <c r="N68" s="169">
        <f t="shared" si="29"/>
        <v>0</v>
      </c>
      <c r="O68" s="210">
        <f t="shared" si="20"/>
        <v>0</v>
      </c>
    </row>
    <row r="69" spans="1:15">
      <c r="A69" s="119">
        <f t="shared" si="17"/>
        <v>19</v>
      </c>
      <c r="B69" s="153">
        <v>41609</v>
      </c>
      <c r="C69" s="773">
        <f t="shared" si="21"/>
        <v>2866604</v>
      </c>
      <c r="D69" s="773">
        <f t="shared" si="22"/>
        <v>36445</v>
      </c>
      <c r="E69" s="773">
        <f t="shared" si="23"/>
        <v>2830159</v>
      </c>
      <c r="F69" s="152">
        <f t="shared" si="18"/>
        <v>41609</v>
      </c>
      <c r="G69" s="2114">
        <f t="shared" ref="G69:G81" si="31">G68</f>
        <v>2866604</v>
      </c>
      <c r="H69" s="2115">
        <f t="shared" si="30"/>
        <v>36445</v>
      </c>
      <c r="I69" s="2117">
        <f t="shared" si="25"/>
        <v>2830159</v>
      </c>
      <c r="J69" s="168">
        <f t="shared" si="27"/>
        <v>0</v>
      </c>
      <c r="K69" s="169">
        <f t="shared" si="28"/>
        <v>0</v>
      </c>
      <c r="L69" s="171">
        <f t="shared" si="19"/>
        <v>0</v>
      </c>
      <c r="M69" s="168">
        <f t="shared" si="26"/>
        <v>0</v>
      </c>
      <c r="N69" s="169">
        <f t="shared" si="29"/>
        <v>0</v>
      </c>
      <c r="O69" s="210">
        <f t="shared" si="20"/>
        <v>0</v>
      </c>
    </row>
    <row r="70" spans="1:15">
      <c r="A70" s="119">
        <f t="shared" si="17"/>
        <v>20</v>
      </c>
      <c r="B70" s="153">
        <v>41640</v>
      </c>
      <c r="C70" s="773">
        <f t="shared" si="21"/>
        <v>2866604</v>
      </c>
      <c r="D70" s="773">
        <f t="shared" si="22"/>
        <v>40728</v>
      </c>
      <c r="E70" s="773">
        <f t="shared" si="23"/>
        <v>2825876</v>
      </c>
      <c r="F70" s="152">
        <f t="shared" si="18"/>
        <v>41640</v>
      </c>
      <c r="G70" s="2114">
        <f t="shared" si="31"/>
        <v>2866604</v>
      </c>
      <c r="H70" s="2115">
        <f t="shared" si="30"/>
        <v>40728</v>
      </c>
      <c r="I70" s="2117">
        <f t="shared" si="25"/>
        <v>2825876</v>
      </c>
      <c r="J70" s="168">
        <f t="shared" si="27"/>
        <v>0</v>
      </c>
      <c r="K70" s="169">
        <f t="shared" si="28"/>
        <v>0</v>
      </c>
      <c r="L70" s="171">
        <f t="shared" si="19"/>
        <v>0</v>
      </c>
      <c r="M70" s="168">
        <f t="shared" si="26"/>
        <v>0</v>
      </c>
      <c r="N70" s="169">
        <f t="shared" si="29"/>
        <v>0</v>
      </c>
      <c r="O70" s="210">
        <f t="shared" si="20"/>
        <v>0</v>
      </c>
    </row>
    <row r="71" spans="1:15">
      <c r="A71" s="119">
        <f t="shared" si="17"/>
        <v>21</v>
      </c>
      <c r="B71" s="153">
        <v>41671</v>
      </c>
      <c r="C71" s="773">
        <f t="shared" si="21"/>
        <v>2866604</v>
      </c>
      <c r="D71" s="773">
        <f t="shared" si="22"/>
        <v>45011</v>
      </c>
      <c r="E71" s="773">
        <f t="shared" si="23"/>
        <v>2821593</v>
      </c>
      <c r="F71" s="152">
        <f t="shared" si="18"/>
        <v>41671</v>
      </c>
      <c r="G71" s="2114">
        <f t="shared" si="31"/>
        <v>2866604</v>
      </c>
      <c r="H71" s="2115">
        <f t="shared" si="30"/>
        <v>45011</v>
      </c>
      <c r="I71" s="2117">
        <f t="shared" si="25"/>
        <v>2821593</v>
      </c>
      <c r="J71" s="168">
        <f t="shared" si="27"/>
        <v>0</v>
      </c>
      <c r="K71" s="169">
        <f t="shared" si="28"/>
        <v>0</v>
      </c>
      <c r="L71" s="171">
        <f t="shared" si="19"/>
        <v>0</v>
      </c>
      <c r="M71" s="168">
        <f t="shared" si="26"/>
        <v>0</v>
      </c>
      <c r="N71" s="169">
        <f t="shared" si="29"/>
        <v>0</v>
      </c>
      <c r="O71" s="210">
        <f t="shared" si="20"/>
        <v>0</v>
      </c>
    </row>
    <row r="72" spans="1:15">
      <c r="A72" s="119">
        <f t="shared" si="17"/>
        <v>22</v>
      </c>
      <c r="B72" s="153">
        <v>41699</v>
      </c>
      <c r="C72" s="773">
        <f t="shared" si="21"/>
        <v>2866604</v>
      </c>
      <c r="D72" s="773">
        <f t="shared" si="22"/>
        <v>49294</v>
      </c>
      <c r="E72" s="773">
        <f t="shared" si="23"/>
        <v>2817310</v>
      </c>
      <c r="F72" s="152">
        <f t="shared" si="18"/>
        <v>41699</v>
      </c>
      <c r="G72" s="2114">
        <f t="shared" si="31"/>
        <v>2866604</v>
      </c>
      <c r="H72" s="2115">
        <f t="shared" si="30"/>
        <v>49294</v>
      </c>
      <c r="I72" s="2117">
        <f t="shared" si="25"/>
        <v>2817310</v>
      </c>
      <c r="J72" s="168">
        <f t="shared" si="27"/>
        <v>0</v>
      </c>
      <c r="K72" s="169">
        <f t="shared" si="28"/>
        <v>0</v>
      </c>
      <c r="L72" s="171">
        <f t="shared" si="19"/>
        <v>0</v>
      </c>
      <c r="M72" s="168">
        <f t="shared" si="26"/>
        <v>0</v>
      </c>
      <c r="N72" s="169">
        <f t="shared" si="29"/>
        <v>0</v>
      </c>
      <c r="O72" s="210">
        <f t="shared" si="20"/>
        <v>0</v>
      </c>
    </row>
    <row r="73" spans="1:15">
      <c r="A73" s="119">
        <f t="shared" si="17"/>
        <v>23</v>
      </c>
      <c r="B73" s="153">
        <v>41730</v>
      </c>
      <c r="C73" s="773">
        <f t="shared" si="21"/>
        <v>2866604</v>
      </c>
      <c r="D73" s="773">
        <f t="shared" si="22"/>
        <v>53577</v>
      </c>
      <c r="E73" s="773">
        <f t="shared" si="23"/>
        <v>2813027</v>
      </c>
      <c r="F73" s="152">
        <f t="shared" si="18"/>
        <v>41730</v>
      </c>
      <c r="G73" s="2114">
        <f t="shared" si="31"/>
        <v>2866604</v>
      </c>
      <c r="H73" s="2115">
        <f t="shared" si="30"/>
        <v>53577</v>
      </c>
      <c r="I73" s="2117">
        <f t="shared" si="25"/>
        <v>2813027</v>
      </c>
      <c r="J73" s="168">
        <f t="shared" si="27"/>
        <v>0</v>
      </c>
      <c r="K73" s="169">
        <f t="shared" si="28"/>
        <v>0</v>
      </c>
      <c r="L73" s="171">
        <f t="shared" si="19"/>
        <v>0</v>
      </c>
      <c r="M73" s="168">
        <f t="shared" si="26"/>
        <v>0</v>
      </c>
      <c r="N73" s="169">
        <f t="shared" si="29"/>
        <v>0</v>
      </c>
      <c r="O73" s="210">
        <f t="shared" si="20"/>
        <v>0</v>
      </c>
    </row>
    <row r="74" spans="1:15">
      <c r="A74" s="119">
        <f t="shared" si="17"/>
        <v>24</v>
      </c>
      <c r="B74" s="153">
        <v>41760</v>
      </c>
      <c r="C74" s="773">
        <f t="shared" si="21"/>
        <v>2866604</v>
      </c>
      <c r="D74" s="773">
        <f t="shared" si="22"/>
        <v>57860</v>
      </c>
      <c r="E74" s="773">
        <f t="shared" si="23"/>
        <v>2808744</v>
      </c>
      <c r="F74" s="152">
        <f t="shared" si="18"/>
        <v>41760</v>
      </c>
      <c r="G74" s="2114">
        <f t="shared" si="31"/>
        <v>2866604</v>
      </c>
      <c r="H74" s="2115">
        <f t="shared" si="30"/>
        <v>57860</v>
      </c>
      <c r="I74" s="2117">
        <f t="shared" si="25"/>
        <v>2808744</v>
      </c>
      <c r="J74" s="168">
        <f t="shared" si="27"/>
        <v>0</v>
      </c>
      <c r="K74" s="169">
        <f t="shared" si="28"/>
        <v>0</v>
      </c>
      <c r="L74" s="171">
        <f t="shared" si="19"/>
        <v>0</v>
      </c>
      <c r="M74" s="168">
        <f t="shared" si="26"/>
        <v>0</v>
      </c>
      <c r="N74" s="169">
        <f t="shared" si="29"/>
        <v>0</v>
      </c>
      <c r="O74" s="210">
        <f t="shared" si="20"/>
        <v>0</v>
      </c>
    </row>
    <row r="75" spans="1:15">
      <c r="A75" s="119">
        <f t="shared" si="17"/>
        <v>25</v>
      </c>
      <c r="B75" s="153">
        <v>41791</v>
      </c>
      <c r="C75" s="773">
        <f t="shared" si="21"/>
        <v>2866604</v>
      </c>
      <c r="D75" s="773">
        <f t="shared" si="22"/>
        <v>62143</v>
      </c>
      <c r="E75" s="773">
        <f t="shared" si="23"/>
        <v>2804461</v>
      </c>
      <c r="F75" s="152">
        <f t="shared" si="18"/>
        <v>41791</v>
      </c>
      <c r="G75" s="2114">
        <f t="shared" si="31"/>
        <v>2866604</v>
      </c>
      <c r="H75" s="2115">
        <f t="shared" si="30"/>
        <v>62143</v>
      </c>
      <c r="I75" s="2117">
        <f t="shared" si="25"/>
        <v>2804461</v>
      </c>
      <c r="J75" s="168">
        <f t="shared" si="27"/>
        <v>0</v>
      </c>
      <c r="K75" s="169">
        <f t="shared" si="28"/>
        <v>0</v>
      </c>
      <c r="L75" s="171">
        <f t="shared" si="19"/>
        <v>0</v>
      </c>
      <c r="M75" s="168">
        <f t="shared" si="26"/>
        <v>0</v>
      </c>
      <c r="N75" s="169">
        <f t="shared" si="29"/>
        <v>0</v>
      </c>
      <c r="O75" s="210">
        <f t="shared" si="20"/>
        <v>0</v>
      </c>
    </row>
    <row r="76" spans="1:15">
      <c r="A76" s="119">
        <f t="shared" si="17"/>
        <v>26</v>
      </c>
      <c r="B76" s="153">
        <v>41821</v>
      </c>
      <c r="C76" s="773">
        <f t="shared" si="21"/>
        <v>2866604</v>
      </c>
      <c r="D76" s="773">
        <f t="shared" si="22"/>
        <v>66426</v>
      </c>
      <c r="E76" s="773">
        <f t="shared" si="23"/>
        <v>2800178</v>
      </c>
      <c r="F76" s="152">
        <f t="shared" si="18"/>
        <v>41821</v>
      </c>
      <c r="G76" s="2114">
        <f t="shared" si="31"/>
        <v>2866604</v>
      </c>
      <c r="H76" s="2115">
        <f t="shared" si="30"/>
        <v>66426</v>
      </c>
      <c r="I76" s="2117">
        <f t="shared" si="25"/>
        <v>2800178</v>
      </c>
      <c r="J76" s="168">
        <f t="shared" si="27"/>
        <v>0</v>
      </c>
      <c r="K76" s="169">
        <f t="shared" si="28"/>
        <v>0</v>
      </c>
      <c r="L76" s="171">
        <f t="shared" si="19"/>
        <v>0</v>
      </c>
      <c r="M76" s="168">
        <f t="shared" si="26"/>
        <v>0</v>
      </c>
      <c r="N76" s="169">
        <f t="shared" si="29"/>
        <v>0</v>
      </c>
      <c r="O76" s="210">
        <f t="shared" si="20"/>
        <v>0</v>
      </c>
    </row>
    <row r="77" spans="1:15">
      <c r="A77" s="119">
        <f t="shared" si="17"/>
        <v>27</v>
      </c>
      <c r="B77" s="153">
        <v>41852</v>
      </c>
      <c r="C77" s="773">
        <f t="shared" si="21"/>
        <v>2866604</v>
      </c>
      <c r="D77" s="773">
        <f t="shared" si="22"/>
        <v>70709</v>
      </c>
      <c r="E77" s="773">
        <f t="shared" si="23"/>
        <v>2795895</v>
      </c>
      <c r="F77" s="152">
        <f t="shared" si="18"/>
        <v>41852</v>
      </c>
      <c r="G77" s="2114">
        <f t="shared" si="31"/>
        <v>2866604</v>
      </c>
      <c r="H77" s="2115">
        <f t="shared" si="30"/>
        <v>70709</v>
      </c>
      <c r="I77" s="2117">
        <f t="shared" si="25"/>
        <v>2795895</v>
      </c>
      <c r="J77" s="168">
        <f t="shared" si="27"/>
        <v>0</v>
      </c>
      <c r="K77" s="169">
        <f t="shared" si="28"/>
        <v>0</v>
      </c>
      <c r="L77" s="171">
        <f t="shared" si="19"/>
        <v>0</v>
      </c>
      <c r="M77" s="168">
        <f t="shared" si="26"/>
        <v>0</v>
      </c>
      <c r="N77" s="169">
        <f t="shared" si="29"/>
        <v>0</v>
      </c>
      <c r="O77" s="210">
        <f t="shared" si="20"/>
        <v>0</v>
      </c>
    </row>
    <row r="78" spans="1:15">
      <c r="A78" s="119">
        <f t="shared" si="17"/>
        <v>28</v>
      </c>
      <c r="B78" s="153">
        <v>41883</v>
      </c>
      <c r="C78" s="773">
        <f t="shared" si="21"/>
        <v>2866604</v>
      </c>
      <c r="D78" s="773">
        <f t="shared" si="22"/>
        <v>74992</v>
      </c>
      <c r="E78" s="773">
        <f t="shared" si="23"/>
        <v>2791612</v>
      </c>
      <c r="F78" s="152">
        <f t="shared" si="18"/>
        <v>41883</v>
      </c>
      <c r="G78" s="2114">
        <f t="shared" si="31"/>
        <v>2866604</v>
      </c>
      <c r="H78" s="2115">
        <f t="shared" si="30"/>
        <v>74992</v>
      </c>
      <c r="I78" s="2117">
        <f t="shared" si="25"/>
        <v>2791612</v>
      </c>
      <c r="J78" s="168">
        <f t="shared" si="27"/>
        <v>0</v>
      </c>
      <c r="K78" s="169">
        <f t="shared" si="28"/>
        <v>0</v>
      </c>
      <c r="L78" s="171">
        <f t="shared" si="19"/>
        <v>0</v>
      </c>
      <c r="M78" s="168">
        <f t="shared" si="26"/>
        <v>0</v>
      </c>
      <c r="N78" s="169">
        <f t="shared" si="29"/>
        <v>0</v>
      </c>
      <c r="O78" s="210">
        <f t="shared" si="20"/>
        <v>0</v>
      </c>
    </row>
    <row r="79" spans="1:15">
      <c r="A79" s="119">
        <f t="shared" si="17"/>
        <v>29</v>
      </c>
      <c r="B79" s="153">
        <v>41913</v>
      </c>
      <c r="C79" s="773">
        <f t="shared" si="21"/>
        <v>2866604</v>
      </c>
      <c r="D79" s="773">
        <f t="shared" si="22"/>
        <v>79275</v>
      </c>
      <c r="E79" s="773">
        <f t="shared" si="23"/>
        <v>2787329</v>
      </c>
      <c r="F79" s="152">
        <f t="shared" si="18"/>
        <v>41913</v>
      </c>
      <c r="G79" s="2114">
        <f t="shared" si="31"/>
        <v>2866604</v>
      </c>
      <c r="H79" s="2115">
        <f t="shared" si="30"/>
        <v>79275</v>
      </c>
      <c r="I79" s="2117">
        <f t="shared" si="25"/>
        <v>2787329</v>
      </c>
      <c r="J79" s="168">
        <f t="shared" si="27"/>
        <v>0</v>
      </c>
      <c r="K79" s="169">
        <f t="shared" si="28"/>
        <v>0</v>
      </c>
      <c r="L79" s="171">
        <f t="shared" si="19"/>
        <v>0</v>
      </c>
      <c r="M79" s="168">
        <f t="shared" si="26"/>
        <v>0</v>
      </c>
      <c r="N79" s="169">
        <f t="shared" si="29"/>
        <v>0</v>
      </c>
      <c r="O79" s="210">
        <f t="shared" si="20"/>
        <v>0</v>
      </c>
    </row>
    <row r="80" spans="1:15">
      <c r="A80" s="119">
        <f t="shared" si="17"/>
        <v>30</v>
      </c>
      <c r="B80" s="153">
        <v>41944</v>
      </c>
      <c r="C80" s="773">
        <f t="shared" si="21"/>
        <v>2866604</v>
      </c>
      <c r="D80" s="773">
        <f t="shared" si="22"/>
        <v>83558</v>
      </c>
      <c r="E80" s="773">
        <f t="shared" si="23"/>
        <v>2783046</v>
      </c>
      <c r="F80" s="152">
        <f t="shared" si="18"/>
        <v>41944</v>
      </c>
      <c r="G80" s="2114">
        <f t="shared" si="31"/>
        <v>2866604</v>
      </c>
      <c r="H80" s="2115">
        <f t="shared" si="30"/>
        <v>83558</v>
      </c>
      <c r="I80" s="2117">
        <f t="shared" si="25"/>
        <v>2783046</v>
      </c>
      <c r="J80" s="168">
        <f t="shared" si="27"/>
        <v>0</v>
      </c>
      <c r="K80" s="169">
        <f t="shared" si="28"/>
        <v>0</v>
      </c>
      <c r="L80" s="171">
        <f t="shared" si="19"/>
        <v>0</v>
      </c>
      <c r="M80" s="168">
        <f t="shared" si="26"/>
        <v>0</v>
      </c>
      <c r="N80" s="169">
        <f t="shared" si="29"/>
        <v>0</v>
      </c>
      <c r="O80" s="210">
        <f t="shared" si="20"/>
        <v>0</v>
      </c>
    </row>
    <row r="81" spans="1:15">
      <c r="A81" s="119">
        <f t="shared" si="17"/>
        <v>31</v>
      </c>
      <c r="B81" s="153">
        <v>41974</v>
      </c>
      <c r="C81" s="773">
        <f t="shared" si="21"/>
        <v>2866604</v>
      </c>
      <c r="D81" s="773">
        <f t="shared" si="22"/>
        <v>87841</v>
      </c>
      <c r="E81" s="773">
        <f t="shared" si="23"/>
        <v>2778763</v>
      </c>
      <c r="F81" s="152">
        <f t="shared" si="18"/>
        <v>41974</v>
      </c>
      <c r="G81" s="2114">
        <f t="shared" si="31"/>
        <v>2866604</v>
      </c>
      <c r="H81" s="2115">
        <f t="shared" si="30"/>
        <v>87841</v>
      </c>
      <c r="I81" s="2117">
        <f t="shared" si="25"/>
        <v>2778763</v>
      </c>
      <c r="J81" s="168">
        <f t="shared" si="27"/>
        <v>0</v>
      </c>
      <c r="K81" s="169">
        <f t="shared" si="28"/>
        <v>0</v>
      </c>
      <c r="L81" s="171">
        <f t="shared" si="19"/>
        <v>0</v>
      </c>
      <c r="M81" s="168">
        <f t="shared" si="26"/>
        <v>0</v>
      </c>
      <c r="N81" s="169">
        <f t="shared" si="29"/>
        <v>0</v>
      </c>
      <c r="O81" s="210">
        <f t="shared" si="20"/>
        <v>0</v>
      </c>
    </row>
    <row r="82" spans="1:15" ht="15">
      <c r="B82" s="549"/>
      <c r="F82" s="139"/>
      <c r="G82" s="137"/>
      <c r="H82" s="132"/>
      <c r="I82" s="132"/>
      <c r="J82" s="137"/>
      <c r="K82" s="132"/>
      <c r="L82" s="149"/>
      <c r="M82" s="986"/>
      <c r="N82" s="90"/>
      <c r="O82" s="90"/>
    </row>
    <row r="83" spans="1:15">
      <c r="A83" s="119">
        <f>A81+1</f>
        <v>32</v>
      </c>
      <c r="B83" s="154" t="s">
        <v>1553</v>
      </c>
      <c r="C83" s="773">
        <f>AVERAGE(C69:C81)</f>
        <v>2866604</v>
      </c>
      <c r="D83" s="901">
        <f>AVERAGE(D69:D81)</f>
        <v>62143</v>
      </c>
      <c r="E83" s="773">
        <f>AVERAGE(E69:E81)</f>
        <v>2804461</v>
      </c>
      <c r="F83" s="1001"/>
      <c r="G83" s="1002">
        <f>AVERAGE(G69:G81)</f>
        <v>2866604</v>
      </c>
      <c r="H83" s="901">
        <f t="shared" ref="H83:O83" si="32">AVERAGE(H69:H81)</f>
        <v>62143</v>
      </c>
      <c r="I83" s="901">
        <f>AVERAGE(I69:I81)</f>
        <v>2804461</v>
      </c>
      <c r="J83" s="1002">
        <f>AVERAGE(J69:J81)</f>
        <v>0</v>
      </c>
      <c r="K83" s="901">
        <f>AVERAGE(K69:K81)</f>
        <v>0</v>
      </c>
      <c r="L83" s="984">
        <f>AVERAGE(L69:L81)</f>
        <v>0</v>
      </c>
      <c r="M83" s="1003">
        <f t="shared" si="32"/>
        <v>0</v>
      </c>
      <c r="N83" s="889">
        <f t="shared" si="32"/>
        <v>0</v>
      </c>
      <c r="O83" s="889">
        <f t="shared" si="32"/>
        <v>0</v>
      </c>
    </row>
    <row r="84" spans="1:15">
      <c r="A84" s="119">
        <f>A83+1</f>
        <v>33</v>
      </c>
      <c r="B84" s="154" t="s">
        <v>462</v>
      </c>
      <c r="C84" s="1001"/>
      <c r="D84" s="1893">
        <f>D81-D69</f>
        <v>51396</v>
      </c>
      <c r="E84" s="1893"/>
      <c r="F84" s="139"/>
      <c r="G84" s="1894" t="s">
        <v>462</v>
      </c>
      <c r="H84" s="1893">
        <f>H81-H69</f>
        <v>51396</v>
      </c>
      <c r="I84" s="1766"/>
      <c r="J84" s="1894" t="s">
        <v>462</v>
      </c>
      <c r="K84" s="1893">
        <f>K81-K69</f>
        <v>0</v>
      </c>
      <c r="L84" s="1766"/>
      <c r="M84" s="1894" t="s">
        <v>462</v>
      </c>
      <c r="N84" s="1893">
        <f>N81-N69</f>
        <v>0</v>
      </c>
      <c r="O84" s="1766"/>
    </row>
    <row r="85" spans="1:15">
      <c r="B85" s="88"/>
      <c r="C85" s="1893"/>
      <c r="D85" s="1893"/>
      <c r="E85" s="1893"/>
      <c r="F85" s="139"/>
      <c r="G85" s="1895"/>
      <c r="H85" s="649"/>
      <c r="I85" s="363"/>
      <c r="J85" s="1895"/>
      <c r="K85" s="649"/>
      <c r="L85" s="929"/>
      <c r="M85" s="1895"/>
      <c r="N85" s="649"/>
      <c r="O85" s="363"/>
    </row>
    <row r="86" spans="1:15" ht="15.75">
      <c r="B86" s="742" t="s">
        <v>1547</v>
      </c>
      <c r="C86" s="88"/>
      <c r="D86" s="88"/>
      <c r="E86" s="88"/>
      <c r="F86" s="139"/>
      <c r="G86" s="344"/>
      <c r="H86" s="344"/>
      <c r="I86" s="344"/>
      <c r="J86" s="344"/>
      <c r="K86" s="344"/>
      <c r="L86" s="344"/>
      <c r="M86" s="344"/>
      <c r="N86" s="344"/>
      <c r="O86" s="344"/>
    </row>
    <row r="87" spans="1:15" ht="15.75">
      <c r="B87" s="1896" t="s">
        <v>509</v>
      </c>
      <c r="C87" s="88"/>
      <c r="D87" s="88"/>
      <c r="E87" s="88"/>
      <c r="F87" s="88"/>
      <c r="G87" s="88"/>
      <c r="H87" s="88"/>
      <c r="I87" s="88"/>
      <c r="J87" s="88"/>
      <c r="K87" s="88"/>
      <c r="L87" s="88"/>
      <c r="M87" s="88"/>
      <c r="N87" s="88"/>
      <c r="O87" s="88"/>
    </row>
    <row r="88" spans="1:15" ht="15.75">
      <c r="B88" s="1896" t="s">
        <v>1113</v>
      </c>
      <c r="C88" s="88"/>
      <c r="D88" s="88"/>
      <c r="E88" s="88"/>
      <c r="F88" s="88"/>
      <c r="G88" s="88"/>
      <c r="H88" s="88"/>
      <c r="I88" s="88"/>
      <c r="J88" s="88"/>
      <c r="K88" s="88"/>
      <c r="L88" s="88"/>
      <c r="M88" s="88"/>
      <c r="N88" s="88"/>
      <c r="O88" s="88"/>
    </row>
    <row r="89" spans="1:15" ht="15.75">
      <c r="C89" s="652"/>
    </row>
    <row r="90" spans="1:15" ht="15.75">
      <c r="L90" s="2193" t="s">
        <v>214</v>
      </c>
      <c r="M90" s="2193"/>
    </row>
    <row r="91" spans="1:15" ht="15.75">
      <c r="H91" s="248"/>
      <c r="K91" s="248"/>
      <c r="N91" s="1099"/>
      <c r="O91" s="118" t="s">
        <v>105</v>
      </c>
    </row>
    <row r="92" spans="1:15" ht="15.75">
      <c r="A92" s="119">
        <v>1</v>
      </c>
      <c r="B92" s="74" t="s">
        <v>450</v>
      </c>
      <c r="G92" s="121" t="s">
        <v>623</v>
      </c>
      <c r="H92" s="797" t="s">
        <v>838</v>
      </c>
      <c r="I92" s="136"/>
      <c r="J92" s="121" t="s">
        <v>623</v>
      </c>
      <c r="K92" s="796" t="s">
        <v>839</v>
      </c>
      <c r="L92" s="136"/>
      <c r="M92" s="987" t="s">
        <v>623</v>
      </c>
      <c r="N92" s="796" t="s">
        <v>1350</v>
      </c>
      <c r="O92" s="144"/>
    </row>
    <row r="93" spans="1:15">
      <c r="A93" s="119">
        <f>+A92+1</f>
        <v>2</v>
      </c>
      <c r="G93" s="134" t="s">
        <v>632</v>
      </c>
      <c r="H93" s="165"/>
      <c r="I93" s="165"/>
      <c r="J93" s="134" t="s">
        <v>632</v>
      </c>
      <c r="K93" s="165"/>
      <c r="L93" s="170"/>
      <c r="M93" s="988" t="s">
        <v>632</v>
      </c>
      <c r="N93" s="165"/>
      <c r="O93" s="165"/>
    </row>
    <row r="94" spans="1:15">
      <c r="A94" s="119">
        <f>+A93+1</f>
        <v>3</v>
      </c>
      <c r="G94" s="122" t="s">
        <v>624</v>
      </c>
      <c r="H94" s="174">
        <f>IF('P-1 (Trans Plant)'!$I$91=0,0,ROUND('P-1 (Trans Plant)'!$J$90/'P-1 (Trans Plant)'!$I$91/12,6))</f>
        <v>1.4940000000000001E-3</v>
      </c>
      <c r="I94" s="123" t="s">
        <v>730</v>
      </c>
      <c r="J94" s="122" t="s">
        <v>624</v>
      </c>
      <c r="K94" s="174">
        <f>IF('P-1 (Trans Plant)'!$I$91=0,0,ROUND('P-1 (Trans Plant)'!$J$90/'P-1 (Trans Plant)'!$I$91/12,6))</f>
        <v>1.4940000000000001E-3</v>
      </c>
      <c r="L94" s="146" t="s">
        <v>730</v>
      </c>
      <c r="M94" s="988" t="s">
        <v>624</v>
      </c>
      <c r="N94" s="174">
        <f>IF('P-1 (Trans Plant)'!$I$91=0,0,ROUND('P-1 (Trans Plant)'!$J$90/'P-1 (Trans Plant)'!$I$91/12,6))</f>
        <v>1.4940000000000001E-3</v>
      </c>
      <c r="O94" s="165" t="s">
        <v>730</v>
      </c>
    </row>
    <row r="95" spans="1:15">
      <c r="A95" s="119">
        <f>+A94+1</f>
        <v>4</v>
      </c>
      <c r="G95" s="122" t="s">
        <v>627</v>
      </c>
      <c r="H95" s="210"/>
      <c r="I95" s="123"/>
      <c r="J95" s="122" t="s">
        <v>627</v>
      </c>
      <c r="K95" s="133"/>
      <c r="L95" s="146"/>
      <c r="M95" s="988" t="s">
        <v>627</v>
      </c>
      <c r="N95" s="133"/>
      <c r="O95" s="165"/>
    </row>
    <row r="96" spans="1:15">
      <c r="A96" s="119">
        <f>+A95+1</f>
        <v>5</v>
      </c>
      <c r="C96" s="2282" t="s">
        <v>54</v>
      </c>
      <c r="D96" s="2282"/>
      <c r="E96" s="2282"/>
      <c r="G96" s="122" t="s">
        <v>628</v>
      </c>
      <c r="H96" s="126"/>
      <c r="I96" s="123"/>
      <c r="J96" s="122" t="s">
        <v>628</v>
      </c>
      <c r="K96" s="126"/>
      <c r="L96" s="146"/>
      <c r="M96" s="988" t="s">
        <v>628</v>
      </c>
      <c r="N96" s="126"/>
      <c r="O96" s="165"/>
    </row>
    <row r="97" spans="1:15">
      <c r="A97" s="119">
        <f>+A96+1</f>
        <v>6</v>
      </c>
      <c r="G97" s="122" t="s">
        <v>633</v>
      </c>
      <c r="H97" s="173"/>
      <c r="I97" s="123"/>
      <c r="J97" s="122" t="s">
        <v>633</v>
      </c>
      <c r="K97" s="173"/>
      <c r="L97" s="146"/>
      <c r="M97" s="988" t="s">
        <v>633</v>
      </c>
      <c r="N97" s="173"/>
      <c r="O97" s="165"/>
    </row>
    <row r="98" spans="1:15">
      <c r="G98" s="122"/>
      <c r="H98" s="123"/>
      <c r="I98" s="123"/>
      <c r="J98" s="122"/>
      <c r="K98" s="123"/>
      <c r="L98" s="146"/>
      <c r="M98" s="988"/>
      <c r="N98" s="165"/>
      <c r="O98" s="165"/>
    </row>
    <row r="99" spans="1:15">
      <c r="B99" s="117" t="s">
        <v>394</v>
      </c>
      <c r="C99" s="117" t="s">
        <v>1045</v>
      </c>
      <c r="D99" s="117" t="s">
        <v>634</v>
      </c>
      <c r="E99" s="141" t="s">
        <v>265</v>
      </c>
      <c r="F99" s="141" t="s">
        <v>394</v>
      </c>
      <c r="G99" s="129" t="s">
        <v>1045</v>
      </c>
      <c r="H99" s="129" t="s">
        <v>634</v>
      </c>
      <c r="I99" s="147" t="s">
        <v>265</v>
      </c>
      <c r="J99" s="128" t="s">
        <v>1045</v>
      </c>
      <c r="K99" s="129" t="s">
        <v>634</v>
      </c>
      <c r="L99" s="147" t="s">
        <v>265</v>
      </c>
      <c r="M99" s="650" t="s">
        <v>1045</v>
      </c>
      <c r="N99" s="650" t="s">
        <v>634</v>
      </c>
      <c r="O99" s="989" t="s">
        <v>265</v>
      </c>
    </row>
    <row r="100" spans="1:15">
      <c r="A100" s="119">
        <f>+A97+1</f>
        <v>7</v>
      </c>
      <c r="G100" s="168">
        <f>H95</f>
        <v>0</v>
      </c>
      <c r="H100" s="131"/>
      <c r="I100" s="131"/>
      <c r="J100" s="168">
        <f>K95</f>
        <v>0</v>
      </c>
      <c r="K100" s="131"/>
      <c r="L100" s="148"/>
      <c r="M100" s="168">
        <f>N95</f>
        <v>0</v>
      </c>
      <c r="N100" s="211"/>
      <c r="O100" s="211"/>
    </row>
    <row r="101" spans="1:15">
      <c r="A101" s="119">
        <f t="shared" ref="A101:A124" si="33">+A100+1</f>
        <v>8</v>
      </c>
      <c r="B101" s="1936">
        <v>41275</v>
      </c>
      <c r="C101" s="773">
        <f>+G101+J101+M101</f>
        <v>0</v>
      </c>
      <c r="D101" s="773">
        <f>+H101+K101+N101</f>
        <v>0</v>
      </c>
      <c r="E101" s="773">
        <f>+I101+L101+O101</f>
        <v>0</v>
      </c>
      <c r="F101" s="152">
        <f t="shared" ref="F101:F124" si="34">+B101</f>
        <v>41275</v>
      </c>
      <c r="G101" s="168">
        <f t="shared" ref="G101:G124" si="35">+G100</f>
        <v>0</v>
      </c>
      <c r="H101" s="169">
        <f>ROUND(G100*H$94,0)+H96</f>
        <v>0</v>
      </c>
      <c r="I101" s="89">
        <f t="shared" ref="I101:I124" si="36">+G101-H101</f>
        <v>0</v>
      </c>
      <c r="J101" s="168">
        <f>+J100</f>
        <v>0</v>
      </c>
      <c r="K101" s="169">
        <f>ROUND(J100*K$94,0)+K96</f>
        <v>0</v>
      </c>
      <c r="L101" s="171">
        <f>+J101-K101</f>
        <v>0</v>
      </c>
      <c r="M101" s="168">
        <f>+M100</f>
        <v>0</v>
      </c>
      <c r="N101" s="169">
        <f>ROUND(M100*N$94,0)+N96</f>
        <v>0</v>
      </c>
      <c r="O101" s="210">
        <f t="shared" ref="O101:O124" si="37">+M101-N101</f>
        <v>0</v>
      </c>
    </row>
    <row r="102" spans="1:15">
      <c r="A102" s="119">
        <f t="shared" si="33"/>
        <v>9</v>
      </c>
      <c r="B102" s="153">
        <v>41306</v>
      </c>
      <c r="C102" s="773">
        <f t="shared" ref="C102:C124" si="38">+G102+J102+M102</f>
        <v>0</v>
      </c>
      <c r="D102" s="773">
        <f t="shared" ref="D102:D124" si="39">+H102+K102+N102</f>
        <v>0</v>
      </c>
      <c r="E102" s="773">
        <f t="shared" ref="E102:E124" si="40">+I102+L102+O102</f>
        <v>0</v>
      </c>
      <c r="F102" s="152">
        <f t="shared" si="34"/>
        <v>41306</v>
      </c>
      <c r="G102" s="168">
        <f t="shared" si="35"/>
        <v>0</v>
      </c>
      <c r="H102" s="169">
        <f>ROUND(G101*H$94,0)+H101</f>
        <v>0</v>
      </c>
      <c r="I102" s="89">
        <f t="shared" si="36"/>
        <v>0</v>
      </c>
      <c r="J102" s="168">
        <f t="shared" ref="J102:J124" si="41">+J101</f>
        <v>0</v>
      </c>
      <c r="K102" s="169">
        <f>ROUND(J101*K$94,0)+K101</f>
        <v>0</v>
      </c>
      <c r="L102" s="171">
        <f t="shared" ref="L102:L124" si="42">+J102-K102</f>
        <v>0</v>
      </c>
      <c r="M102" s="168">
        <f t="shared" ref="M102:M124" si="43">+M101</f>
        <v>0</v>
      </c>
      <c r="N102" s="169">
        <f>ROUND(M101*N$94,0)+N101</f>
        <v>0</v>
      </c>
      <c r="O102" s="210">
        <f t="shared" si="37"/>
        <v>0</v>
      </c>
    </row>
    <row r="103" spans="1:15">
      <c r="A103" s="119">
        <f t="shared" si="33"/>
        <v>10</v>
      </c>
      <c r="B103" s="153">
        <v>41334</v>
      </c>
      <c r="C103" s="773">
        <f t="shared" si="38"/>
        <v>0</v>
      </c>
      <c r="D103" s="773">
        <f t="shared" si="39"/>
        <v>0</v>
      </c>
      <c r="E103" s="773">
        <f t="shared" si="40"/>
        <v>0</v>
      </c>
      <c r="F103" s="152">
        <f t="shared" si="34"/>
        <v>41334</v>
      </c>
      <c r="G103" s="168">
        <f t="shared" si="35"/>
        <v>0</v>
      </c>
      <c r="H103" s="169">
        <f t="shared" ref="H103:H124" si="44">ROUND(G102*H$94,0)+H102</f>
        <v>0</v>
      </c>
      <c r="I103" s="89">
        <f t="shared" si="36"/>
        <v>0</v>
      </c>
      <c r="J103" s="168">
        <f t="shared" si="41"/>
        <v>0</v>
      </c>
      <c r="K103" s="169">
        <f t="shared" ref="K103:K124" si="45">ROUND(J102*K$94,0)+K102</f>
        <v>0</v>
      </c>
      <c r="L103" s="171">
        <f t="shared" si="42"/>
        <v>0</v>
      </c>
      <c r="M103" s="168">
        <f t="shared" si="43"/>
        <v>0</v>
      </c>
      <c r="N103" s="169">
        <f t="shared" ref="N103:N124" si="46">ROUND(M102*N$94,0)+N102</f>
        <v>0</v>
      </c>
      <c r="O103" s="210">
        <f t="shared" si="37"/>
        <v>0</v>
      </c>
    </row>
    <row r="104" spans="1:15">
      <c r="A104" s="119">
        <f t="shared" si="33"/>
        <v>11</v>
      </c>
      <c r="B104" s="153">
        <v>41365</v>
      </c>
      <c r="C104" s="773">
        <f t="shared" si="38"/>
        <v>0</v>
      </c>
      <c r="D104" s="773">
        <f t="shared" si="39"/>
        <v>0</v>
      </c>
      <c r="E104" s="773">
        <f t="shared" si="40"/>
        <v>0</v>
      </c>
      <c r="F104" s="152">
        <f t="shared" si="34"/>
        <v>41365</v>
      </c>
      <c r="G104" s="168">
        <f t="shared" si="35"/>
        <v>0</v>
      </c>
      <c r="H104" s="169">
        <f t="shared" si="44"/>
        <v>0</v>
      </c>
      <c r="I104" s="89">
        <f t="shared" si="36"/>
        <v>0</v>
      </c>
      <c r="J104" s="168">
        <f t="shared" si="41"/>
        <v>0</v>
      </c>
      <c r="K104" s="169">
        <f t="shared" si="45"/>
        <v>0</v>
      </c>
      <c r="L104" s="171">
        <f t="shared" si="42"/>
        <v>0</v>
      </c>
      <c r="M104" s="168">
        <f t="shared" si="43"/>
        <v>0</v>
      </c>
      <c r="N104" s="169">
        <f t="shared" si="46"/>
        <v>0</v>
      </c>
      <c r="O104" s="210">
        <f t="shared" si="37"/>
        <v>0</v>
      </c>
    </row>
    <row r="105" spans="1:15">
      <c r="A105" s="119">
        <f t="shared" si="33"/>
        <v>12</v>
      </c>
      <c r="B105" s="153">
        <v>41395</v>
      </c>
      <c r="C105" s="773">
        <f t="shared" si="38"/>
        <v>0</v>
      </c>
      <c r="D105" s="773">
        <f t="shared" si="39"/>
        <v>0</v>
      </c>
      <c r="E105" s="773">
        <f t="shared" si="40"/>
        <v>0</v>
      </c>
      <c r="F105" s="152">
        <f t="shared" si="34"/>
        <v>41395</v>
      </c>
      <c r="G105" s="168">
        <f t="shared" si="35"/>
        <v>0</v>
      </c>
      <c r="H105" s="169">
        <f t="shared" si="44"/>
        <v>0</v>
      </c>
      <c r="I105" s="89">
        <f t="shared" si="36"/>
        <v>0</v>
      </c>
      <c r="J105" s="168">
        <f t="shared" si="41"/>
        <v>0</v>
      </c>
      <c r="K105" s="169">
        <f t="shared" si="45"/>
        <v>0</v>
      </c>
      <c r="L105" s="171">
        <f t="shared" si="42"/>
        <v>0</v>
      </c>
      <c r="M105" s="168">
        <f t="shared" si="43"/>
        <v>0</v>
      </c>
      <c r="N105" s="169">
        <f t="shared" si="46"/>
        <v>0</v>
      </c>
      <c r="O105" s="210">
        <f t="shared" si="37"/>
        <v>0</v>
      </c>
    </row>
    <row r="106" spans="1:15">
      <c r="A106" s="119">
        <f t="shared" si="33"/>
        <v>13</v>
      </c>
      <c r="B106" s="153">
        <v>41426</v>
      </c>
      <c r="C106" s="773">
        <f t="shared" si="38"/>
        <v>0</v>
      </c>
      <c r="D106" s="773">
        <f t="shared" si="39"/>
        <v>0</v>
      </c>
      <c r="E106" s="773">
        <f t="shared" si="40"/>
        <v>0</v>
      </c>
      <c r="F106" s="152">
        <f t="shared" si="34"/>
        <v>41426</v>
      </c>
      <c r="G106" s="168">
        <f t="shared" si="35"/>
        <v>0</v>
      </c>
      <c r="H106" s="169">
        <f t="shared" si="44"/>
        <v>0</v>
      </c>
      <c r="I106" s="89">
        <f t="shared" si="36"/>
        <v>0</v>
      </c>
      <c r="J106" s="168">
        <f t="shared" si="41"/>
        <v>0</v>
      </c>
      <c r="K106" s="169">
        <f t="shared" si="45"/>
        <v>0</v>
      </c>
      <c r="L106" s="171">
        <f t="shared" si="42"/>
        <v>0</v>
      </c>
      <c r="M106" s="168">
        <f t="shared" si="43"/>
        <v>0</v>
      </c>
      <c r="N106" s="169">
        <f t="shared" si="46"/>
        <v>0</v>
      </c>
      <c r="O106" s="210">
        <f t="shared" si="37"/>
        <v>0</v>
      </c>
    </row>
    <row r="107" spans="1:15">
      <c r="A107" s="119">
        <f t="shared" si="33"/>
        <v>14</v>
      </c>
      <c r="B107" s="153">
        <v>41456</v>
      </c>
      <c r="C107" s="773">
        <f t="shared" si="38"/>
        <v>0</v>
      </c>
      <c r="D107" s="773">
        <f t="shared" si="39"/>
        <v>0</v>
      </c>
      <c r="E107" s="773">
        <f t="shared" si="40"/>
        <v>0</v>
      </c>
      <c r="F107" s="152">
        <f t="shared" si="34"/>
        <v>41456</v>
      </c>
      <c r="G107" s="168">
        <f t="shared" si="35"/>
        <v>0</v>
      </c>
      <c r="H107" s="169">
        <f t="shared" si="44"/>
        <v>0</v>
      </c>
      <c r="I107" s="89">
        <f t="shared" si="36"/>
        <v>0</v>
      </c>
      <c r="J107" s="168">
        <f t="shared" si="41"/>
        <v>0</v>
      </c>
      <c r="K107" s="169">
        <f t="shared" si="45"/>
        <v>0</v>
      </c>
      <c r="L107" s="171">
        <f t="shared" si="42"/>
        <v>0</v>
      </c>
      <c r="M107" s="168">
        <f t="shared" si="43"/>
        <v>0</v>
      </c>
      <c r="N107" s="169">
        <f t="shared" si="46"/>
        <v>0</v>
      </c>
      <c r="O107" s="210">
        <f t="shared" si="37"/>
        <v>0</v>
      </c>
    </row>
    <row r="108" spans="1:15">
      <c r="A108" s="119">
        <f t="shared" si="33"/>
        <v>15</v>
      </c>
      <c r="B108" s="153">
        <v>41487</v>
      </c>
      <c r="C108" s="773">
        <f t="shared" si="38"/>
        <v>0</v>
      </c>
      <c r="D108" s="773">
        <f t="shared" si="39"/>
        <v>0</v>
      </c>
      <c r="E108" s="773">
        <f t="shared" si="40"/>
        <v>0</v>
      </c>
      <c r="F108" s="152">
        <f t="shared" si="34"/>
        <v>41487</v>
      </c>
      <c r="G108" s="168">
        <f t="shared" si="35"/>
        <v>0</v>
      </c>
      <c r="H108" s="169">
        <f t="shared" si="44"/>
        <v>0</v>
      </c>
      <c r="I108" s="89">
        <f t="shared" si="36"/>
        <v>0</v>
      </c>
      <c r="J108" s="168">
        <f t="shared" si="41"/>
        <v>0</v>
      </c>
      <c r="K108" s="169">
        <f t="shared" si="45"/>
        <v>0</v>
      </c>
      <c r="L108" s="171">
        <f t="shared" si="42"/>
        <v>0</v>
      </c>
      <c r="M108" s="168">
        <f t="shared" si="43"/>
        <v>0</v>
      </c>
      <c r="N108" s="169">
        <f t="shared" si="46"/>
        <v>0</v>
      </c>
      <c r="O108" s="210">
        <f t="shared" si="37"/>
        <v>0</v>
      </c>
    </row>
    <row r="109" spans="1:15">
      <c r="A109" s="119">
        <f t="shared" si="33"/>
        <v>16</v>
      </c>
      <c r="B109" s="153">
        <v>41518</v>
      </c>
      <c r="C109" s="773">
        <f t="shared" si="38"/>
        <v>0</v>
      </c>
      <c r="D109" s="773">
        <f t="shared" si="39"/>
        <v>0</v>
      </c>
      <c r="E109" s="773">
        <f t="shared" si="40"/>
        <v>0</v>
      </c>
      <c r="F109" s="152">
        <f t="shared" si="34"/>
        <v>41518</v>
      </c>
      <c r="G109" s="168">
        <f t="shared" si="35"/>
        <v>0</v>
      </c>
      <c r="H109" s="169">
        <f t="shared" si="44"/>
        <v>0</v>
      </c>
      <c r="I109" s="89">
        <f t="shared" si="36"/>
        <v>0</v>
      </c>
      <c r="J109" s="168">
        <f t="shared" si="41"/>
        <v>0</v>
      </c>
      <c r="K109" s="169">
        <f t="shared" si="45"/>
        <v>0</v>
      </c>
      <c r="L109" s="171">
        <f t="shared" si="42"/>
        <v>0</v>
      </c>
      <c r="M109" s="168">
        <f t="shared" si="43"/>
        <v>0</v>
      </c>
      <c r="N109" s="169">
        <f t="shared" si="46"/>
        <v>0</v>
      </c>
      <c r="O109" s="210">
        <f t="shared" si="37"/>
        <v>0</v>
      </c>
    </row>
    <row r="110" spans="1:15">
      <c r="A110" s="119">
        <f t="shared" si="33"/>
        <v>17</v>
      </c>
      <c r="B110" s="153">
        <v>41548</v>
      </c>
      <c r="C110" s="773">
        <f t="shared" si="38"/>
        <v>0</v>
      </c>
      <c r="D110" s="773">
        <f t="shared" si="39"/>
        <v>0</v>
      </c>
      <c r="E110" s="773">
        <f t="shared" si="40"/>
        <v>0</v>
      </c>
      <c r="F110" s="152">
        <f t="shared" si="34"/>
        <v>41548</v>
      </c>
      <c r="G110" s="168">
        <f t="shared" si="35"/>
        <v>0</v>
      </c>
      <c r="H110" s="169">
        <f t="shared" si="44"/>
        <v>0</v>
      </c>
      <c r="I110" s="89">
        <f t="shared" si="36"/>
        <v>0</v>
      </c>
      <c r="J110" s="168">
        <f t="shared" si="41"/>
        <v>0</v>
      </c>
      <c r="K110" s="169">
        <f t="shared" si="45"/>
        <v>0</v>
      </c>
      <c r="L110" s="171">
        <f t="shared" si="42"/>
        <v>0</v>
      </c>
      <c r="M110" s="168">
        <f t="shared" si="43"/>
        <v>0</v>
      </c>
      <c r="N110" s="169">
        <f t="shared" si="46"/>
        <v>0</v>
      </c>
      <c r="O110" s="210">
        <f t="shared" si="37"/>
        <v>0</v>
      </c>
    </row>
    <row r="111" spans="1:15">
      <c r="A111" s="119">
        <f t="shared" si="33"/>
        <v>18</v>
      </c>
      <c r="B111" s="153">
        <v>41579</v>
      </c>
      <c r="C111" s="773">
        <f t="shared" si="38"/>
        <v>0</v>
      </c>
      <c r="D111" s="773">
        <f t="shared" si="39"/>
        <v>0</v>
      </c>
      <c r="E111" s="773">
        <f t="shared" si="40"/>
        <v>0</v>
      </c>
      <c r="F111" s="152">
        <f t="shared" si="34"/>
        <v>41579</v>
      </c>
      <c r="G111" s="168">
        <f t="shared" si="35"/>
        <v>0</v>
      </c>
      <c r="H111" s="169">
        <f t="shared" si="44"/>
        <v>0</v>
      </c>
      <c r="I111" s="89">
        <f t="shared" si="36"/>
        <v>0</v>
      </c>
      <c r="J111" s="168">
        <f t="shared" si="41"/>
        <v>0</v>
      </c>
      <c r="K111" s="169">
        <f t="shared" si="45"/>
        <v>0</v>
      </c>
      <c r="L111" s="171">
        <f t="shared" si="42"/>
        <v>0</v>
      </c>
      <c r="M111" s="168">
        <f t="shared" si="43"/>
        <v>0</v>
      </c>
      <c r="N111" s="169">
        <f t="shared" si="46"/>
        <v>0</v>
      </c>
      <c r="O111" s="210">
        <f t="shared" si="37"/>
        <v>0</v>
      </c>
    </row>
    <row r="112" spans="1:15">
      <c r="A112" s="119">
        <f t="shared" si="33"/>
        <v>19</v>
      </c>
      <c r="B112" s="153">
        <v>41609</v>
      </c>
      <c r="C112" s="773">
        <f t="shared" si="38"/>
        <v>0</v>
      </c>
      <c r="D112" s="773">
        <f t="shared" si="39"/>
        <v>0</v>
      </c>
      <c r="E112" s="773">
        <f t="shared" si="40"/>
        <v>0</v>
      </c>
      <c r="F112" s="152">
        <f t="shared" si="34"/>
        <v>41609</v>
      </c>
      <c r="G112" s="168">
        <f t="shared" si="35"/>
        <v>0</v>
      </c>
      <c r="H112" s="169">
        <f t="shared" si="44"/>
        <v>0</v>
      </c>
      <c r="I112" s="89">
        <f t="shared" si="36"/>
        <v>0</v>
      </c>
      <c r="J112" s="168">
        <f t="shared" si="41"/>
        <v>0</v>
      </c>
      <c r="K112" s="169">
        <f t="shared" si="45"/>
        <v>0</v>
      </c>
      <c r="L112" s="171">
        <f t="shared" si="42"/>
        <v>0</v>
      </c>
      <c r="M112" s="168">
        <f t="shared" si="43"/>
        <v>0</v>
      </c>
      <c r="N112" s="169">
        <f t="shared" si="46"/>
        <v>0</v>
      </c>
      <c r="O112" s="210">
        <f t="shared" si="37"/>
        <v>0</v>
      </c>
    </row>
    <row r="113" spans="1:15">
      <c r="A113" s="119">
        <f t="shared" si="33"/>
        <v>20</v>
      </c>
      <c r="B113" s="153">
        <v>41640</v>
      </c>
      <c r="C113" s="773">
        <f t="shared" si="38"/>
        <v>0</v>
      </c>
      <c r="D113" s="773">
        <f t="shared" si="39"/>
        <v>0</v>
      </c>
      <c r="E113" s="773">
        <f t="shared" si="40"/>
        <v>0</v>
      </c>
      <c r="F113" s="152">
        <f t="shared" si="34"/>
        <v>41640</v>
      </c>
      <c r="G113" s="168">
        <f t="shared" si="35"/>
        <v>0</v>
      </c>
      <c r="H113" s="169">
        <f t="shared" si="44"/>
        <v>0</v>
      </c>
      <c r="I113" s="89">
        <f t="shared" si="36"/>
        <v>0</v>
      </c>
      <c r="J113" s="168">
        <f t="shared" si="41"/>
        <v>0</v>
      </c>
      <c r="K113" s="169">
        <f t="shared" si="45"/>
        <v>0</v>
      </c>
      <c r="L113" s="171">
        <f t="shared" si="42"/>
        <v>0</v>
      </c>
      <c r="M113" s="168">
        <f t="shared" si="43"/>
        <v>0</v>
      </c>
      <c r="N113" s="169">
        <f t="shared" si="46"/>
        <v>0</v>
      </c>
      <c r="O113" s="210">
        <f t="shared" si="37"/>
        <v>0</v>
      </c>
    </row>
    <row r="114" spans="1:15">
      <c r="A114" s="119">
        <f t="shared" si="33"/>
        <v>21</v>
      </c>
      <c r="B114" s="153">
        <v>41671</v>
      </c>
      <c r="C114" s="773">
        <f t="shared" si="38"/>
        <v>0</v>
      </c>
      <c r="D114" s="773">
        <f t="shared" si="39"/>
        <v>0</v>
      </c>
      <c r="E114" s="773">
        <f t="shared" si="40"/>
        <v>0</v>
      </c>
      <c r="F114" s="152">
        <f t="shared" si="34"/>
        <v>41671</v>
      </c>
      <c r="G114" s="168">
        <f t="shared" si="35"/>
        <v>0</v>
      </c>
      <c r="H114" s="169">
        <f t="shared" si="44"/>
        <v>0</v>
      </c>
      <c r="I114" s="89">
        <f t="shared" si="36"/>
        <v>0</v>
      </c>
      <c r="J114" s="168">
        <f t="shared" si="41"/>
        <v>0</v>
      </c>
      <c r="K114" s="169">
        <f t="shared" si="45"/>
        <v>0</v>
      </c>
      <c r="L114" s="171">
        <f t="shared" si="42"/>
        <v>0</v>
      </c>
      <c r="M114" s="168">
        <f t="shared" si="43"/>
        <v>0</v>
      </c>
      <c r="N114" s="169">
        <f t="shared" si="46"/>
        <v>0</v>
      </c>
      <c r="O114" s="210">
        <f t="shared" si="37"/>
        <v>0</v>
      </c>
    </row>
    <row r="115" spans="1:15">
      <c r="A115" s="119">
        <f t="shared" si="33"/>
        <v>22</v>
      </c>
      <c r="B115" s="153">
        <v>41699</v>
      </c>
      <c r="C115" s="773">
        <f t="shared" si="38"/>
        <v>0</v>
      </c>
      <c r="D115" s="773">
        <f t="shared" si="39"/>
        <v>0</v>
      </c>
      <c r="E115" s="773">
        <f t="shared" si="40"/>
        <v>0</v>
      </c>
      <c r="F115" s="152">
        <f t="shared" si="34"/>
        <v>41699</v>
      </c>
      <c r="G115" s="168">
        <f t="shared" si="35"/>
        <v>0</v>
      </c>
      <c r="H115" s="169">
        <f t="shared" si="44"/>
        <v>0</v>
      </c>
      <c r="I115" s="89">
        <f t="shared" si="36"/>
        <v>0</v>
      </c>
      <c r="J115" s="168">
        <f t="shared" si="41"/>
        <v>0</v>
      </c>
      <c r="K115" s="169">
        <f t="shared" si="45"/>
        <v>0</v>
      </c>
      <c r="L115" s="171">
        <f t="shared" si="42"/>
        <v>0</v>
      </c>
      <c r="M115" s="168">
        <f t="shared" si="43"/>
        <v>0</v>
      </c>
      <c r="N115" s="169">
        <f t="shared" si="46"/>
        <v>0</v>
      </c>
      <c r="O115" s="210">
        <f t="shared" si="37"/>
        <v>0</v>
      </c>
    </row>
    <row r="116" spans="1:15">
      <c r="A116" s="119">
        <f t="shared" si="33"/>
        <v>23</v>
      </c>
      <c r="B116" s="153">
        <v>41730</v>
      </c>
      <c r="C116" s="773">
        <f t="shared" si="38"/>
        <v>0</v>
      </c>
      <c r="D116" s="773">
        <f t="shared" si="39"/>
        <v>0</v>
      </c>
      <c r="E116" s="773">
        <f t="shared" si="40"/>
        <v>0</v>
      </c>
      <c r="F116" s="152">
        <f t="shared" si="34"/>
        <v>41730</v>
      </c>
      <c r="G116" s="168">
        <f t="shared" si="35"/>
        <v>0</v>
      </c>
      <c r="H116" s="169">
        <f t="shared" si="44"/>
        <v>0</v>
      </c>
      <c r="I116" s="89">
        <f t="shared" si="36"/>
        <v>0</v>
      </c>
      <c r="J116" s="168">
        <f t="shared" si="41"/>
        <v>0</v>
      </c>
      <c r="K116" s="169">
        <f t="shared" si="45"/>
        <v>0</v>
      </c>
      <c r="L116" s="171">
        <f t="shared" si="42"/>
        <v>0</v>
      </c>
      <c r="M116" s="168">
        <f t="shared" si="43"/>
        <v>0</v>
      </c>
      <c r="N116" s="169">
        <f t="shared" si="46"/>
        <v>0</v>
      </c>
      <c r="O116" s="210">
        <f t="shared" si="37"/>
        <v>0</v>
      </c>
    </row>
    <row r="117" spans="1:15">
      <c r="A117" s="119">
        <f t="shared" si="33"/>
        <v>24</v>
      </c>
      <c r="B117" s="153">
        <v>41760</v>
      </c>
      <c r="C117" s="773">
        <f t="shared" si="38"/>
        <v>0</v>
      </c>
      <c r="D117" s="773">
        <f t="shared" si="39"/>
        <v>0</v>
      </c>
      <c r="E117" s="773">
        <f t="shared" si="40"/>
        <v>0</v>
      </c>
      <c r="F117" s="152">
        <f t="shared" si="34"/>
        <v>41760</v>
      </c>
      <c r="G117" s="168">
        <f t="shared" si="35"/>
        <v>0</v>
      </c>
      <c r="H117" s="169">
        <f t="shared" si="44"/>
        <v>0</v>
      </c>
      <c r="I117" s="89">
        <f t="shared" si="36"/>
        <v>0</v>
      </c>
      <c r="J117" s="168">
        <f t="shared" si="41"/>
        <v>0</v>
      </c>
      <c r="K117" s="169">
        <f t="shared" si="45"/>
        <v>0</v>
      </c>
      <c r="L117" s="171">
        <f t="shared" si="42"/>
        <v>0</v>
      </c>
      <c r="M117" s="168">
        <f t="shared" si="43"/>
        <v>0</v>
      </c>
      <c r="N117" s="169">
        <f t="shared" si="46"/>
        <v>0</v>
      </c>
      <c r="O117" s="210">
        <f t="shared" si="37"/>
        <v>0</v>
      </c>
    </row>
    <row r="118" spans="1:15">
      <c r="A118" s="119">
        <f t="shared" si="33"/>
        <v>25</v>
      </c>
      <c r="B118" s="153">
        <v>41791</v>
      </c>
      <c r="C118" s="773">
        <f t="shared" si="38"/>
        <v>0</v>
      </c>
      <c r="D118" s="773">
        <f t="shared" si="39"/>
        <v>0</v>
      </c>
      <c r="E118" s="773">
        <f t="shared" si="40"/>
        <v>0</v>
      </c>
      <c r="F118" s="152">
        <f t="shared" si="34"/>
        <v>41791</v>
      </c>
      <c r="G118" s="168">
        <f t="shared" si="35"/>
        <v>0</v>
      </c>
      <c r="H118" s="169">
        <f t="shared" si="44"/>
        <v>0</v>
      </c>
      <c r="I118" s="89">
        <f t="shared" si="36"/>
        <v>0</v>
      </c>
      <c r="J118" s="168">
        <f t="shared" si="41"/>
        <v>0</v>
      </c>
      <c r="K118" s="169">
        <f t="shared" si="45"/>
        <v>0</v>
      </c>
      <c r="L118" s="171">
        <f t="shared" si="42"/>
        <v>0</v>
      </c>
      <c r="M118" s="168">
        <f t="shared" si="43"/>
        <v>0</v>
      </c>
      <c r="N118" s="169">
        <f t="shared" si="46"/>
        <v>0</v>
      </c>
      <c r="O118" s="210">
        <f t="shared" si="37"/>
        <v>0</v>
      </c>
    </row>
    <row r="119" spans="1:15">
      <c r="A119" s="119">
        <f t="shared" si="33"/>
        <v>26</v>
      </c>
      <c r="B119" s="153">
        <v>41821</v>
      </c>
      <c r="C119" s="773">
        <f t="shared" si="38"/>
        <v>0</v>
      </c>
      <c r="D119" s="773">
        <f t="shared" si="39"/>
        <v>0</v>
      </c>
      <c r="E119" s="773">
        <f t="shared" si="40"/>
        <v>0</v>
      </c>
      <c r="F119" s="152">
        <f t="shared" si="34"/>
        <v>41821</v>
      </c>
      <c r="G119" s="168">
        <f t="shared" si="35"/>
        <v>0</v>
      </c>
      <c r="H119" s="169">
        <f t="shared" si="44"/>
        <v>0</v>
      </c>
      <c r="I119" s="89">
        <f t="shared" si="36"/>
        <v>0</v>
      </c>
      <c r="J119" s="168">
        <f t="shared" si="41"/>
        <v>0</v>
      </c>
      <c r="K119" s="169">
        <f t="shared" si="45"/>
        <v>0</v>
      </c>
      <c r="L119" s="171">
        <f t="shared" si="42"/>
        <v>0</v>
      </c>
      <c r="M119" s="168">
        <f t="shared" si="43"/>
        <v>0</v>
      </c>
      <c r="N119" s="169">
        <f t="shared" si="46"/>
        <v>0</v>
      </c>
      <c r="O119" s="210">
        <f t="shared" si="37"/>
        <v>0</v>
      </c>
    </row>
    <row r="120" spans="1:15">
      <c r="A120" s="119">
        <f t="shared" si="33"/>
        <v>27</v>
      </c>
      <c r="B120" s="153">
        <v>41852</v>
      </c>
      <c r="C120" s="773">
        <f t="shared" si="38"/>
        <v>0</v>
      </c>
      <c r="D120" s="773">
        <f t="shared" si="39"/>
        <v>0</v>
      </c>
      <c r="E120" s="773">
        <f t="shared" si="40"/>
        <v>0</v>
      </c>
      <c r="F120" s="152">
        <f t="shared" si="34"/>
        <v>41852</v>
      </c>
      <c r="G120" s="168">
        <f t="shared" si="35"/>
        <v>0</v>
      </c>
      <c r="H120" s="169">
        <f t="shared" si="44"/>
        <v>0</v>
      </c>
      <c r="I120" s="89">
        <f t="shared" si="36"/>
        <v>0</v>
      </c>
      <c r="J120" s="168">
        <f t="shared" si="41"/>
        <v>0</v>
      </c>
      <c r="K120" s="169">
        <f t="shared" si="45"/>
        <v>0</v>
      </c>
      <c r="L120" s="171">
        <f t="shared" si="42"/>
        <v>0</v>
      </c>
      <c r="M120" s="168">
        <f t="shared" si="43"/>
        <v>0</v>
      </c>
      <c r="N120" s="169">
        <f t="shared" si="46"/>
        <v>0</v>
      </c>
      <c r="O120" s="210">
        <f t="shared" si="37"/>
        <v>0</v>
      </c>
    </row>
    <row r="121" spans="1:15">
      <c r="A121" s="119">
        <f t="shared" si="33"/>
        <v>28</v>
      </c>
      <c r="B121" s="153">
        <v>41883</v>
      </c>
      <c r="C121" s="773">
        <f t="shared" si="38"/>
        <v>0</v>
      </c>
      <c r="D121" s="773">
        <f t="shared" si="39"/>
        <v>0</v>
      </c>
      <c r="E121" s="773">
        <f t="shared" si="40"/>
        <v>0</v>
      </c>
      <c r="F121" s="152">
        <f t="shared" si="34"/>
        <v>41883</v>
      </c>
      <c r="G121" s="168">
        <f t="shared" si="35"/>
        <v>0</v>
      </c>
      <c r="H121" s="169">
        <f t="shared" si="44"/>
        <v>0</v>
      </c>
      <c r="I121" s="89">
        <f t="shared" si="36"/>
        <v>0</v>
      </c>
      <c r="J121" s="168">
        <f t="shared" si="41"/>
        <v>0</v>
      </c>
      <c r="K121" s="169">
        <f t="shared" si="45"/>
        <v>0</v>
      </c>
      <c r="L121" s="171">
        <f t="shared" si="42"/>
        <v>0</v>
      </c>
      <c r="M121" s="168">
        <f t="shared" si="43"/>
        <v>0</v>
      </c>
      <c r="N121" s="169">
        <f t="shared" si="46"/>
        <v>0</v>
      </c>
      <c r="O121" s="210">
        <f t="shared" si="37"/>
        <v>0</v>
      </c>
    </row>
    <row r="122" spans="1:15">
      <c r="A122" s="119">
        <f t="shared" si="33"/>
        <v>29</v>
      </c>
      <c r="B122" s="153">
        <v>41913</v>
      </c>
      <c r="C122" s="773">
        <f t="shared" si="38"/>
        <v>0</v>
      </c>
      <c r="D122" s="773">
        <f t="shared" si="39"/>
        <v>0</v>
      </c>
      <c r="E122" s="773">
        <f t="shared" si="40"/>
        <v>0</v>
      </c>
      <c r="F122" s="152">
        <f t="shared" si="34"/>
        <v>41913</v>
      </c>
      <c r="G122" s="168">
        <f t="shared" si="35"/>
        <v>0</v>
      </c>
      <c r="H122" s="169">
        <f t="shared" si="44"/>
        <v>0</v>
      </c>
      <c r="I122" s="89">
        <f t="shared" si="36"/>
        <v>0</v>
      </c>
      <c r="J122" s="168">
        <f t="shared" si="41"/>
        <v>0</v>
      </c>
      <c r="K122" s="169">
        <f t="shared" si="45"/>
        <v>0</v>
      </c>
      <c r="L122" s="171">
        <f t="shared" si="42"/>
        <v>0</v>
      </c>
      <c r="M122" s="168">
        <f t="shared" si="43"/>
        <v>0</v>
      </c>
      <c r="N122" s="169">
        <f t="shared" si="46"/>
        <v>0</v>
      </c>
      <c r="O122" s="210">
        <f t="shared" si="37"/>
        <v>0</v>
      </c>
    </row>
    <row r="123" spans="1:15">
      <c r="A123" s="119">
        <f t="shared" si="33"/>
        <v>30</v>
      </c>
      <c r="B123" s="153">
        <v>41944</v>
      </c>
      <c r="C123" s="773">
        <f t="shared" si="38"/>
        <v>0</v>
      </c>
      <c r="D123" s="773">
        <f t="shared" si="39"/>
        <v>0</v>
      </c>
      <c r="E123" s="773">
        <f t="shared" si="40"/>
        <v>0</v>
      </c>
      <c r="F123" s="152">
        <f t="shared" si="34"/>
        <v>41944</v>
      </c>
      <c r="G123" s="168">
        <f t="shared" si="35"/>
        <v>0</v>
      </c>
      <c r="H123" s="169">
        <f t="shared" si="44"/>
        <v>0</v>
      </c>
      <c r="I123" s="89">
        <f t="shared" si="36"/>
        <v>0</v>
      </c>
      <c r="J123" s="168">
        <f t="shared" si="41"/>
        <v>0</v>
      </c>
      <c r="K123" s="169">
        <f t="shared" si="45"/>
        <v>0</v>
      </c>
      <c r="L123" s="171">
        <f t="shared" si="42"/>
        <v>0</v>
      </c>
      <c r="M123" s="168">
        <f t="shared" si="43"/>
        <v>0</v>
      </c>
      <c r="N123" s="169">
        <f t="shared" si="46"/>
        <v>0</v>
      </c>
      <c r="O123" s="210">
        <f t="shared" si="37"/>
        <v>0</v>
      </c>
    </row>
    <row r="124" spans="1:15">
      <c r="A124" s="119">
        <f t="shared" si="33"/>
        <v>31</v>
      </c>
      <c r="B124" s="153">
        <v>41974</v>
      </c>
      <c r="C124" s="773">
        <f t="shared" si="38"/>
        <v>0</v>
      </c>
      <c r="D124" s="773">
        <f t="shared" si="39"/>
        <v>0</v>
      </c>
      <c r="E124" s="773">
        <f t="shared" si="40"/>
        <v>0</v>
      </c>
      <c r="F124" s="152">
        <f t="shared" si="34"/>
        <v>41974</v>
      </c>
      <c r="G124" s="168">
        <f t="shared" si="35"/>
        <v>0</v>
      </c>
      <c r="H124" s="169">
        <f t="shared" si="44"/>
        <v>0</v>
      </c>
      <c r="I124" s="89">
        <f t="shared" si="36"/>
        <v>0</v>
      </c>
      <c r="J124" s="168">
        <f t="shared" si="41"/>
        <v>0</v>
      </c>
      <c r="K124" s="169">
        <f t="shared" si="45"/>
        <v>0</v>
      </c>
      <c r="L124" s="171">
        <f t="shared" si="42"/>
        <v>0</v>
      </c>
      <c r="M124" s="168">
        <f t="shared" si="43"/>
        <v>0</v>
      </c>
      <c r="N124" s="169">
        <f t="shared" si="46"/>
        <v>0</v>
      </c>
      <c r="O124" s="210">
        <f t="shared" si="37"/>
        <v>0</v>
      </c>
    </row>
    <row r="125" spans="1:15" ht="15">
      <c r="B125" s="549"/>
      <c r="F125" s="139"/>
      <c r="G125" s="137"/>
      <c r="H125" s="132"/>
      <c r="I125" s="132"/>
      <c r="J125" s="137"/>
      <c r="K125" s="132"/>
      <c r="L125" s="149"/>
      <c r="M125" s="986"/>
      <c r="N125" s="90"/>
      <c r="O125" s="90"/>
    </row>
    <row r="126" spans="1:15">
      <c r="A126" s="119">
        <f>A124+1</f>
        <v>32</v>
      </c>
      <c r="B126" s="154" t="s">
        <v>1553</v>
      </c>
      <c r="C126" s="773">
        <f>AVERAGE(C112:C124)</f>
        <v>0</v>
      </c>
      <c r="D126" s="901">
        <f>AVERAGE(D112:D124)</f>
        <v>0</v>
      </c>
      <c r="E126" s="773">
        <f>AVERAGE(E112:E124)</f>
        <v>0</v>
      </c>
      <c r="F126" s="1001"/>
      <c r="G126" s="1002">
        <f>AVERAGE(G112:G124)</f>
        <v>0</v>
      </c>
      <c r="H126" s="901">
        <f>AVERAGE(H112:H124)</f>
        <v>0</v>
      </c>
      <c r="I126" s="901">
        <f t="shared" ref="I126:O126" si="47">AVERAGE(I112:I124)</f>
        <v>0</v>
      </c>
      <c r="J126" s="1002">
        <f t="shared" si="47"/>
        <v>0</v>
      </c>
      <c r="K126" s="901">
        <f>AVERAGE(K112:K124)</f>
        <v>0</v>
      </c>
      <c r="L126" s="984">
        <f t="shared" si="47"/>
        <v>0</v>
      </c>
      <c r="M126" s="1003">
        <f t="shared" si="47"/>
        <v>0</v>
      </c>
      <c r="N126" s="889">
        <f t="shared" si="47"/>
        <v>0</v>
      </c>
      <c r="O126" s="889">
        <f t="shared" si="47"/>
        <v>0</v>
      </c>
    </row>
    <row r="127" spans="1:15">
      <c r="A127" s="119">
        <f>A126+1</f>
        <v>33</v>
      </c>
      <c r="B127" s="154" t="s">
        <v>462</v>
      </c>
      <c r="C127" s="1001"/>
      <c r="D127" s="1893">
        <f>D124-D112</f>
        <v>0</v>
      </c>
      <c r="E127" s="1893"/>
      <c r="F127" s="139"/>
      <c r="G127" s="1894" t="s">
        <v>462</v>
      </c>
      <c r="H127" s="1893">
        <f>H124-H112</f>
        <v>0</v>
      </c>
      <c r="I127" s="1766"/>
      <c r="J127" s="1894" t="s">
        <v>462</v>
      </c>
      <c r="K127" s="1893">
        <f>K124-K112</f>
        <v>0</v>
      </c>
      <c r="L127" s="1766"/>
      <c r="M127" s="1894" t="s">
        <v>462</v>
      </c>
      <c r="N127" s="1893">
        <f>N124-N112</f>
        <v>0</v>
      </c>
      <c r="O127" s="156"/>
    </row>
    <row r="128" spans="1:15">
      <c r="B128" s="88"/>
      <c r="C128" s="1893"/>
      <c r="D128" s="1893"/>
      <c r="E128" s="1893"/>
      <c r="F128" s="139"/>
      <c r="G128" s="1895"/>
      <c r="H128" s="649"/>
      <c r="I128" s="363"/>
      <c r="J128" s="1895"/>
      <c r="K128" s="649"/>
      <c r="L128" s="929"/>
      <c r="M128" s="1895"/>
      <c r="N128" s="649"/>
      <c r="O128" s="138"/>
    </row>
    <row r="129" spans="1:15" ht="15.75">
      <c r="B129" s="742" t="s">
        <v>1547</v>
      </c>
      <c r="C129" s="1893"/>
      <c r="D129" s="1893"/>
      <c r="E129" s="1893"/>
      <c r="F129" s="139"/>
      <c r="G129" s="648"/>
      <c r="H129" s="648"/>
      <c r="I129" s="90"/>
      <c r="J129" s="648"/>
      <c r="K129" s="648"/>
      <c r="L129" s="90"/>
      <c r="M129" s="648"/>
      <c r="N129" s="648"/>
      <c r="O129" s="132"/>
    </row>
    <row r="130" spans="1:15" ht="15.75">
      <c r="B130" s="1896" t="s">
        <v>509</v>
      </c>
      <c r="C130" s="88"/>
      <c r="D130" s="88"/>
      <c r="E130" s="88"/>
      <c r="F130" s="88"/>
      <c r="G130" s="88"/>
      <c r="H130" s="88"/>
      <c r="I130" s="88"/>
      <c r="J130" s="88"/>
      <c r="K130" s="88"/>
      <c r="L130" s="88"/>
      <c r="M130" s="648"/>
      <c r="N130" s="648"/>
      <c r="O130" s="132"/>
    </row>
    <row r="131" spans="1:15" ht="15.75">
      <c r="B131" s="1896" t="s">
        <v>1113</v>
      </c>
      <c r="C131" s="88"/>
      <c r="D131" s="88"/>
      <c r="E131" s="88"/>
      <c r="F131" s="88"/>
      <c r="G131" s="88"/>
      <c r="H131" s="88"/>
      <c r="I131" s="88"/>
      <c r="J131" s="88"/>
      <c r="K131" s="88"/>
      <c r="L131" s="88"/>
      <c r="M131" s="88"/>
      <c r="N131" s="88"/>
    </row>
    <row r="132" spans="1:15" ht="15.75">
      <c r="C132" s="652"/>
    </row>
    <row r="133" spans="1:15" ht="15.75">
      <c r="L133" s="2193" t="s">
        <v>215</v>
      </c>
      <c r="M133" s="2193"/>
    </row>
    <row r="134" spans="1:15" ht="15.75">
      <c r="H134" s="248"/>
      <c r="K134" s="248"/>
      <c r="N134" s="1099"/>
      <c r="O134" s="118" t="s">
        <v>1421</v>
      </c>
    </row>
    <row r="135" spans="1:15" ht="15.75">
      <c r="A135" s="119">
        <v>1</v>
      </c>
      <c r="B135" s="74" t="s">
        <v>451</v>
      </c>
      <c r="G135" s="121" t="s">
        <v>623</v>
      </c>
      <c r="H135" s="797" t="s">
        <v>838</v>
      </c>
      <c r="I135" s="136"/>
      <c r="J135" s="121" t="s">
        <v>623</v>
      </c>
      <c r="K135" s="796" t="s">
        <v>839</v>
      </c>
      <c r="L135" s="136"/>
      <c r="M135" s="987" t="s">
        <v>623</v>
      </c>
      <c r="N135" s="796" t="s">
        <v>1350</v>
      </c>
      <c r="O135" s="144"/>
    </row>
    <row r="136" spans="1:15">
      <c r="A136" s="119">
        <f>+A135+1</f>
        <v>2</v>
      </c>
      <c r="G136" s="134" t="s">
        <v>632</v>
      </c>
      <c r="H136" s="165"/>
      <c r="I136" s="165"/>
      <c r="J136" s="134" t="s">
        <v>632</v>
      </c>
      <c r="K136" s="165"/>
      <c r="L136" s="170"/>
      <c r="M136" s="988" t="s">
        <v>632</v>
      </c>
      <c r="N136" s="165"/>
      <c r="O136" s="165"/>
    </row>
    <row r="137" spans="1:15">
      <c r="A137" s="119">
        <f>+A136+1</f>
        <v>3</v>
      </c>
      <c r="G137" s="122" t="s">
        <v>624</v>
      </c>
      <c r="H137" s="174">
        <f>IF('P-1 (Trans Plant)'!$I$91=0,0,ROUND('P-1 (Trans Plant)'!$J$90/'P-1 (Trans Plant)'!$I$91/12,6))</f>
        <v>1.4940000000000001E-3</v>
      </c>
      <c r="I137" s="123" t="s">
        <v>730</v>
      </c>
      <c r="J137" s="122" t="s">
        <v>624</v>
      </c>
      <c r="K137" s="174">
        <f>IF('P-1 (Trans Plant)'!$I$91=0,0,ROUND('P-1 (Trans Plant)'!$J$90/'P-1 (Trans Plant)'!$I$91/12,6))</f>
        <v>1.4940000000000001E-3</v>
      </c>
      <c r="L137" s="146" t="s">
        <v>730</v>
      </c>
      <c r="M137" s="988" t="s">
        <v>624</v>
      </c>
      <c r="N137" s="174">
        <f>IF('P-1 (Trans Plant)'!$I$91=0,0,ROUND('P-1 (Trans Plant)'!$J$90/'P-1 (Trans Plant)'!$I$91/12,6))</f>
        <v>1.4940000000000001E-3</v>
      </c>
      <c r="O137" s="165" t="s">
        <v>730</v>
      </c>
    </row>
    <row r="138" spans="1:15">
      <c r="A138" s="119">
        <f>+A137+1</f>
        <v>4</v>
      </c>
      <c r="G138" s="122" t="s">
        <v>627</v>
      </c>
      <c r="H138" s="210"/>
      <c r="I138" s="123"/>
      <c r="J138" s="122" t="s">
        <v>627</v>
      </c>
      <c r="K138" s="133"/>
      <c r="L138" s="146"/>
      <c r="M138" s="988" t="s">
        <v>627</v>
      </c>
      <c r="N138" s="133"/>
      <c r="O138" s="165"/>
    </row>
    <row r="139" spans="1:15">
      <c r="A139" s="119">
        <f>+A138+1</f>
        <v>5</v>
      </c>
      <c r="C139" s="2282" t="s">
        <v>54</v>
      </c>
      <c r="D139" s="2282"/>
      <c r="E139" s="2282"/>
      <c r="G139" s="122" t="s">
        <v>628</v>
      </c>
      <c r="H139" s="126"/>
      <c r="I139" s="123"/>
      <c r="J139" s="122" t="s">
        <v>628</v>
      </c>
      <c r="K139" s="126"/>
      <c r="L139" s="146"/>
      <c r="M139" s="988" t="s">
        <v>628</v>
      </c>
      <c r="N139" s="126"/>
      <c r="O139" s="165"/>
    </row>
    <row r="140" spans="1:15">
      <c r="A140" s="119">
        <f>+A139+1</f>
        <v>6</v>
      </c>
      <c r="G140" s="122" t="s">
        <v>633</v>
      </c>
      <c r="H140" s="173"/>
      <c r="I140" s="123"/>
      <c r="J140" s="122" t="s">
        <v>633</v>
      </c>
      <c r="K140" s="173"/>
      <c r="L140" s="146"/>
      <c r="M140" s="988" t="s">
        <v>633</v>
      </c>
      <c r="N140" s="173"/>
      <c r="O140" s="165"/>
    </row>
    <row r="141" spans="1:15">
      <c r="G141" s="122"/>
      <c r="H141" s="123"/>
      <c r="I141" s="123"/>
      <c r="J141" s="122"/>
      <c r="K141" s="123"/>
      <c r="L141" s="146"/>
      <c r="M141" s="988"/>
      <c r="N141" s="165"/>
      <c r="O141" s="165"/>
    </row>
    <row r="142" spans="1:15">
      <c r="B142" s="117" t="s">
        <v>394</v>
      </c>
      <c r="C142" s="117" t="s">
        <v>1045</v>
      </c>
      <c r="D142" s="117" t="s">
        <v>634</v>
      </c>
      <c r="E142" s="141" t="s">
        <v>265</v>
      </c>
      <c r="F142" s="141" t="s">
        <v>394</v>
      </c>
      <c r="G142" s="129" t="s">
        <v>1045</v>
      </c>
      <c r="H142" s="129" t="s">
        <v>634</v>
      </c>
      <c r="I142" s="147" t="s">
        <v>265</v>
      </c>
      <c r="J142" s="128" t="s">
        <v>1045</v>
      </c>
      <c r="K142" s="129" t="s">
        <v>634</v>
      </c>
      <c r="L142" s="147" t="s">
        <v>265</v>
      </c>
      <c r="M142" s="650" t="s">
        <v>1045</v>
      </c>
      <c r="N142" s="650" t="s">
        <v>634</v>
      </c>
      <c r="O142" s="989" t="s">
        <v>265</v>
      </c>
    </row>
    <row r="143" spans="1:15">
      <c r="A143" s="119">
        <f>+A140+1</f>
        <v>7</v>
      </c>
      <c r="G143" s="168">
        <f>H138</f>
        <v>0</v>
      </c>
      <c r="H143" s="131"/>
      <c r="I143" s="131"/>
      <c r="J143" s="168">
        <f>K138</f>
        <v>0</v>
      </c>
      <c r="K143" s="131"/>
      <c r="L143" s="148"/>
      <c r="M143" s="168">
        <f>N138</f>
        <v>0</v>
      </c>
      <c r="N143" s="211"/>
      <c r="O143" s="211"/>
    </row>
    <row r="144" spans="1:15">
      <c r="A144" s="119">
        <f t="shared" ref="A144:A167" si="48">+A143+1</f>
        <v>8</v>
      </c>
      <c r="B144" s="1936">
        <v>41275</v>
      </c>
      <c r="C144" s="773">
        <f>+G144+J144+M144</f>
        <v>0</v>
      </c>
      <c r="D144" s="773">
        <f>+H144+K144+N144</f>
        <v>0</v>
      </c>
      <c r="E144" s="773">
        <f>+I144+L144+O144</f>
        <v>0</v>
      </c>
      <c r="F144" s="152">
        <f t="shared" ref="F144:F167" si="49">+B144</f>
        <v>41275</v>
      </c>
      <c r="G144" s="168">
        <f t="shared" ref="G144:G167" si="50">+G143</f>
        <v>0</v>
      </c>
      <c r="H144" s="169">
        <f>ROUND(G143*H$137,0)+H139</f>
        <v>0</v>
      </c>
      <c r="I144" s="89">
        <f>+G144-H144</f>
        <v>0</v>
      </c>
      <c r="J144" s="168">
        <f>+J143</f>
        <v>0</v>
      </c>
      <c r="K144" s="169">
        <f>ROUND(J143*K$137,0)+K139</f>
        <v>0</v>
      </c>
      <c r="L144" s="171">
        <f t="shared" ref="L144:L167" si="51">+J144-K144</f>
        <v>0</v>
      </c>
      <c r="M144" s="168">
        <f>+M143</f>
        <v>0</v>
      </c>
      <c r="N144" s="169">
        <f>ROUND(M143*N$137,0)+N139</f>
        <v>0</v>
      </c>
      <c r="O144" s="210">
        <f>+M144-N144</f>
        <v>0</v>
      </c>
    </row>
    <row r="145" spans="1:15">
      <c r="A145" s="119">
        <f t="shared" si="48"/>
        <v>9</v>
      </c>
      <c r="B145" s="153">
        <v>41306</v>
      </c>
      <c r="C145" s="773">
        <f t="shared" ref="C145:C167" si="52">+G145+J145+M145</f>
        <v>0</v>
      </c>
      <c r="D145" s="773">
        <f t="shared" ref="D145:D167" si="53">+H145+K145+N145</f>
        <v>0</v>
      </c>
      <c r="E145" s="773">
        <f t="shared" ref="E145:E167" si="54">+I145+L145+O145</f>
        <v>0</v>
      </c>
      <c r="F145" s="152">
        <f t="shared" si="49"/>
        <v>41306</v>
      </c>
      <c r="G145" s="168">
        <f t="shared" si="50"/>
        <v>0</v>
      </c>
      <c r="H145" s="169">
        <f>ROUND(G144*H$137,0)+H144</f>
        <v>0</v>
      </c>
      <c r="I145" s="89">
        <f t="shared" ref="I145:I167" si="55">+G145-H145</f>
        <v>0</v>
      </c>
      <c r="J145" s="168">
        <f t="shared" ref="J145:J167" si="56">+J144</f>
        <v>0</v>
      </c>
      <c r="K145" s="169">
        <f>ROUND(J144*K$137,0)+K144</f>
        <v>0</v>
      </c>
      <c r="L145" s="171">
        <f t="shared" si="51"/>
        <v>0</v>
      </c>
      <c r="M145" s="168">
        <f t="shared" ref="M145:M167" si="57">+M144</f>
        <v>0</v>
      </c>
      <c r="N145" s="169">
        <f>ROUND(M144*N$137,0)+N144</f>
        <v>0</v>
      </c>
      <c r="O145" s="210">
        <f>+M145-N145</f>
        <v>0</v>
      </c>
    </row>
    <row r="146" spans="1:15">
      <c r="A146" s="119">
        <f t="shared" si="48"/>
        <v>10</v>
      </c>
      <c r="B146" s="153">
        <v>41334</v>
      </c>
      <c r="C146" s="773">
        <f t="shared" si="52"/>
        <v>0</v>
      </c>
      <c r="D146" s="773">
        <f t="shared" si="53"/>
        <v>0</v>
      </c>
      <c r="E146" s="773">
        <f t="shared" si="54"/>
        <v>0</v>
      </c>
      <c r="F146" s="152">
        <f t="shared" si="49"/>
        <v>41334</v>
      </c>
      <c r="G146" s="168">
        <f t="shared" si="50"/>
        <v>0</v>
      </c>
      <c r="H146" s="169">
        <f t="shared" ref="H146:H167" si="58">ROUND(G145*H$137,0)+H145</f>
        <v>0</v>
      </c>
      <c r="I146" s="89">
        <f t="shared" si="55"/>
        <v>0</v>
      </c>
      <c r="J146" s="168">
        <f t="shared" si="56"/>
        <v>0</v>
      </c>
      <c r="K146" s="169">
        <f t="shared" ref="K146:K167" si="59">ROUND(J145*K$137,0)+K145</f>
        <v>0</v>
      </c>
      <c r="L146" s="171">
        <f t="shared" si="51"/>
        <v>0</v>
      </c>
      <c r="M146" s="168">
        <f t="shared" si="57"/>
        <v>0</v>
      </c>
      <c r="N146" s="169">
        <f t="shared" ref="N146:N167" si="60">ROUND(M145*N$137,0)+N145</f>
        <v>0</v>
      </c>
      <c r="O146" s="210">
        <f t="shared" ref="O146:O167" si="61">+M146-N146</f>
        <v>0</v>
      </c>
    </row>
    <row r="147" spans="1:15">
      <c r="A147" s="119">
        <f t="shared" si="48"/>
        <v>11</v>
      </c>
      <c r="B147" s="153">
        <v>41365</v>
      </c>
      <c r="C147" s="773">
        <f t="shared" si="52"/>
        <v>0</v>
      </c>
      <c r="D147" s="773">
        <f t="shared" si="53"/>
        <v>0</v>
      </c>
      <c r="E147" s="773">
        <f t="shared" si="54"/>
        <v>0</v>
      </c>
      <c r="F147" s="152">
        <f t="shared" si="49"/>
        <v>41365</v>
      </c>
      <c r="G147" s="168">
        <f t="shared" si="50"/>
        <v>0</v>
      </c>
      <c r="H147" s="169">
        <f t="shared" si="58"/>
        <v>0</v>
      </c>
      <c r="I147" s="89">
        <f t="shared" si="55"/>
        <v>0</v>
      </c>
      <c r="J147" s="168">
        <f t="shared" si="56"/>
        <v>0</v>
      </c>
      <c r="K147" s="169">
        <f t="shared" si="59"/>
        <v>0</v>
      </c>
      <c r="L147" s="171">
        <f t="shared" si="51"/>
        <v>0</v>
      </c>
      <c r="M147" s="168">
        <f t="shared" si="57"/>
        <v>0</v>
      </c>
      <c r="N147" s="169">
        <f t="shared" si="60"/>
        <v>0</v>
      </c>
      <c r="O147" s="210">
        <f t="shared" si="61"/>
        <v>0</v>
      </c>
    </row>
    <row r="148" spans="1:15">
      <c r="A148" s="119">
        <f t="shared" si="48"/>
        <v>12</v>
      </c>
      <c r="B148" s="153">
        <v>41395</v>
      </c>
      <c r="C148" s="773">
        <f t="shared" si="52"/>
        <v>0</v>
      </c>
      <c r="D148" s="773">
        <f t="shared" si="53"/>
        <v>0</v>
      </c>
      <c r="E148" s="773">
        <f t="shared" si="54"/>
        <v>0</v>
      </c>
      <c r="F148" s="152">
        <f t="shared" si="49"/>
        <v>41395</v>
      </c>
      <c r="G148" s="168">
        <f t="shared" si="50"/>
        <v>0</v>
      </c>
      <c r="H148" s="169">
        <f t="shared" si="58"/>
        <v>0</v>
      </c>
      <c r="I148" s="89">
        <f t="shared" si="55"/>
        <v>0</v>
      </c>
      <c r="J148" s="168">
        <f t="shared" si="56"/>
        <v>0</v>
      </c>
      <c r="K148" s="169">
        <f t="shared" si="59"/>
        <v>0</v>
      </c>
      <c r="L148" s="171">
        <f t="shared" si="51"/>
        <v>0</v>
      </c>
      <c r="M148" s="168">
        <f t="shared" si="57"/>
        <v>0</v>
      </c>
      <c r="N148" s="169">
        <f t="shared" si="60"/>
        <v>0</v>
      </c>
      <c r="O148" s="210">
        <f t="shared" si="61"/>
        <v>0</v>
      </c>
    </row>
    <row r="149" spans="1:15">
      <c r="A149" s="119">
        <f t="shared" si="48"/>
        <v>13</v>
      </c>
      <c r="B149" s="153">
        <v>41426</v>
      </c>
      <c r="C149" s="773">
        <f t="shared" si="52"/>
        <v>0</v>
      </c>
      <c r="D149" s="773">
        <f t="shared" si="53"/>
        <v>0</v>
      </c>
      <c r="E149" s="773">
        <f t="shared" si="54"/>
        <v>0</v>
      </c>
      <c r="F149" s="152">
        <f t="shared" si="49"/>
        <v>41426</v>
      </c>
      <c r="G149" s="168">
        <f t="shared" si="50"/>
        <v>0</v>
      </c>
      <c r="H149" s="169">
        <f t="shared" si="58"/>
        <v>0</v>
      </c>
      <c r="I149" s="89">
        <f t="shared" si="55"/>
        <v>0</v>
      </c>
      <c r="J149" s="168">
        <f t="shared" si="56"/>
        <v>0</v>
      </c>
      <c r="K149" s="169">
        <f t="shared" si="59"/>
        <v>0</v>
      </c>
      <c r="L149" s="171">
        <f t="shared" si="51"/>
        <v>0</v>
      </c>
      <c r="M149" s="168">
        <f t="shared" si="57"/>
        <v>0</v>
      </c>
      <c r="N149" s="169">
        <f t="shared" si="60"/>
        <v>0</v>
      </c>
      <c r="O149" s="210">
        <f t="shared" si="61"/>
        <v>0</v>
      </c>
    </row>
    <row r="150" spans="1:15">
      <c r="A150" s="119">
        <f t="shared" si="48"/>
        <v>14</v>
      </c>
      <c r="B150" s="153">
        <v>41456</v>
      </c>
      <c r="C150" s="773">
        <f t="shared" si="52"/>
        <v>0</v>
      </c>
      <c r="D150" s="773">
        <f t="shared" si="53"/>
        <v>0</v>
      </c>
      <c r="E150" s="773">
        <f t="shared" si="54"/>
        <v>0</v>
      </c>
      <c r="F150" s="152">
        <f t="shared" si="49"/>
        <v>41456</v>
      </c>
      <c r="G150" s="168">
        <f t="shared" si="50"/>
        <v>0</v>
      </c>
      <c r="H150" s="169">
        <f t="shared" si="58"/>
        <v>0</v>
      </c>
      <c r="I150" s="89">
        <f t="shared" si="55"/>
        <v>0</v>
      </c>
      <c r="J150" s="168">
        <f t="shared" si="56"/>
        <v>0</v>
      </c>
      <c r="K150" s="169">
        <f t="shared" si="59"/>
        <v>0</v>
      </c>
      <c r="L150" s="171">
        <f t="shared" si="51"/>
        <v>0</v>
      </c>
      <c r="M150" s="168">
        <f t="shared" si="57"/>
        <v>0</v>
      </c>
      <c r="N150" s="169">
        <f t="shared" si="60"/>
        <v>0</v>
      </c>
      <c r="O150" s="210">
        <f t="shared" si="61"/>
        <v>0</v>
      </c>
    </row>
    <row r="151" spans="1:15">
      <c r="A151" s="119">
        <f t="shared" si="48"/>
        <v>15</v>
      </c>
      <c r="B151" s="153">
        <v>41487</v>
      </c>
      <c r="C151" s="773">
        <f t="shared" si="52"/>
        <v>0</v>
      </c>
      <c r="D151" s="773">
        <f t="shared" si="53"/>
        <v>0</v>
      </c>
      <c r="E151" s="773">
        <f t="shared" si="54"/>
        <v>0</v>
      </c>
      <c r="F151" s="152">
        <f t="shared" si="49"/>
        <v>41487</v>
      </c>
      <c r="G151" s="168">
        <f t="shared" si="50"/>
        <v>0</v>
      </c>
      <c r="H151" s="169">
        <f t="shared" si="58"/>
        <v>0</v>
      </c>
      <c r="I151" s="89">
        <f t="shared" si="55"/>
        <v>0</v>
      </c>
      <c r="J151" s="168">
        <f t="shared" si="56"/>
        <v>0</v>
      </c>
      <c r="K151" s="169">
        <f t="shared" si="59"/>
        <v>0</v>
      </c>
      <c r="L151" s="171">
        <f t="shared" si="51"/>
        <v>0</v>
      </c>
      <c r="M151" s="168">
        <f t="shared" si="57"/>
        <v>0</v>
      </c>
      <c r="N151" s="169">
        <f t="shared" si="60"/>
        <v>0</v>
      </c>
      <c r="O151" s="210">
        <f t="shared" si="61"/>
        <v>0</v>
      </c>
    </row>
    <row r="152" spans="1:15">
      <c r="A152" s="119">
        <f t="shared" si="48"/>
        <v>16</v>
      </c>
      <c r="B152" s="153">
        <v>41518</v>
      </c>
      <c r="C152" s="773">
        <f t="shared" si="52"/>
        <v>0</v>
      </c>
      <c r="D152" s="773">
        <f t="shared" si="53"/>
        <v>0</v>
      </c>
      <c r="E152" s="773">
        <f t="shared" si="54"/>
        <v>0</v>
      </c>
      <c r="F152" s="152">
        <f t="shared" si="49"/>
        <v>41518</v>
      </c>
      <c r="G152" s="168">
        <f t="shared" si="50"/>
        <v>0</v>
      </c>
      <c r="H152" s="169">
        <f t="shared" si="58"/>
        <v>0</v>
      </c>
      <c r="I152" s="89">
        <f t="shared" si="55"/>
        <v>0</v>
      </c>
      <c r="J152" s="168">
        <f t="shared" si="56"/>
        <v>0</v>
      </c>
      <c r="K152" s="169">
        <f t="shared" si="59"/>
        <v>0</v>
      </c>
      <c r="L152" s="171">
        <f t="shared" si="51"/>
        <v>0</v>
      </c>
      <c r="M152" s="168">
        <f t="shared" si="57"/>
        <v>0</v>
      </c>
      <c r="N152" s="169">
        <f t="shared" si="60"/>
        <v>0</v>
      </c>
      <c r="O152" s="210">
        <f t="shared" si="61"/>
        <v>0</v>
      </c>
    </row>
    <row r="153" spans="1:15">
      <c r="A153" s="119">
        <f t="shared" si="48"/>
        <v>17</v>
      </c>
      <c r="B153" s="153">
        <v>41548</v>
      </c>
      <c r="C153" s="773">
        <f t="shared" si="52"/>
        <v>0</v>
      </c>
      <c r="D153" s="773">
        <f t="shared" si="53"/>
        <v>0</v>
      </c>
      <c r="E153" s="773">
        <f t="shared" si="54"/>
        <v>0</v>
      </c>
      <c r="F153" s="152">
        <f t="shared" si="49"/>
        <v>41548</v>
      </c>
      <c r="G153" s="168">
        <f t="shared" si="50"/>
        <v>0</v>
      </c>
      <c r="H153" s="169">
        <f t="shared" si="58"/>
        <v>0</v>
      </c>
      <c r="I153" s="89">
        <f t="shared" si="55"/>
        <v>0</v>
      </c>
      <c r="J153" s="168">
        <f t="shared" si="56"/>
        <v>0</v>
      </c>
      <c r="K153" s="169">
        <f t="shared" si="59"/>
        <v>0</v>
      </c>
      <c r="L153" s="171">
        <f t="shared" si="51"/>
        <v>0</v>
      </c>
      <c r="M153" s="168">
        <f t="shared" si="57"/>
        <v>0</v>
      </c>
      <c r="N153" s="169">
        <f t="shared" si="60"/>
        <v>0</v>
      </c>
      <c r="O153" s="210">
        <f t="shared" si="61"/>
        <v>0</v>
      </c>
    </row>
    <row r="154" spans="1:15">
      <c r="A154" s="119">
        <f t="shared" si="48"/>
        <v>18</v>
      </c>
      <c r="B154" s="153">
        <v>41579</v>
      </c>
      <c r="C154" s="773">
        <f t="shared" si="52"/>
        <v>0</v>
      </c>
      <c r="D154" s="773">
        <f t="shared" si="53"/>
        <v>0</v>
      </c>
      <c r="E154" s="773">
        <f t="shared" si="54"/>
        <v>0</v>
      </c>
      <c r="F154" s="152">
        <f t="shared" si="49"/>
        <v>41579</v>
      </c>
      <c r="G154" s="168">
        <f t="shared" si="50"/>
        <v>0</v>
      </c>
      <c r="H154" s="169">
        <f t="shared" si="58"/>
        <v>0</v>
      </c>
      <c r="I154" s="89">
        <f t="shared" si="55"/>
        <v>0</v>
      </c>
      <c r="J154" s="168">
        <f t="shared" si="56"/>
        <v>0</v>
      </c>
      <c r="K154" s="169">
        <f t="shared" si="59"/>
        <v>0</v>
      </c>
      <c r="L154" s="171">
        <f t="shared" si="51"/>
        <v>0</v>
      </c>
      <c r="M154" s="168">
        <f t="shared" si="57"/>
        <v>0</v>
      </c>
      <c r="N154" s="169">
        <f t="shared" si="60"/>
        <v>0</v>
      </c>
      <c r="O154" s="210">
        <f t="shared" si="61"/>
        <v>0</v>
      </c>
    </row>
    <row r="155" spans="1:15">
      <c r="A155" s="119">
        <f t="shared" si="48"/>
        <v>19</v>
      </c>
      <c r="B155" s="153">
        <v>41609</v>
      </c>
      <c r="C155" s="773">
        <f t="shared" si="52"/>
        <v>0</v>
      </c>
      <c r="D155" s="773">
        <f t="shared" si="53"/>
        <v>0</v>
      </c>
      <c r="E155" s="773">
        <f t="shared" si="54"/>
        <v>0</v>
      </c>
      <c r="F155" s="152">
        <f t="shared" si="49"/>
        <v>41609</v>
      </c>
      <c r="G155" s="168">
        <f t="shared" si="50"/>
        <v>0</v>
      </c>
      <c r="H155" s="169">
        <f t="shared" si="58"/>
        <v>0</v>
      </c>
      <c r="I155" s="89">
        <f t="shared" si="55"/>
        <v>0</v>
      </c>
      <c r="J155" s="168">
        <f t="shared" si="56"/>
        <v>0</v>
      </c>
      <c r="K155" s="169">
        <f t="shared" si="59"/>
        <v>0</v>
      </c>
      <c r="L155" s="171">
        <f t="shared" si="51"/>
        <v>0</v>
      </c>
      <c r="M155" s="168">
        <f t="shared" si="57"/>
        <v>0</v>
      </c>
      <c r="N155" s="169">
        <f t="shared" si="60"/>
        <v>0</v>
      </c>
      <c r="O155" s="210">
        <f t="shared" si="61"/>
        <v>0</v>
      </c>
    </row>
    <row r="156" spans="1:15">
      <c r="A156" s="119">
        <f t="shared" si="48"/>
        <v>20</v>
      </c>
      <c r="B156" s="153">
        <v>41640</v>
      </c>
      <c r="C156" s="773">
        <f t="shared" si="52"/>
        <v>0</v>
      </c>
      <c r="D156" s="773">
        <f t="shared" si="53"/>
        <v>0</v>
      </c>
      <c r="E156" s="773">
        <f t="shared" si="54"/>
        <v>0</v>
      </c>
      <c r="F156" s="152">
        <f t="shared" si="49"/>
        <v>41640</v>
      </c>
      <c r="G156" s="168">
        <f t="shared" si="50"/>
        <v>0</v>
      </c>
      <c r="H156" s="169">
        <f t="shared" si="58"/>
        <v>0</v>
      </c>
      <c r="I156" s="89">
        <f t="shared" si="55"/>
        <v>0</v>
      </c>
      <c r="J156" s="168">
        <f t="shared" si="56"/>
        <v>0</v>
      </c>
      <c r="K156" s="169">
        <f t="shared" si="59"/>
        <v>0</v>
      </c>
      <c r="L156" s="171">
        <f t="shared" si="51"/>
        <v>0</v>
      </c>
      <c r="M156" s="168">
        <f t="shared" si="57"/>
        <v>0</v>
      </c>
      <c r="N156" s="169">
        <f t="shared" si="60"/>
        <v>0</v>
      </c>
      <c r="O156" s="210">
        <f t="shared" si="61"/>
        <v>0</v>
      </c>
    </row>
    <row r="157" spans="1:15">
      <c r="A157" s="119">
        <f t="shared" si="48"/>
        <v>21</v>
      </c>
      <c r="B157" s="153">
        <v>41671</v>
      </c>
      <c r="C157" s="773">
        <f t="shared" si="52"/>
        <v>0</v>
      </c>
      <c r="D157" s="773">
        <f t="shared" si="53"/>
        <v>0</v>
      </c>
      <c r="E157" s="773">
        <f t="shared" si="54"/>
        <v>0</v>
      </c>
      <c r="F157" s="152">
        <f t="shared" si="49"/>
        <v>41671</v>
      </c>
      <c r="G157" s="168">
        <f t="shared" si="50"/>
        <v>0</v>
      </c>
      <c r="H157" s="169">
        <f t="shared" si="58"/>
        <v>0</v>
      </c>
      <c r="I157" s="89">
        <f t="shared" si="55"/>
        <v>0</v>
      </c>
      <c r="J157" s="168">
        <f t="shared" si="56"/>
        <v>0</v>
      </c>
      <c r="K157" s="169">
        <f t="shared" si="59"/>
        <v>0</v>
      </c>
      <c r="L157" s="171">
        <f t="shared" si="51"/>
        <v>0</v>
      </c>
      <c r="M157" s="168">
        <f t="shared" si="57"/>
        <v>0</v>
      </c>
      <c r="N157" s="169">
        <f t="shared" si="60"/>
        <v>0</v>
      </c>
      <c r="O157" s="210">
        <f t="shared" si="61"/>
        <v>0</v>
      </c>
    </row>
    <row r="158" spans="1:15">
      <c r="A158" s="119">
        <f t="shared" si="48"/>
        <v>22</v>
      </c>
      <c r="B158" s="153">
        <v>41699</v>
      </c>
      <c r="C158" s="773">
        <f t="shared" si="52"/>
        <v>0</v>
      </c>
      <c r="D158" s="773">
        <f t="shared" si="53"/>
        <v>0</v>
      </c>
      <c r="E158" s="773">
        <f t="shared" si="54"/>
        <v>0</v>
      </c>
      <c r="F158" s="152">
        <f t="shared" si="49"/>
        <v>41699</v>
      </c>
      <c r="G158" s="168">
        <f t="shared" si="50"/>
        <v>0</v>
      </c>
      <c r="H158" s="169">
        <f t="shared" si="58"/>
        <v>0</v>
      </c>
      <c r="I158" s="89">
        <f t="shared" si="55"/>
        <v>0</v>
      </c>
      <c r="J158" s="168">
        <f t="shared" si="56"/>
        <v>0</v>
      </c>
      <c r="K158" s="169">
        <f t="shared" si="59"/>
        <v>0</v>
      </c>
      <c r="L158" s="171">
        <f t="shared" si="51"/>
        <v>0</v>
      </c>
      <c r="M158" s="168">
        <f t="shared" si="57"/>
        <v>0</v>
      </c>
      <c r="N158" s="169">
        <f t="shared" si="60"/>
        <v>0</v>
      </c>
      <c r="O158" s="210">
        <f t="shared" si="61"/>
        <v>0</v>
      </c>
    </row>
    <row r="159" spans="1:15">
      <c r="A159" s="119">
        <f t="shared" si="48"/>
        <v>23</v>
      </c>
      <c r="B159" s="153">
        <v>41730</v>
      </c>
      <c r="C159" s="773">
        <f t="shared" si="52"/>
        <v>0</v>
      </c>
      <c r="D159" s="773">
        <f t="shared" si="53"/>
        <v>0</v>
      </c>
      <c r="E159" s="773">
        <f t="shared" si="54"/>
        <v>0</v>
      </c>
      <c r="F159" s="152">
        <f t="shared" si="49"/>
        <v>41730</v>
      </c>
      <c r="G159" s="168">
        <f t="shared" si="50"/>
        <v>0</v>
      </c>
      <c r="H159" s="169">
        <f t="shared" si="58"/>
        <v>0</v>
      </c>
      <c r="I159" s="89">
        <f t="shared" si="55"/>
        <v>0</v>
      </c>
      <c r="J159" s="168">
        <f t="shared" si="56"/>
        <v>0</v>
      </c>
      <c r="K159" s="169">
        <f t="shared" si="59"/>
        <v>0</v>
      </c>
      <c r="L159" s="171">
        <f t="shared" si="51"/>
        <v>0</v>
      </c>
      <c r="M159" s="168">
        <f t="shared" si="57"/>
        <v>0</v>
      </c>
      <c r="N159" s="169">
        <f t="shared" si="60"/>
        <v>0</v>
      </c>
      <c r="O159" s="210">
        <f t="shared" si="61"/>
        <v>0</v>
      </c>
    </row>
    <row r="160" spans="1:15">
      <c r="A160" s="119">
        <f t="shared" si="48"/>
        <v>24</v>
      </c>
      <c r="B160" s="153">
        <v>41760</v>
      </c>
      <c r="C160" s="773">
        <f t="shared" si="52"/>
        <v>0</v>
      </c>
      <c r="D160" s="773">
        <f t="shared" si="53"/>
        <v>0</v>
      </c>
      <c r="E160" s="773">
        <f t="shared" si="54"/>
        <v>0</v>
      </c>
      <c r="F160" s="152">
        <f t="shared" si="49"/>
        <v>41760</v>
      </c>
      <c r="G160" s="168">
        <f t="shared" si="50"/>
        <v>0</v>
      </c>
      <c r="H160" s="169">
        <f t="shared" si="58"/>
        <v>0</v>
      </c>
      <c r="I160" s="89">
        <f t="shared" si="55"/>
        <v>0</v>
      </c>
      <c r="J160" s="168">
        <f t="shared" si="56"/>
        <v>0</v>
      </c>
      <c r="K160" s="169">
        <f t="shared" si="59"/>
        <v>0</v>
      </c>
      <c r="L160" s="171">
        <f t="shared" si="51"/>
        <v>0</v>
      </c>
      <c r="M160" s="168">
        <f t="shared" si="57"/>
        <v>0</v>
      </c>
      <c r="N160" s="169">
        <f t="shared" si="60"/>
        <v>0</v>
      </c>
      <c r="O160" s="210">
        <f t="shared" si="61"/>
        <v>0</v>
      </c>
    </row>
    <row r="161" spans="1:15">
      <c r="A161" s="119">
        <f t="shared" si="48"/>
        <v>25</v>
      </c>
      <c r="B161" s="153">
        <v>41791</v>
      </c>
      <c r="C161" s="773">
        <f t="shared" si="52"/>
        <v>0</v>
      </c>
      <c r="D161" s="773">
        <f t="shared" si="53"/>
        <v>0</v>
      </c>
      <c r="E161" s="773">
        <f t="shared" si="54"/>
        <v>0</v>
      </c>
      <c r="F161" s="152">
        <f t="shared" si="49"/>
        <v>41791</v>
      </c>
      <c r="G161" s="168">
        <f t="shared" si="50"/>
        <v>0</v>
      </c>
      <c r="H161" s="169">
        <f t="shared" si="58"/>
        <v>0</v>
      </c>
      <c r="I161" s="89">
        <f t="shared" si="55"/>
        <v>0</v>
      </c>
      <c r="J161" s="168">
        <f t="shared" si="56"/>
        <v>0</v>
      </c>
      <c r="K161" s="169">
        <f t="shared" si="59"/>
        <v>0</v>
      </c>
      <c r="L161" s="171">
        <f t="shared" si="51"/>
        <v>0</v>
      </c>
      <c r="M161" s="168">
        <f t="shared" si="57"/>
        <v>0</v>
      </c>
      <c r="N161" s="169">
        <f t="shared" si="60"/>
        <v>0</v>
      </c>
      <c r="O161" s="210">
        <f t="shared" si="61"/>
        <v>0</v>
      </c>
    </row>
    <row r="162" spans="1:15">
      <c r="A162" s="119">
        <f t="shared" si="48"/>
        <v>26</v>
      </c>
      <c r="B162" s="153">
        <v>41821</v>
      </c>
      <c r="C162" s="773">
        <f t="shared" si="52"/>
        <v>0</v>
      </c>
      <c r="D162" s="773">
        <f t="shared" si="53"/>
        <v>0</v>
      </c>
      <c r="E162" s="773">
        <f t="shared" si="54"/>
        <v>0</v>
      </c>
      <c r="F162" s="152">
        <f t="shared" si="49"/>
        <v>41821</v>
      </c>
      <c r="G162" s="168">
        <f t="shared" si="50"/>
        <v>0</v>
      </c>
      <c r="H162" s="169">
        <f t="shared" si="58"/>
        <v>0</v>
      </c>
      <c r="I162" s="89">
        <f t="shared" si="55"/>
        <v>0</v>
      </c>
      <c r="J162" s="168">
        <f t="shared" si="56"/>
        <v>0</v>
      </c>
      <c r="K162" s="169">
        <f t="shared" si="59"/>
        <v>0</v>
      </c>
      <c r="L162" s="171">
        <f t="shared" si="51"/>
        <v>0</v>
      </c>
      <c r="M162" s="168">
        <f t="shared" si="57"/>
        <v>0</v>
      </c>
      <c r="N162" s="169">
        <f t="shared" si="60"/>
        <v>0</v>
      </c>
      <c r="O162" s="210">
        <f t="shared" si="61"/>
        <v>0</v>
      </c>
    </row>
    <row r="163" spans="1:15">
      <c r="A163" s="119">
        <f t="shared" si="48"/>
        <v>27</v>
      </c>
      <c r="B163" s="153">
        <v>41852</v>
      </c>
      <c r="C163" s="773">
        <f t="shared" si="52"/>
        <v>0</v>
      </c>
      <c r="D163" s="773">
        <f t="shared" si="53"/>
        <v>0</v>
      </c>
      <c r="E163" s="773">
        <f t="shared" si="54"/>
        <v>0</v>
      </c>
      <c r="F163" s="152">
        <f t="shared" si="49"/>
        <v>41852</v>
      </c>
      <c r="G163" s="168">
        <f t="shared" si="50"/>
        <v>0</v>
      </c>
      <c r="H163" s="169">
        <f t="shared" si="58"/>
        <v>0</v>
      </c>
      <c r="I163" s="89">
        <f t="shared" si="55"/>
        <v>0</v>
      </c>
      <c r="J163" s="168">
        <f t="shared" si="56"/>
        <v>0</v>
      </c>
      <c r="K163" s="169">
        <f t="shared" si="59"/>
        <v>0</v>
      </c>
      <c r="L163" s="171">
        <f t="shared" si="51"/>
        <v>0</v>
      </c>
      <c r="M163" s="168">
        <f t="shared" si="57"/>
        <v>0</v>
      </c>
      <c r="N163" s="169">
        <f t="shared" si="60"/>
        <v>0</v>
      </c>
      <c r="O163" s="210">
        <f t="shared" si="61"/>
        <v>0</v>
      </c>
    </row>
    <row r="164" spans="1:15">
      <c r="A164" s="119">
        <f t="shared" si="48"/>
        <v>28</v>
      </c>
      <c r="B164" s="153">
        <v>41883</v>
      </c>
      <c r="C164" s="773">
        <f t="shared" si="52"/>
        <v>0</v>
      </c>
      <c r="D164" s="773">
        <f t="shared" si="53"/>
        <v>0</v>
      </c>
      <c r="E164" s="773">
        <f t="shared" si="54"/>
        <v>0</v>
      </c>
      <c r="F164" s="152">
        <f t="shared" si="49"/>
        <v>41883</v>
      </c>
      <c r="G164" s="168">
        <f t="shared" si="50"/>
        <v>0</v>
      </c>
      <c r="H164" s="169">
        <f t="shared" si="58"/>
        <v>0</v>
      </c>
      <c r="I164" s="89">
        <f t="shared" si="55"/>
        <v>0</v>
      </c>
      <c r="J164" s="168">
        <f t="shared" si="56"/>
        <v>0</v>
      </c>
      <c r="K164" s="169">
        <f t="shared" si="59"/>
        <v>0</v>
      </c>
      <c r="L164" s="171">
        <f t="shared" si="51"/>
        <v>0</v>
      </c>
      <c r="M164" s="168">
        <f t="shared" si="57"/>
        <v>0</v>
      </c>
      <c r="N164" s="169">
        <f t="shared" si="60"/>
        <v>0</v>
      </c>
      <c r="O164" s="210">
        <f t="shared" si="61"/>
        <v>0</v>
      </c>
    </row>
    <row r="165" spans="1:15">
      <c r="A165" s="119">
        <f t="shared" si="48"/>
        <v>29</v>
      </c>
      <c r="B165" s="153">
        <v>41913</v>
      </c>
      <c r="C165" s="773">
        <f t="shared" si="52"/>
        <v>0</v>
      </c>
      <c r="D165" s="773">
        <f t="shared" si="53"/>
        <v>0</v>
      </c>
      <c r="E165" s="773">
        <f t="shared" si="54"/>
        <v>0</v>
      </c>
      <c r="F165" s="152">
        <f t="shared" si="49"/>
        <v>41913</v>
      </c>
      <c r="G165" s="168">
        <f t="shared" si="50"/>
        <v>0</v>
      </c>
      <c r="H165" s="169">
        <f t="shared" si="58"/>
        <v>0</v>
      </c>
      <c r="I165" s="89">
        <f t="shared" si="55"/>
        <v>0</v>
      </c>
      <c r="J165" s="168">
        <f t="shared" si="56"/>
        <v>0</v>
      </c>
      <c r="K165" s="169">
        <f t="shared" si="59"/>
        <v>0</v>
      </c>
      <c r="L165" s="171">
        <f t="shared" si="51"/>
        <v>0</v>
      </c>
      <c r="M165" s="168">
        <f t="shared" si="57"/>
        <v>0</v>
      </c>
      <c r="N165" s="169">
        <f t="shared" si="60"/>
        <v>0</v>
      </c>
      <c r="O165" s="210">
        <f t="shared" si="61"/>
        <v>0</v>
      </c>
    </row>
    <row r="166" spans="1:15">
      <c r="A166" s="119">
        <f t="shared" si="48"/>
        <v>30</v>
      </c>
      <c r="B166" s="153">
        <v>41944</v>
      </c>
      <c r="C166" s="773">
        <f t="shared" si="52"/>
        <v>0</v>
      </c>
      <c r="D166" s="773">
        <f t="shared" si="53"/>
        <v>0</v>
      </c>
      <c r="E166" s="773">
        <f t="shared" si="54"/>
        <v>0</v>
      </c>
      <c r="F166" s="152">
        <f t="shared" si="49"/>
        <v>41944</v>
      </c>
      <c r="G166" s="168">
        <f t="shared" si="50"/>
        <v>0</v>
      </c>
      <c r="H166" s="169">
        <f t="shared" si="58"/>
        <v>0</v>
      </c>
      <c r="I166" s="89">
        <f t="shared" si="55"/>
        <v>0</v>
      </c>
      <c r="J166" s="168">
        <f t="shared" si="56"/>
        <v>0</v>
      </c>
      <c r="K166" s="169">
        <f t="shared" si="59"/>
        <v>0</v>
      </c>
      <c r="L166" s="171">
        <f t="shared" si="51"/>
        <v>0</v>
      </c>
      <c r="M166" s="168">
        <f t="shared" si="57"/>
        <v>0</v>
      </c>
      <c r="N166" s="169">
        <f t="shared" si="60"/>
        <v>0</v>
      </c>
      <c r="O166" s="210">
        <f t="shared" si="61"/>
        <v>0</v>
      </c>
    </row>
    <row r="167" spans="1:15">
      <c r="A167" s="119">
        <f t="shared" si="48"/>
        <v>31</v>
      </c>
      <c r="B167" s="153">
        <v>41974</v>
      </c>
      <c r="C167" s="773">
        <f t="shared" si="52"/>
        <v>0</v>
      </c>
      <c r="D167" s="773">
        <f t="shared" si="53"/>
        <v>0</v>
      </c>
      <c r="E167" s="773">
        <f t="shared" si="54"/>
        <v>0</v>
      </c>
      <c r="F167" s="152">
        <f t="shared" si="49"/>
        <v>41974</v>
      </c>
      <c r="G167" s="168">
        <f t="shared" si="50"/>
        <v>0</v>
      </c>
      <c r="H167" s="169">
        <f t="shared" si="58"/>
        <v>0</v>
      </c>
      <c r="I167" s="89">
        <f t="shared" si="55"/>
        <v>0</v>
      </c>
      <c r="J167" s="168">
        <f t="shared" si="56"/>
        <v>0</v>
      </c>
      <c r="K167" s="169">
        <f t="shared" si="59"/>
        <v>0</v>
      </c>
      <c r="L167" s="171">
        <f t="shared" si="51"/>
        <v>0</v>
      </c>
      <c r="M167" s="168">
        <f t="shared" si="57"/>
        <v>0</v>
      </c>
      <c r="N167" s="169">
        <f t="shared" si="60"/>
        <v>0</v>
      </c>
      <c r="O167" s="210">
        <f t="shared" si="61"/>
        <v>0</v>
      </c>
    </row>
    <row r="168" spans="1:15" ht="15">
      <c r="B168" s="549"/>
      <c r="F168" s="139"/>
      <c r="G168" s="137"/>
      <c r="H168" s="132"/>
      <c r="I168" s="132"/>
      <c r="J168" s="137"/>
      <c r="K168" s="132"/>
      <c r="L168" s="149"/>
      <c r="M168" s="986"/>
      <c r="N168" s="90"/>
      <c r="O168" s="90"/>
    </row>
    <row r="169" spans="1:15">
      <c r="A169" s="119">
        <f>A167+1</f>
        <v>32</v>
      </c>
      <c r="B169" s="154" t="s">
        <v>1553</v>
      </c>
      <c r="C169" s="773">
        <f>AVERAGE(C155:C167)</f>
        <v>0</v>
      </c>
      <c r="D169" s="901">
        <f>AVERAGE(D155:D167)</f>
        <v>0</v>
      </c>
      <c r="E169" s="773">
        <f>AVERAGE(E155:E167)</f>
        <v>0</v>
      </c>
      <c r="F169" s="1001"/>
      <c r="G169" s="1002">
        <f t="shared" ref="G169:L169" si="62">AVERAGE(G155:G167)</f>
        <v>0</v>
      </c>
      <c r="H169" s="901">
        <f t="shared" si="62"/>
        <v>0</v>
      </c>
      <c r="I169" s="901">
        <f t="shared" si="62"/>
        <v>0</v>
      </c>
      <c r="J169" s="1002">
        <f t="shared" si="62"/>
        <v>0</v>
      </c>
      <c r="K169" s="901">
        <f t="shared" si="62"/>
        <v>0</v>
      </c>
      <c r="L169" s="984">
        <f t="shared" si="62"/>
        <v>0</v>
      </c>
      <c r="M169" s="1003">
        <f>AVERAGE(M155:M167)</f>
        <v>0</v>
      </c>
      <c r="N169" s="889">
        <f>AVERAGE(N155:N167)</f>
        <v>0</v>
      </c>
      <c r="O169" s="889">
        <f>AVERAGE(O155:O167)</f>
        <v>0</v>
      </c>
    </row>
    <row r="170" spans="1:15">
      <c r="A170" s="119">
        <f>A169+1</f>
        <v>33</v>
      </c>
      <c r="B170" s="154" t="s">
        <v>462</v>
      </c>
      <c r="C170" s="1001"/>
      <c r="D170" s="1893">
        <f>D167-D155</f>
        <v>0</v>
      </c>
      <c r="E170" s="1893"/>
      <c r="F170" s="139"/>
      <c r="G170" s="1894" t="s">
        <v>462</v>
      </c>
      <c r="H170" s="1893">
        <f>H167-H155</f>
        <v>0</v>
      </c>
      <c r="I170" s="1766"/>
      <c r="J170" s="1894" t="s">
        <v>462</v>
      </c>
      <c r="K170" s="1893">
        <f>K167-K155</f>
        <v>0</v>
      </c>
      <c r="L170" s="1766"/>
      <c r="M170" s="1894" t="s">
        <v>462</v>
      </c>
      <c r="N170" s="1893">
        <f>N167-N155</f>
        <v>0</v>
      </c>
      <c r="O170" s="1766"/>
    </row>
    <row r="171" spans="1:15">
      <c r="B171" s="88"/>
      <c r="C171" s="1893"/>
      <c r="D171" s="1893"/>
      <c r="E171" s="1893"/>
      <c r="F171" s="139"/>
      <c r="G171" s="1895"/>
      <c r="H171" s="649"/>
      <c r="I171" s="363"/>
      <c r="J171" s="1895"/>
      <c r="K171" s="649"/>
      <c r="L171" s="929"/>
      <c r="M171" s="1895"/>
      <c r="N171" s="649"/>
      <c r="O171" s="363"/>
    </row>
    <row r="172" spans="1:15" ht="15.75">
      <c r="B172" s="742" t="s">
        <v>1547</v>
      </c>
      <c r="C172" s="88"/>
      <c r="D172" s="88"/>
      <c r="E172" s="88"/>
      <c r="F172" s="88"/>
      <c r="G172" s="88"/>
      <c r="H172" s="88"/>
      <c r="I172" s="88"/>
      <c r="J172" s="88"/>
      <c r="K172" s="88"/>
      <c r="L172" s="88"/>
      <c r="M172" s="88"/>
      <c r="N172" s="88"/>
      <c r="O172" s="88"/>
    </row>
    <row r="173" spans="1:15" ht="15.75">
      <c r="B173" s="1896" t="s">
        <v>509</v>
      </c>
      <c r="C173" s="88"/>
      <c r="D173" s="88"/>
      <c r="E173" s="88"/>
      <c r="F173" s="88"/>
      <c r="G173" s="88"/>
      <c r="H173" s="88"/>
      <c r="I173" s="88"/>
      <c r="J173" s="88"/>
      <c r="K173" s="88"/>
      <c r="L173" s="88"/>
      <c r="M173" s="88"/>
      <c r="N173" s="88"/>
      <c r="O173" s="88"/>
    </row>
    <row r="174" spans="1:15" ht="15.75">
      <c r="B174" s="1896" t="s">
        <v>1113</v>
      </c>
      <c r="C174" s="88"/>
      <c r="D174" s="88"/>
      <c r="E174" s="88"/>
      <c r="F174" s="88"/>
      <c r="G174" s="88"/>
      <c r="H174" s="88"/>
      <c r="I174" s="88"/>
      <c r="J174" s="88"/>
      <c r="K174" s="88"/>
      <c r="L174" s="88"/>
      <c r="M174" s="88"/>
      <c r="N174" s="88"/>
      <c r="O174" s="88"/>
    </row>
    <row r="175" spans="1:15" ht="15.75">
      <c r="C175" s="652"/>
    </row>
  </sheetData>
  <customSheetViews>
    <customSheetView guid="{FAA8FFD9-C96B-4A1B-8B9E-B863FD90DDBA}" scale="75" showRuler="0">
      <selection activeCell="N135" sqref="N135:N136"/>
      <rowBreaks count="3" manualBreakCount="3">
        <brk id="48" max="14" man="1"/>
        <brk id="91" max="14" man="1"/>
        <brk id="134" max="14" man="1"/>
      </rowBreaks>
      <pageMargins left="0.12" right="0" top="0.75" bottom="0.25" header="0" footer="0"/>
      <pageSetup scale="65" fitToWidth="7" orientation="landscape" r:id="rId1"/>
      <headerFooter alignWithMargins="0">
        <oddFooter>&amp;R&amp;"Arial MT,Bold"P-4</oddFooter>
      </headerFooter>
    </customSheetView>
  </customSheetViews>
  <mergeCells count="8">
    <mergeCell ref="L4:M4"/>
    <mergeCell ref="L47:M47"/>
    <mergeCell ref="L90:M90"/>
    <mergeCell ref="L133:M133"/>
    <mergeCell ref="C139:E139"/>
    <mergeCell ref="C12:E12"/>
    <mergeCell ref="C53:E53"/>
    <mergeCell ref="C96:E96"/>
  </mergeCells>
  <phoneticPr fontId="28" type="noConversion"/>
  <printOptions horizontalCentered="1"/>
  <pageMargins left="0.5" right="0.5" top="0.5" bottom="0.5" header="0" footer="0"/>
  <pageSetup scale="70" fitToWidth="7" orientation="landscape" r:id="rId2"/>
  <headerFooter alignWithMargins="0">
    <oddFooter>&amp;R&amp;"Arial MT,Bold"P-4</oddFooter>
  </headerFooter>
  <rowBreaks count="3" manualBreakCount="3">
    <brk id="46" max="14" man="1"/>
    <brk id="89" max="14" man="1"/>
    <brk id="132" max="14"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enableFormatConditionsCalculation="0">
    <pageSetUpPr fitToPage="1"/>
  </sheetPr>
  <dimension ref="A1:O47"/>
  <sheetViews>
    <sheetView view="pageBreakPreview" zoomScale="75" zoomScaleNormal="100" zoomScaleSheetLayoutView="75" workbookViewId="0">
      <selection activeCell="B56" sqref="B56"/>
    </sheetView>
  </sheetViews>
  <sheetFormatPr defaultRowHeight="12.75"/>
  <cols>
    <col min="1" max="1" width="3.33203125" style="118" customWidth="1"/>
    <col min="2" max="2" width="7.77734375" style="118" customWidth="1"/>
    <col min="3" max="3" width="10.6640625" style="118" customWidth="1"/>
    <col min="4" max="4" width="10.44140625" style="118" customWidth="1"/>
    <col min="5" max="5" width="8.6640625" style="118" customWidth="1"/>
    <col min="6" max="6" width="6" style="118" customWidth="1"/>
    <col min="7" max="7" width="12.5546875" style="118" customWidth="1"/>
    <col min="8" max="8" width="10" style="118" customWidth="1"/>
    <col min="9" max="9" width="9.33203125" style="118" customWidth="1"/>
    <col min="10" max="10" width="12.5546875" style="118" customWidth="1"/>
    <col min="11" max="11" width="10.6640625" style="118" customWidth="1"/>
    <col min="12" max="12" width="9.6640625" style="118" customWidth="1"/>
    <col min="13" max="13" width="12.5546875" style="118" customWidth="1"/>
    <col min="14" max="14" width="10.21875" style="118" customWidth="1"/>
    <col min="15" max="15" width="9.33203125" style="118" customWidth="1"/>
    <col min="16" max="16384" width="8.88671875" style="118"/>
  </cols>
  <sheetData>
    <row r="1" spans="1:15" ht="20.25">
      <c r="A1" s="91"/>
      <c r="B1" s="45" t="s">
        <v>1306</v>
      </c>
      <c r="C1" s="91"/>
      <c r="D1" s="91"/>
      <c r="M1" s="2193" t="s">
        <v>216</v>
      </c>
      <c r="N1" s="2193"/>
    </row>
    <row r="2" spans="1:15" ht="20.25">
      <c r="A2" s="91"/>
      <c r="B2" s="92" t="s">
        <v>80</v>
      </c>
      <c r="C2" s="91"/>
      <c r="D2" s="91"/>
      <c r="M2" s="1099"/>
    </row>
    <row r="3" spans="1:15" ht="18">
      <c r="A3" s="92"/>
      <c r="B3" s="47" t="str">
        <f>+'Projected Gross Rev Req'!D4</f>
        <v>For the 12 months ended - December 31, 2014</v>
      </c>
      <c r="C3" s="92"/>
      <c r="D3" s="92"/>
    </row>
    <row r="4" spans="1:15" ht="15">
      <c r="A4" s="47"/>
      <c r="B4" s="151"/>
      <c r="C4" s="116"/>
      <c r="D4" s="116"/>
      <c r="M4" s="118" t="s">
        <v>1119</v>
      </c>
    </row>
    <row r="7" spans="1:15">
      <c r="H7" s="248"/>
      <c r="K7" s="248"/>
    </row>
    <row r="8" spans="1:15" ht="15.75">
      <c r="A8" s="119">
        <v>1</v>
      </c>
      <c r="B8" s="74" t="s">
        <v>225</v>
      </c>
      <c r="G8" s="121" t="s">
        <v>623</v>
      </c>
      <c r="H8" s="797" t="s">
        <v>838</v>
      </c>
      <c r="I8" s="523"/>
      <c r="J8" s="121" t="s">
        <v>623</v>
      </c>
      <c r="K8" s="797" t="s">
        <v>839</v>
      </c>
      <c r="L8" s="523"/>
      <c r="M8" s="121" t="s">
        <v>623</v>
      </c>
      <c r="N8" s="796" t="s">
        <v>1350</v>
      </c>
      <c r="O8" s="530"/>
    </row>
    <row r="9" spans="1:15">
      <c r="A9" s="119">
        <f>+A8+1</f>
        <v>2</v>
      </c>
      <c r="G9" s="134" t="s">
        <v>632</v>
      </c>
      <c r="H9" s="165"/>
      <c r="I9" s="135"/>
      <c r="J9" s="134" t="s">
        <v>632</v>
      </c>
      <c r="K9" s="165"/>
      <c r="L9" s="135"/>
      <c r="M9" s="134" t="s">
        <v>632</v>
      </c>
      <c r="N9" s="165"/>
      <c r="O9" s="145"/>
    </row>
    <row r="10" spans="1:15">
      <c r="A10" s="119">
        <f>+A9+1</f>
        <v>3</v>
      </c>
      <c r="G10" s="122" t="s">
        <v>624</v>
      </c>
      <c r="H10" s="174">
        <f>IF('P-1 (Trans Plant)'!$I$91=0,0,ROUND('P-1 (Trans Plant)'!$J$90/'P-1 (Trans Plant)'!$I$91/12,6))</f>
        <v>1.4940000000000001E-3</v>
      </c>
      <c r="I10" s="123" t="s">
        <v>730</v>
      </c>
      <c r="J10" s="122" t="s">
        <v>624</v>
      </c>
      <c r="K10" s="174">
        <f>IF('P-1 (Trans Plant)'!$I$91=0,0,ROUND('P-1 (Trans Plant)'!$J$90/'P-1 (Trans Plant)'!$I$91/12,6))</f>
        <v>1.4940000000000001E-3</v>
      </c>
      <c r="L10" s="123" t="s">
        <v>730</v>
      </c>
      <c r="M10" s="122" t="s">
        <v>624</v>
      </c>
      <c r="N10" s="174">
        <f>IF('P-1 (Trans Plant)'!$I$91=0,0,ROUND('P-1 (Trans Plant)'!$J$90/'P-1 (Trans Plant)'!$I$91/12,6))</f>
        <v>1.4940000000000001E-3</v>
      </c>
      <c r="O10" s="146" t="s">
        <v>730</v>
      </c>
    </row>
    <row r="11" spans="1:15">
      <c r="A11" s="119">
        <f>+A10+1</f>
        <v>4</v>
      </c>
      <c r="G11" s="122" t="s">
        <v>627</v>
      </c>
      <c r="H11" s="210"/>
      <c r="I11" s="123"/>
      <c r="J11" s="122" t="s">
        <v>627</v>
      </c>
      <c r="K11" s="133"/>
      <c r="L11" s="123"/>
      <c r="M11" s="122" t="s">
        <v>627</v>
      </c>
      <c r="N11" s="133"/>
      <c r="O11" s="146"/>
    </row>
    <row r="12" spans="1:15">
      <c r="A12" s="119">
        <f>+A11+1</f>
        <v>5</v>
      </c>
      <c r="C12" s="2282" t="s">
        <v>54</v>
      </c>
      <c r="D12" s="2282"/>
      <c r="E12" s="2282"/>
      <c r="G12" s="122" t="s">
        <v>628</v>
      </c>
      <c r="H12" s="126"/>
      <c r="I12" s="123"/>
      <c r="J12" s="122" t="s">
        <v>628</v>
      </c>
      <c r="K12" s="126"/>
      <c r="L12" s="123"/>
      <c r="M12" s="122" t="s">
        <v>628</v>
      </c>
      <c r="N12" s="126"/>
      <c r="O12" s="146"/>
    </row>
    <row r="13" spans="1:15">
      <c r="A13" s="119">
        <f>+A12+1</f>
        <v>6</v>
      </c>
      <c r="G13" s="122" t="s">
        <v>633</v>
      </c>
      <c r="H13" s="1940"/>
      <c r="I13" s="123"/>
      <c r="J13" s="122" t="s">
        <v>633</v>
      </c>
      <c r="K13" s="173"/>
      <c r="L13" s="123"/>
      <c r="M13" s="122" t="s">
        <v>633</v>
      </c>
      <c r="N13" s="173"/>
      <c r="O13" s="146"/>
    </row>
    <row r="14" spans="1:15">
      <c r="G14" s="122"/>
      <c r="H14" s="123"/>
      <c r="I14" s="123"/>
      <c r="J14" s="122"/>
      <c r="K14" s="123"/>
      <c r="L14" s="123"/>
      <c r="M14" s="122"/>
      <c r="N14" s="123"/>
      <c r="O14" s="146"/>
    </row>
    <row r="15" spans="1:15">
      <c r="B15" s="117" t="s">
        <v>394</v>
      </c>
      <c r="C15" s="117" t="s">
        <v>1045</v>
      </c>
      <c r="D15" s="117" t="s">
        <v>634</v>
      </c>
      <c r="E15" s="117" t="s">
        <v>265</v>
      </c>
      <c r="F15" s="141" t="s">
        <v>394</v>
      </c>
      <c r="G15" s="129" t="s">
        <v>1045</v>
      </c>
      <c r="H15" s="129" t="s">
        <v>634</v>
      </c>
      <c r="I15" s="147" t="s">
        <v>265</v>
      </c>
      <c r="J15" s="129" t="s">
        <v>1045</v>
      </c>
      <c r="K15" s="129" t="s">
        <v>634</v>
      </c>
      <c r="L15" s="147" t="s">
        <v>265</v>
      </c>
      <c r="M15" s="128" t="s">
        <v>1045</v>
      </c>
      <c r="N15" s="129" t="s">
        <v>634</v>
      </c>
      <c r="O15" s="147" t="s">
        <v>265</v>
      </c>
    </row>
    <row r="16" spans="1:15">
      <c r="A16" s="119">
        <f>+A13+1</f>
        <v>7</v>
      </c>
      <c r="G16" s="168">
        <v>0</v>
      </c>
      <c r="H16" s="131"/>
      <c r="I16" s="131"/>
      <c r="J16" s="168">
        <f>K11</f>
        <v>0</v>
      </c>
      <c r="K16" s="131"/>
      <c r="L16" s="131"/>
      <c r="M16" s="1320">
        <f>N11</f>
        <v>0</v>
      </c>
      <c r="N16" s="1321"/>
      <c r="O16" s="1322"/>
    </row>
    <row r="17" spans="1:15">
      <c r="A17" s="119">
        <f t="shared" ref="A17:A40" si="0">+A16+1</f>
        <v>8</v>
      </c>
      <c r="B17" s="1936">
        <v>41275</v>
      </c>
      <c r="C17" s="773">
        <f>+G17+J17+M17</f>
        <v>0</v>
      </c>
      <c r="D17" s="773">
        <f>+H17+K17+N17</f>
        <v>0</v>
      </c>
      <c r="E17" s="773">
        <f>+I17+L17+O17</f>
        <v>0</v>
      </c>
      <c r="F17" s="152">
        <f t="shared" ref="F17:F40" si="1">+B17</f>
        <v>41275</v>
      </c>
      <c r="G17" s="168">
        <f>H11</f>
        <v>0</v>
      </c>
      <c r="H17" s="1838">
        <f>ROUND(G16*H$10,0)+H12</f>
        <v>0</v>
      </c>
      <c r="I17" s="89">
        <f t="shared" ref="I17:I40" si="2">+G17-H17</f>
        <v>0</v>
      </c>
      <c r="J17" s="168">
        <f>+J16</f>
        <v>0</v>
      </c>
      <c r="K17" s="1838">
        <f>ROUND(J16*K$10,0)+K12</f>
        <v>0</v>
      </c>
      <c r="L17" s="89">
        <f t="shared" ref="L17:L40" si="3">+J17-K17</f>
        <v>0</v>
      </c>
      <c r="M17" s="168">
        <f>+M16</f>
        <v>0</v>
      </c>
      <c r="N17" s="1838">
        <f>ROUND(M16*N$10,0)+N12</f>
        <v>0</v>
      </c>
      <c r="O17" s="171">
        <f t="shared" ref="O17:O40" si="4">+M17-N17</f>
        <v>0</v>
      </c>
    </row>
    <row r="18" spans="1:15">
      <c r="A18" s="119">
        <f t="shared" si="0"/>
        <v>9</v>
      </c>
      <c r="B18" s="153">
        <v>41306</v>
      </c>
      <c r="C18" s="773">
        <f t="shared" ref="C18:C40" si="5">+G18+J18+M18</f>
        <v>0</v>
      </c>
      <c r="D18" s="773">
        <f t="shared" ref="D18:D40" si="6">+H18+K18+N18</f>
        <v>0</v>
      </c>
      <c r="E18" s="773">
        <f t="shared" ref="E18:E40" si="7">+I18+L18+O18</f>
        <v>0</v>
      </c>
      <c r="F18" s="152">
        <f t="shared" si="1"/>
        <v>41306</v>
      </c>
      <c r="G18" s="168">
        <f t="shared" ref="G18:G40" si="8">+G17</f>
        <v>0</v>
      </c>
      <c r="H18" s="1838">
        <f>ROUND(G17*H$10,0)+H17</f>
        <v>0</v>
      </c>
      <c r="I18" s="89">
        <f t="shared" si="2"/>
        <v>0</v>
      </c>
      <c r="J18" s="168">
        <f t="shared" ref="J18:J40" si="9">+J17</f>
        <v>0</v>
      </c>
      <c r="K18" s="1838">
        <f>ROUND(J17*K$10,0)+K17</f>
        <v>0</v>
      </c>
      <c r="L18" s="89">
        <f t="shared" si="3"/>
        <v>0</v>
      </c>
      <c r="M18" s="168">
        <f t="shared" ref="M18:M40" si="10">+M17</f>
        <v>0</v>
      </c>
      <c r="N18" s="1838">
        <f>ROUND(M17*N$10,0)+N17</f>
        <v>0</v>
      </c>
      <c r="O18" s="171">
        <f t="shared" si="4"/>
        <v>0</v>
      </c>
    </row>
    <row r="19" spans="1:15">
      <c r="A19" s="119">
        <f t="shared" si="0"/>
        <v>10</v>
      </c>
      <c r="B19" s="153">
        <v>41334</v>
      </c>
      <c r="C19" s="773">
        <f t="shared" si="5"/>
        <v>0</v>
      </c>
      <c r="D19" s="773">
        <f t="shared" si="6"/>
        <v>0</v>
      </c>
      <c r="E19" s="773">
        <f t="shared" si="7"/>
        <v>0</v>
      </c>
      <c r="F19" s="152">
        <f t="shared" si="1"/>
        <v>41334</v>
      </c>
      <c r="G19" s="168">
        <f t="shared" si="8"/>
        <v>0</v>
      </c>
      <c r="H19" s="1838">
        <f>ROUND(G18*H$10,0)+H18</f>
        <v>0</v>
      </c>
      <c r="I19" s="89">
        <f t="shared" si="2"/>
        <v>0</v>
      </c>
      <c r="J19" s="168">
        <f t="shared" si="9"/>
        <v>0</v>
      </c>
      <c r="K19" s="1838">
        <f t="shared" ref="K19:K40" si="11">ROUND(J18*K$10,0)+K18</f>
        <v>0</v>
      </c>
      <c r="L19" s="89">
        <f t="shared" si="3"/>
        <v>0</v>
      </c>
      <c r="M19" s="168">
        <f t="shared" si="10"/>
        <v>0</v>
      </c>
      <c r="N19" s="1838">
        <f t="shared" ref="N19:N40" si="12">ROUND(M18*N$10,0)+N18</f>
        <v>0</v>
      </c>
      <c r="O19" s="171">
        <f t="shared" si="4"/>
        <v>0</v>
      </c>
    </row>
    <row r="20" spans="1:15">
      <c r="A20" s="119">
        <f t="shared" si="0"/>
        <v>11</v>
      </c>
      <c r="B20" s="153">
        <v>41365</v>
      </c>
      <c r="C20" s="773">
        <f t="shared" si="5"/>
        <v>0</v>
      </c>
      <c r="D20" s="773">
        <f t="shared" si="6"/>
        <v>0</v>
      </c>
      <c r="E20" s="773">
        <f t="shared" si="7"/>
        <v>0</v>
      </c>
      <c r="F20" s="152">
        <f t="shared" si="1"/>
        <v>41365</v>
      </c>
      <c r="G20" s="168">
        <f t="shared" si="8"/>
        <v>0</v>
      </c>
      <c r="H20" s="1838">
        <f>ROUND(G19*H$10,0)+H19</f>
        <v>0</v>
      </c>
      <c r="I20" s="89">
        <f t="shared" si="2"/>
        <v>0</v>
      </c>
      <c r="J20" s="168">
        <f t="shared" si="9"/>
        <v>0</v>
      </c>
      <c r="K20" s="1838">
        <f t="shared" si="11"/>
        <v>0</v>
      </c>
      <c r="L20" s="89">
        <f t="shared" si="3"/>
        <v>0</v>
      </c>
      <c r="M20" s="168">
        <f t="shared" si="10"/>
        <v>0</v>
      </c>
      <c r="N20" s="1838">
        <f t="shared" si="12"/>
        <v>0</v>
      </c>
      <c r="O20" s="171">
        <f t="shared" si="4"/>
        <v>0</v>
      </c>
    </row>
    <row r="21" spans="1:15">
      <c r="A21" s="119">
        <f t="shared" si="0"/>
        <v>12</v>
      </c>
      <c r="B21" s="153">
        <v>41395</v>
      </c>
      <c r="C21" s="773">
        <f t="shared" si="5"/>
        <v>0</v>
      </c>
      <c r="D21" s="773">
        <f t="shared" si="6"/>
        <v>0</v>
      </c>
      <c r="E21" s="773">
        <f t="shared" si="7"/>
        <v>0</v>
      </c>
      <c r="F21" s="152">
        <f t="shared" si="1"/>
        <v>41395</v>
      </c>
      <c r="G21" s="168">
        <f t="shared" si="8"/>
        <v>0</v>
      </c>
      <c r="H21" s="1838">
        <f t="shared" ref="H21:H40" si="13">ROUND(G20*H$10,0)+H20</f>
        <v>0</v>
      </c>
      <c r="I21" s="89">
        <f t="shared" si="2"/>
        <v>0</v>
      </c>
      <c r="J21" s="168">
        <f t="shared" si="9"/>
        <v>0</v>
      </c>
      <c r="K21" s="1838">
        <f t="shared" si="11"/>
        <v>0</v>
      </c>
      <c r="L21" s="89">
        <f t="shared" si="3"/>
        <v>0</v>
      </c>
      <c r="M21" s="168">
        <f t="shared" si="10"/>
        <v>0</v>
      </c>
      <c r="N21" s="1838">
        <f t="shared" si="12"/>
        <v>0</v>
      </c>
      <c r="O21" s="171">
        <f t="shared" si="4"/>
        <v>0</v>
      </c>
    </row>
    <row r="22" spans="1:15">
      <c r="A22" s="119">
        <f t="shared" si="0"/>
        <v>13</v>
      </c>
      <c r="B22" s="153">
        <v>41426</v>
      </c>
      <c r="C22" s="773">
        <f t="shared" si="5"/>
        <v>0</v>
      </c>
      <c r="D22" s="773">
        <f t="shared" si="6"/>
        <v>0</v>
      </c>
      <c r="E22" s="773">
        <f t="shared" si="7"/>
        <v>0</v>
      </c>
      <c r="F22" s="152">
        <f t="shared" si="1"/>
        <v>41426</v>
      </c>
      <c r="G22" s="168">
        <f t="shared" si="8"/>
        <v>0</v>
      </c>
      <c r="H22" s="1838">
        <f t="shared" si="13"/>
        <v>0</v>
      </c>
      <c r="I22" s="89">
        <f t="shared" si="2"/>
        <v>0</v>
      </c>
      <c r="J22" s="168">
        <f t="shared" si="9"/>
        <v>0</v>
      </c>
      <c r="K22" s="1838">
        <f t="shared" si="11"/>
        <v>0</v>
      </c>
      <c r="L22" s="89">
        <f t="shared" si="3"/>
        <v>0</v>
      </c>
      <c r="M22" s="168">
        <f t="shared" si="10"/>
        <v>0</v>
      </c>
      <c r="N22" s="1838">
        <f t="shared" si="12"/>
        <v>0</v>
      </c>
      <c r="O22" s="171">
        <f t="shared" si="4"/>
        <v>0</v>
      </c>
    </row>
    <row r="23" spans="1:15">
      <c r="A23" s="119">
        <f t="shared" si="0"/>
        <v>14</v>
      </c>
      <c r="B23" s="153">
        <v>41456</v>
      </c>
      <c r="C23" s="773">
        <f t="shared" si="5"/>
        <v>0</v>
      </c>
      <c r="D23" s="773">
        <f t="shared" si="6"/>
        <v>0</v>
      </c>
      <c r="E23" s="773">
        <f t="shared" si="7"/>
        <v>0</v>
      </c>
      <c r="F23" s="152">
        <f t="shared" si="1"/>
        <v>41456</v>
      </c>
      <c r="G23" s="168">
        <f t="shared" si="8"/>
        <v>0</v>
      </c>
      <c r="H23" s="1838">
        <f t="shared" si="13"/>
        <v>0</v>
      </c>
      <c r="I23" s="89">
        <f t="shared" si="2"/>
        <v>0</v>
      </c>
      <c r="J23" s="168">
        <f t="shared" si="9"/>
        <v>0</v>
      </c>
      <c r="K23" s="1838">
        <f t="shared" si="11"/>
        <v>0</v>
      </c>
      <c r="L23" s="89">
        <f t="shared" si="3"/>
        <v>0</v>
      </c>
      <c r="M23" s="168">
        <f t="shared" si="10"/>
        <v>0</v>
      </c>
      <c r="N23" s="1838">
        <f t="shared" si="12"/>
        <v>0</v>
      </c>
      <c r="O23" s="171">
        <f t="shared" si="4"/>
        <v>0</v>
      </c>
    </row>
    <row r="24" spans="1:15">
      <c r="A24" s="119">
        <f t="shared" si="0"/>
        <v>15</v>
      </c>
      <c r="B24" s="153">
        <v>41487</v>
      </c>
      <c r="C24" s="773">
        <f t="shared" si="5"/>
        <v>0</v>
      </c>
      <c r="D24" s="773">
        <f t="shared" si="6"/>
        <v>0</v>
      </c>
      <c r="E24" s="773">
        <f t="shared" si="7"/>
        <v>0</v>
      </c>
      <c r="F24" s="152">
        <f t="shared" si="1"/>
        <v>41487</v>
      </c>
      <c r="G24" s="168">
        <f t="shared" si="8"/>
        <v>0</v>
      </c>
      <c r="H24" s="1838">
        <f t="shared" si="13"/>
        <v>0</v>
      </c>
      <c r="I24" s="89">
        <f t="shared" si="2"/>
        <v>0</v>
      </c>
      <c r="J24" s="168">
        <f t="shared" si="9"/>
        <v>0</v>
      </c>
      <c r="K24" s="1838">
        <f t="shared" si="11"/>
        <v>0</v>
      </c>
      <c r="L24" s="89">
        <f t="shared" si="3"/>
        <v>0</v>
      </c>
      <c r="M24" s="168">
        <f t="shared" si="10"/>
        <v>0</v>
      </c>
      <c r="N24" s="1838">
        <f t="shared" si="12"/>
        <v>0</v>
      </c>
      <c r="O24" s="171">
        <f t="shared" si="4"/>
        <v>0</v>
      </c>
    </row>
    <row r="25" spans="1:15">
      <c r="A25" s="119">
        <f t="shared" si="0"/>
        <v>16</v>
      </c>
      <c r="B25" s="153">
        <v>41518</v>
      </c>
      <c r="C25" s="773">
        <f t="shared" si="5"/>
        <v>0</v>
      </c>
      <c r="D25" s="773">
        <f t="shared" si="6"/>
        <v>0</v>
      </c>
      <c r="E25" s="773">
        <f t="shared" si="7"/>
        <v>0</v>
      </c>
      <c r="F25" s="152">
        <f t="shared" si="1"/>
        <v>41518</v>
      </c>
      <c r="G25" s="168">
        <f t="shared" si="8"/>
        <v>0</v>
      </c>
      <c r="H25" s="1838">
        <f t="shared" si="13"/>
        <v>0</v>
      </c>
      <c r="I25" s="89">
        <f t="shared" si="2"/>
        <v>0</v>
      </c>
      <c r="J25" s="168">
        <f t="shared" si="9"/>
        <v>0</v>
      </c>
      <c r="K25" s="1838">
        <f t="shared" si="11"/>
        <v>0</v>
      </c>
      <c r="L25" s="89">
        <f t="shared" si="3"/>
        <v>0</v>
      </c>
      <c r="M25" s="168">
        <f t="shared" si="10"/>
        <v>0</v>
      </c>
      <c r="N25" s="1838">
        <f t="shared" si="12"/>
        <v>0</v>
      </c>
      <c r="O25" s="171">
        <f t="shared" si="4"/>
        <v>0</v>
      </c>
    </row>
    <row r="26" spans="1:15">
      <c r="A26" s="119">
        <f t="shared" si="0"/>
        <v>17</v>
      </c>
      <c r="B26" s="153">
        <v>41548</v>
      </c>
      <c r="C26" s="773">
        <f t="shared" si="5"/>
        <v>0</v>
      </c>
      <c r="D26" s="773">
        <f t="shared" si="6"/>
        <v>0</v>
      </c>
      <c r="E26" s="773">
        <f t="shared" si="7"/>
        <v>0</v>
      </c>
      <c r="F26" s="152">
        <f t="shared" si="1"/>
        <v>41548</v>
      </c>
      <c r="G26" s="168">
        <f t="shared" si="8"/>
        <v>0</v>
      </c>
      <c r="H26" s="1838">
        <f t="shared" si="13"/>
        <v>0</v>
      </c>
      <c r="I26" s="89">
        <f t="shared" si="2"/>
        <v>0</v>
      </c>
      <c r="J26" s="168">
        <f t="shared" si="9"/>
        <v>0</v>
      </c>
      <c r="K26" s="1838">
        <f t="shared" si="11"/>
        <v>0</v>
      </c>
      <c r="L26" s="89">
        <f t="shared" si="3"/>
        <v>0</v>
      </c>
      <c r="M26" s="168">
        <f t="shared" si="10"/>
        <v>0</v>
      </c>
      <c r="N26" s="1838">
        <f t="shared" si="12"/>
        <v>0</v>
      </c>
      <c r="O26" s="171">
        <f t="shared" si="4"/>
        <v>0</v>
      </c>
    </row>
    <row r="27" spans="1:15">
      <c r="A27" s="119">
        <f t="shared" si="0"/>
        <v>18</v>
      </c>
      <c r="B27" s="153">
        <v>41579</v>
      </c>
      <c r="C27" s="773">
        <f t="shared" si="5"/>
        <v>0</v>
      </c>
      <c r="D27" s="773">
        <f t="shared" si="6"/>
        <v>0</v>
      </c>
      <c r="E27" s="773">
        <f t="shared" si="7"/>
        <v>0</v>
      </c>
      <c r="F27" s="152">
        <f t="shared" si="1"/>
        <v>41579</v>
      </c>
      <c r="G27" s="168">
        <f t="shared" si="8"/>
        <v>0</v>
      </c>
      <c r="H27" s="1838">
        <f t="shared" si="13"/>
        <v>0</v>
      </c>
      <c r="I27" s="89">
        <f t="shared" si="2"/>
        <v>0</v>
      </c>
      <c r="J27" s="168">
        <f t="shared" si="9"/>
        <v>0</v>
      </c>
      <c r="K27" s="1838">
        <f t="shared" si="11"/>
        <v>0</v>
      </c>
      <c r="L27" s="89">
        <f t="shared" si="3"/>
        <v>0</v>
      </c>
      <c r="M27" s="168">
        <f t="shared" si="10"/>
        <v>0</v>
      </c>
      <c r="N27" s="1838">
        <f t="shared" si="12"/>
        <v>0</v>
      </c>
      <c r="O27" s="171">
        <f t="shared" si="4"/>
        <v>0</v>
      </c>
    </row>
    <row r="28" spans="1:15">
      <c r="A28" s="119">
        <f t="shared" si="0"/>
        <v>19</v>
      </c>
      <c r="B28" s="153">
        <v>41609</v>
      </c>
      <c r="C28" s="773">
        <f t="shared" si="5"/>
        <v>0</v>
      </c>
      <c r="D28" s="773">
        <f t="shared" si="6"/>
        <v>0</v>
      </c>
      <c r="E28" s="773">
        <f t="shared" si="7"/>
        <v>0</v>
      </c>
      <c r="F28" s="152">
        <f t="shared" si="1"/>
        <v>41609</v>
      </c>
      <c r="G28" s="168">
        <f t="shared" si="8"/>
        <v>0</v>
      </c>
      <c r="H28" s="1838">
        <f t="shared" si="13"/>
        <v>0</v>
      </c>
      <c r="I28" s="89">
        <f t="shared" si="2"/>
        <v>0</v>
      </c>
      <c r="J28" s="168">
        <f t="shared" si="9"/>
        <v>0</v>
      </c>
      <c r="K28" s="1838">
        <f t="shared" si="11"/>
        <v>0</v>
      </c>
      <c r="L28" s="89">
        <f t="shared" si="3"/>
        <v>0</v>
      </c>
      <c r="M28" s="168">
        <f t="shared" si="10"/>
        <v>0</v>
      </c>
      <c r="N28" s="1838">
        <f t="shared" si="12"/>
        <v>0</v>
      </c>
      <c r="O28" s="171">
        <f t="shared" si="4"/>
        <v>0</v>
      </c>
    </row>
    <row r="29" spans="1:15">
      <c r="A29" s="119">
        <f t="shared" si="0"/>
        <v>20</v>
      </c>
      <c r="B29" s="153">
        <v>41640</v>
      </c>
      <c r="C29" s="773">
        <f t="shared" si="5"/>
        <v>0</v>
      </c>
      <c r="D29" s="773">
        <f t="shared" si="6"/>
        <v>0</v>
      </c>
      <c r="E29" s="773">
        <f t="shared" si="7"/>
        <v>0</v>
      </c>
      <c r="F29" s="152">
        <f t="shared" si="1"/>
        <v>41640</v>
      </c>
      <c r="G29" s="168">
        <f t="shared" si="8"/>
        <v>0</v>
      </c>
      <c r="H29" s="1838">
        <f t="shared" si="13"/>
        <v>0</v>
      </c>
      <c r="I29" s="89">
        <f t="shared" si="2"/>
        <v>0</v>
      </c>
      <c r="J29" s="168">
        <f t="shared" si="9"/>
        <v>0</v>
      </c>
      <c r="K29" s="1838">
        <f t="shared" si="11"/>
        <v>0</v>
      </c>
      <c r="L29" s="89">
        <f t="shared" si="3"/>
        <v>0</v>
      </c>
      <c r="M29" s="168">
        <f t="shared" si="10"/>
        <v>0</v>
      </c>
      <c r="N29" s="1838">
        <f t="shared" si="12"/>
        <v>0</v>
      </c>
      <c r="O29" s="171">
        <f t="shared" si="4"/>
        <v>0</v>
      </c>
    </row>
    <row r="30" spans="1:15">
      <c r="A30" s="119">
        <f t="shared" si="0"/>
        <v>21</v>
      </c>
      <c r="B30" s="153">
        <v>41671</v>
      </c>
      <c r="C30" s="773">
        <f t="shared" si="5"/>
        <v>0</v>
      </c>
      <c r="D30" s="773">
        <f t="shared" si="6"/>
        <v>0</v>
      </c>
      <c r="E30" s="773">
        <f t="shared" si="7"/>
        <v>0</v>
      </c>
      <c r="F30" s="152">
        <f t="shared" si="1"/>
        <v>41671</v>
      </c>
      <c r="G30" s="168">
        <f t="shared" si="8"/>
        <v>0</v>
      </c>
      <c r="H30" s="1838">
        <f t="shared" si="13"/>
        <v>0</v>
      </c>
      <c r="I30" s="89">
        <f t="shared" si="2"/>
        <v>0</v>
      </c>
      <c r="J30" s="168">
        <f t="shared" si="9"/>
        <v>0</v>
      </c>
      <c r="K30" s="1838">
        <f t="shared" si="11"/>
        <v>0</v>
      </c>
      <c r="L30" s="89">
        <f t="shared" si="3"/>
        <v>0</v>
      </c>
      <c r="M30" s="168">
        <f t="shared" si="10"/>
        <v>0</v>
      </c>
      <c r="N30" s="1838">
        <f t="shared" si="12"/>
        <v>0</v>
      </c>
      <c r="O30" s="171">
        <f t="shared" si="4"/>
        <v>0</v>
      </c>
    </row>
    <row r="31" spans="1:15">
      <c r="A31" s="119">
        <f t="shared" si="0"/>
        <v>22</v>
      </c>
      <c r="B31" s="153">
        <v>41699</v>
      </c>
      <c r="C31" s="773">
        <f t="shared" si="5"/>
        <v>0</v>
      </c>
      <c r="D31" s="773">
        <f t="shared" si="6"/>
        <v>0</v>
      </c>
      <c r="E31" s="773">
        <f t="shared" si="7"/>
        <v>0</v>
      </c>
      <c r="F31" s="152">
        <f t="shared" si="1"/>
        <v>41699</v>
      </c>
      <c r="G31" s="168">
        <f t="shared" si="8"/>
        <v>0</v>
      </c>
      <c r="H31" s="1838">
        <f t="shared" si="13"/>
        <v>0</v>
      </c>
      <c r="I31" s="89">
        <f t="shared" si="2"/>
        <v>0</v>
      </c>
      <c r="J31" s="168">
        <f t="shared" si="9"/>
        <v>0</v>
      </c>
      <c r="K31" s="1838">
        <f t="shared" si="11"/>
        <v>0</v>
      </c>
      <c r="L31" s="89">
        <f t="shared" si="3"/>
        <v>0</v>
      </c>
      <c r="M31" s="168">
        <f t="shared" si="10"/>
        <v>0</v>
      </c>
      <c r="N31" s="1838">
        <f t="shared" si="12"/>
        <v>0</v>
      </c>
      <c r="O31" s="171">
        <f t="shared" si="4"/>
        <v>0</v>
      </c>
    </row>
    <row r="32" spans="1:15">
      <c r="A32" s="119">
        <f t="shared" si="0"/>
        <v>23</v>
      </c>
      <c r="B32" s="153">
        <v>41730</v>
      </c>
      <c r="C32" s="773">
        <f t="shared" si="5"/>
        <v>0</v>
      </c>
      <c r="D32" s="773">
        <f t="shared" si="6"/>
        <v>0</v>
      </c>
      <c r="E32" s="773">
        <f t="shared" si="7"/>
        <v>0</v>
      </c>
      <c r="F32" s="152">
        <f t="shared" si="1"/>
        <v>41730</v>
      </c>
      <c r="G32" s="168">
        <f t="shared" si="8"/>
        <v>0</v>
      </c>
      <c r="H32" s="1838">
        <f t="shared" si="13"/>
        <v>0</v>
      </c>
      <c r="I32" s="89">
        <f t="shared" si="2"/>
        <v>0</v>
      </c>
      <c r="J32" s="168">
        <f t="shared" si="9"/>
        <v>0</v>
      </c>
      <c r="K32" s="1838">
        <f t="shared" si="11"/>
        <v>0</v>
      </c>
      <c r="L32" s="89">
        <f t="shared" si="3"/>
        <v>0</v>
      </c>
      <c r="M32" s="168">
        <f t="shared" si="10"/>
        <v>0</v>
      </c>
      <c r="N32" s="1838">
        <f t="shared" si="12"/>
        <v>0</v>
      </c>
      <c r="O32" s="171">
        <f t="shared" si="4"/>
        <v>0</v>
      </c>
    </row>
    <row r="33" spans="1:15">
      <c r="A33" s="119">
        <f t="shared" si="0"/>
        <v>24</v>
      </c>
      <c r="B33" s="153">
        <v>41760</v>
      </c>
      <c r="C33" s="773">
        <f t="shared" si="5"/>
        <v>0</v>
      </c>
      <c r="D33" s="773">
        <f t="shared" si="6"/>
        <v>0</v>
      </c>
      <c r="E33" s="773">
        <f t="shared" si="7"/>
        <v>0</v>
      </c>
      <c r="F33" s="152">
        <f t="shared" si="1"/>
        <v>41760</v>
      </c>
      <c r="G33" s="168">
        <f t="shared" si="8"/>
        <v>0</v>
      </c>
      <c r="H33" s="1838">
        <f t="shared" si="13"/>
        <v>0</v>
      </c>
      <c r="I33" s="89">
        <f t="shared" si="2"/>
        <v>0</v>
      </c>
      <c r="J33" s="168">
        <f t="shared" si="9"/>
        <v>0</v>
      </c>
      <c r="K33" s="1838">
        <f t="shared" si="11"/>
        <v>0</v>
      </c>
      <c r="L33" s="89">
        <f t="shared" si="3"/>
        <v>0</v>
      </c>
      <c r="M33" s="168">
        <f t="shared" si="10"/>
        <v>0</v>
      </c>
      <c r="N33" s="1838">
        <f t="shared" si="12"/>
        <v>0</v>
      </c>
      <c r="O33" s="171">
        <f t="shared" si="4"/>
        <v>0</v>
      </c>
    </row>
    <row r="34" spans="1:15">
      <c r="A34" s="119">
        <f t="shared" si="0"/>
        <v>25</v>
      </c>
      <c r="B34" s="153">
        <v>41791</v>
      </c>
      <c r="C34" s="773">
        <f t="shared" si="5"/>
        <v>0</v>
      </c>
      <c r="D34" s="773">
        <f t="shared" si="6"/>
        <v>0</v>
      </c>
      <c r="E34" s="773">
        <f t="shared" si="7"/>
        <v>0</v>
      </c>
      <c r="F34" s="152">
        <f t="shared" si="1"/>
        <v>41791</v>
      </c>
      <c r="G34" s="168">
        <f t="shared" si="8"/>
        <v>0</v>
      </c>
      <c r="H34" s="1838">
        <f t="shared" si="13"/>
        <v>0</v>
      </c>
      <c r="I34" s="89">
        <f t="shared" si="2"/>
        <v>0</v>
      </c>
      <c r="J34" s="168">
        <f t="shared" si="9"/>
        <v>0</v>
      </c>
      <c r="K34" s="1838">
        <f t="shared" si="11"/>
        <v>0</v>
      </c>
      <c r="L34" s="89">
        <f t="shared" si="3"/>
        <v>0</v>
      </c>
      <c r="M34" s="168">
        <f t="shared" si="10"/>
        <v>0</v>
      </c>
      <c r="N34" s="1838">
        <f t="shared" si="12"/>
        <v>0</v>
      </c>
      <c r="O34" s="171">
        <f t="shared" si="4"/>
        <v>0</v>
      </c>
    </row>
    <row r="35" spans="1:15">
      <c r="A35" s="119">
        <f t="shared" si="0"/>
        <v>26</v>
      </c>
      <c r="B35" s="153">
        <v>41821</v>
      </c>
      <c r="C35" s="773">
        <f t="shared" si="5"/>
        <v>0</v>
      </c>
      <c r="D35" s="773">
        <f t="shared" si="6"/>
        <v>0</v>
      </c>
      <c r="E35" s="773">
        <f t="shared" si="7"/>
        <v>0</v>
      </c>
      <c r="F35" s="152">
        <f t="shared" si="1"/>
        <v>41821</v>
      </c>
      <c r="G35" s="168">
        <f t="shared" si="8"/>
        <v>0</v>
      </c>
      <c r="H35" s="1838">
        <f>ROUND(G34*H$10,0)+H34</f>
        <v>0</v>
      </c>
      <c r="I35" s="89">
        <f t="shared" si="2"/>
        <v>0</v>
      </c>
      <c r="J35" s="168">
        <f t="shared" si="9"/>
        <v>0</v>
      </c>
      <c r="K35" s="1838">
        <f t="shared" si="11"/>
        <v>0</v>
      </c>
      <c r="L35" s="89">
        <f t="shared" si="3"/>
        <v>0</v>
      </c>
      <c r="M35" s="168">
        <f t="shared" si="10"/>
        <v>0</v>
      </c>
      <c r="N35" s="1838">
        <f t="shared" si="12"/>
        <v>0</v>
      </c>
      <c r="O35" s="171">
        <f t="shared" si="4"/>
        <v>0</v>
      </c>
    </row>
    <row r="36" spans="1:15">
      <c r="A36" s="119">
        <f t="shared" si="0"/>
        <v>27</v>
      </c>
      <c r="B36" s="153">
        <v>41852</v>
      </c>
      <c r="C36" s="773">
        <f t="shared" si="5"/>
        <v>0</v>
      </c>
      <c r="D36" s="773">
        <f t="shared" si="6"/>
        <v>0</v>
      </c>
      <c r="E36" s="773">
        <f t="shared" si="7"/>
        <v>0</v>
      </c>
      <c r="F36" s="152">
        <f t="shared" si="1"/>
        <v>41852</v>
      </c>
      <c r="G36" s="168">
        <f t="shared" si="8"/>
        <v>0</v>
      </c>
      <c r="H36" s="1838">
        <f t="shared" si="13"/>
        <v>0</v>
      </c>
      <c r="I36" s="89">
        <f t="shared" si="2"/>
        <v>0</v>
      </c>
      <c r="J36" s="168">
        <f t="shared" si="9"/>
        <v>0</v>
      </c>
      <c r="K36" s="1838">
        <f t="shared" si="11"/>
        <v>0</v>
      </c>
      <c r="L36" s="89">
        <f t="shared" si="3"/>
        <v>0</v>
      </c>
      <c r="M36" s="168">
        <f t="shared" si="10"/>
        <v>0</v>
      </c>
      <c r="N36" s="1838">
        <f t="shared" si="12"/>
        <v>0</v>
      </c>
      <c r="O36" s="171">
        <f t="shared" si="4"/>
        <v>0</v>
      </c>
    </row>
    <row r="37" spans="1:15">
      <c r="A37" s="119">
        <f t="shared" si="0"/>
        <v>28</v>
      </c>
      <c r="B37" s="153">
        <v>41883</v>
      </c>
      <c r="C37" s="773">
        <f t="shared" si="5"/>
        <v>0</v>
      </c>
      <c r="D37" s="773">
        <f t="shared" si="6"/>
        <v>0</v>
      </c>
      <c r="E37" s="773">
        <f t="shared" si="7"/>
        <v>0</v>
      </c>
      <c r="F37" s="152">
        <f t="shared" si="1"/>
        <v>41883</v>
      </c>
      <c r="G37" s="168">
        <f t="shared" si="8"/>
        <v>0</v>
      </c>
      <c r="H37" s="1838">
        <f t="shared" si="13"/>
        <v>0</v>
      </c>
      <c r="I37" s="89">
        <f t="shared" si="2"/>
        <v>0</v>
      </c>
      <c r="J37" s="168">
        <f t="shared" si="9"/>
        <v>0</v>
      </c>
      <c r="K37" s="1838">
        <f t="shared" si="11"/>
        <v>0</v>
      </c>
      <c r="L37" s="89">
        <f t="shared" si="3"/>
        <v>0</v>
      </c>
      <c r="M37" s="168">
        <f t="shared" si="10"/>
        <v>0</v>
      </c>
      <c r="N37" s="1838">
        <f t="shared" si="12"/>
        <v>0</v>
      </c>
      <c r="O37" s="171">
        <f t="shared" si="4"/>
        <v>0</v>
      </c>
    </row>
    <row r="38" spans="1:15">
      <c r="A38" s="119">
        <f t="shared" si="0"/>
        <v>29</v>
      </c>
      <c r="B38" s="153">
        <v>41913</v>
      </c>
      <c r="C38" s="773">
        <f t="shared" si="5"/>
        <v>0</v>
      </c>
      <c r="D38" s="773">
        <f t="shared" si="6"/>
        <v>0</v>
      </c>
      <c r="E38" s="773">
        <f t="shared" si="7"/>
        <v>0</v>
      </c>
      <c r="F38" s="152">
        <f t="shared" si="1"/>
        <v>41913</v>
      </c>
      <c r="G38" s="168">
        <f t="shared" si="8"/>
        <v>0</v>
      </c>
      <c r="H38" s="1838">
        <f t="shared" si="13"/>
        <v>0</v>
      </c>
      <c r="I38" s="89">
        <f t="shared" si="2"/>
        <v>0</v>
      </c>
      <c r="J38" s="168">
        <f t="shared" si="9"/>
        <v>0</v>
      </c>
      <c r="K38" s="1838">
        <f t="shared" si="11"/>
        <v>0</v>
      </c>
      <c r="L38" s="89">
        <f t="shared" si="3"/>
        <v>0</v>
      </c>
      <c r="M38" s="168">
        <f t="shared" si="10"/>
        <v>0</v>
      </c>
      <c r="N38" s="1838">
        <f t="shared" si="12"/>
        <v>0</v>
      </c>
      <c r="O38" s="171">
        <f t="shared" si="4"/>
        <v>0</v>
      </c>
    </row>
    <row r="39" spans="1:15">
      <c r="A39" s="119">
        <f t="shared" si="0"/>
        <v>30</v>
      </c>
      <c r="B39" s="153">
        <v>41944</v>
      </c>
      <c r="C39" s="773">
        <f t="shared" si="5"/>
        <v>0</v>
      </c>
      <c r="D39" s="773">
        <f t="shared" si="6"/>
        <v>0</v>
      </c>
      <c r="E39" s="773">
        <f t="shared" si="7"/>
        <v>0</v>
      </c>
      <c r="F39" s="152">
        <f t="shared" si="1"/>
        <v>41944</v>
      </c>
      <c r="G39" s="168">
        <f t="shared" si="8"/>
        <v>0</v>
      </c>
      <c r="H39" s="1838">
        <f t="shared" si="13"/>
        <v>0</v>
      </c>
      <c r="I39" s="89">
        <f t="shared" si="2"/>
        <v>0</v>
      </c>
      <c r="J39" s="168">
        <f t="shared" si="9"/>
        <v>0</v>
      </c>
      <c r="K39" s="1838">
        <f t="shared" si="11"/>
        <v>0</v>
      </c>
      <c r="L39" s="89">
        <f t="shared" si="3"/>
        <v>0</v>
      </c>
      <c r="M39" s="168">
        <f t="shared" si="10"/>
        <v>0</v>
      </c>
      <c r="N39" s="1838">
        <f t="shared" si="12"/>
        <v>0</v>
      </c>
      <c r="O39" s="171">
        <f t="shared" si="4"/>
        <v>0</v>
      </c>
    </row>
    <row r="40" spans="1:15">
      <c r="A40" s="119">
        <f t="shared" si="0"/>
        <v>31</v>
      </c>
      <c r="B40" s="153">
        <v>41974</v>
      </c>
      <c r="C40" s="773">
        <f t="shared" si="5"/>
        <v>0</v>
      </c>
      <c r="D40" s="773">
        <f t="shared" si="6"/>
        <v>0</v>
      </c>
      <c r="E40" s="773">
        <f t="shared" si="7"/>
        <v>0</v>
      </c>
      <c r="F40" s="152">
        <f t="shared" si="1"/>
        <v>41974</v>
      </c>
      <c r="G40" s="168">
        <f t="shared" si="8"/>
        <v>0</v>
      </c>
      <c r="H40" s="1838">
        <f t="shared" si="13"/>
        <v>0</v>
      </c>
      <c r="I40" s="89">
        <f t="shared" si="2"/>
        <v>0</v>
      </c>
      <c r="J40" s="168">
        <f t="shared" si="9"/>
        <v>0</v>
      </c>
      <c r="K40" s="1838">
        <f t="shared" si="11"/>
        <v>0</v>
      </c>
      <c r="L40" s="89">
        <f t="shared" si="3"/>
        <v>0</v>
      </c>
      <c r="M40" s="168">
        <f t="shared" si="10"/>
        <v>0</v>
      </c>
      <c r="N40" s="1838">
        <f t="shared" si="12"/>
        <v>0</v>
      </c>
      <c r="O40" s="171">
        <f t="shared" si="4"/>
        <v>0</v>
      </c>
    </row>
    <row r="41" spans="1:15" ht="15">
      <c r="B41" s="549"/>
      <c r="F41" s="139"/>
      <c r="G41" s="137"/>
      <c r="H41" s="132"/>
      <c r="I41" s="132"/>
      <c r="J41" s="137"/>
      <c r="K41" s="132"/>
      <c r="L41" s="132"/>
      <c r="M41" s="137"/>
      <c r="N41" s="132"/>
      <c r="O41" s="149"/>
    </row>
    <row r="42" spans="1:15">
      <c r="A42" s="119">
        <f>A40+1</f>
        <v>32</v>
      </c>
      <c r="B42" s="154" t="s">
        <v>1553</v>
      </c>
      <c r="C42" s="773">
        <f>AVERAGE(C28:C40)</f>
        <v>0</v>
      </c>
      <c r="D42" s="901">
        <f>AVERAGE(D28:D40)</f>
        <v>0</v>
      </c>
      <c r="E42" s="773">
        <f>AVERAGE(E28:E40)</f>
        <v>0</v>
      </c>
      <c r="F42" s="1001"/>
      <c r="G42" s="1002">
        <f>AVERAGE(G28:G40)</f>
        <v>0</v>
      </c>
      <c r="H42" s="901">
        <f>AVERAGE(H28:H40)</f>
        <v>0</v>
      </c>
      <c r="I42" s="901">
        <f>AVERAGE(I28:I40)</f>
        <v>0</v>
      </c>
      <c r="J42" s="1002">
        <f t="shared" ref="J42:O42" si="14">AVERAGE(J28:J40)</f>
        <v>0</v>
      </c>
      <c r="K42" s="901">
        <f t="shared" si="14"/>
        <v>0</v>
      </c>
      <c r="L42" s="901">
        <f t="shared" si="14"/>
        <v>0</v>
      </c>
      <c r="M42" s="1002">
        <f t="shared" si="14"/>
        <v>0</v>
      </c>
      <c r="N42" s="901">
        <f t="shared" si="14"/>
        <v>0</v>
      </c>
      <c r="O42" s="984">
        <f t="shared" si="14"/>
        <v>0</v>
      </c>
    </row>
    <row r="43" spans="1:15">
      <c r="A43" s="119">
        <f>+A42+1</f>
        <v>33</v>
      </c>
      <c r="B43" s="154" t="s">
        <v>462</v>
      </c>
      <c r="C43" s="1001"/>
      <c r="D43" s="1893">
        <f>D40-D28</f>
        <v>0</v>
      </c>
      <c r="E43" s="1893"/>
      <c r="F43" s="139"/>
      <c r="G43" s="1894" t="s">
        <v>462</v>
      </c>
      <c r="H43" s="1893">
        <f>H40-H28</f>
        <v>0</v>
      </c>
      <c r="I43" s="1766"/>
      <c r="J43" s="1894" t="s">
        <v>462</v>
      </c>
      <c r="K43" s="1893">
        <f>K40-K28</f>
        <v>0</v>
      </c>
      <c r="L43" s="1766"/>
      <c r="M43" s="1894" t="s">
        <v>462</v>
      </c>
      <c r="N43" s="961">
        <f>N40-N28</f>
        <v>0</v>
      </c>
      <c r="O43" s="1766"/>
    </row>
    <row r="44" spans="1:15">
      <c r="B44" s="88"/>
      <c r="C44" s="1893"/>
      <c r="D44" s="1893"/>
      <c r="E44" s="1893"/>
      <c r="F44" s="139"/>
      <c r="G44" s="1895"/>
      <c r="H44" s="649"/>
      <c r="I44" s="363"/>
      <c r="J44" s="1895"/>
      <c r="K44" s="649"/>
      <c r="L44" s="363"/>
      <c r="M44" s="1895"/>
      <c r="N44" s="649"/>
      <c r="O44" s="929"/>
    </row>
    <row r="45" spans="1:15">
      <c r="B45" s="361" t="s">
        <v>1547</v>
      </c>
      <c r="C45" s="88"/>
      <c r="D45" s="88"/>
      <c r="E45" s="88"/>
      <c r="F45" s="139"/>
      <c r="G45" s="344"/>
      <c r="H45" s="344"/>
      <c r="I45" s="344"/>
      <c r="J45" s="344"/>
      <c r="K45" s="344"/>
      <c r="L45" s="344"/>
      <c r="M45" s="344"/>
      <c r="N45" s="344"/>
      <c r="O45" s="344"/>
    </row>
    <row r="46" spans="1:15" ht="15.75">
      <c r="B46" s="1896" t="s">
        <v>509</v>
      </c>
      <c r="C46" s="88"/>
      <c r="D46" s="1893"/>
      <c r="E46" s="1893"/>
      <c r="F46" s="88"/>
      <c r="G46" s="88"/>
      <c r="H46" s="88"/>
      <c r="I46" s="88"/>
      <c r="J46" s="88"/>
      <c r="K46" s="88"/>
      <c r="L46" s="88"/>
      <c r="M46" s="88"/>
      <c r="N46" s="88"/>
      <c r="O46" s="88"/>
    </row>
    <row r="47" spans="1:15" ht="15.75">
      <c r="B47" s="1896" t="s">
        <v>1700</v>
      </c>
      <c r="C47" s="88"/>
      <c r="D47" s="88"/>
      <c r="E47" s="88"/>
      <c r="F47" s="88"/>
      <c r="G47" s="88"/>
      <c r="H47" s="88"/>
      <c r="I47" s="88"/>
      <c r="J47" s="88"/>
      <c r="K47" s="88"/>
      <c r="L47" s="88"/>
      <c r="M47" s="88"/>
      <c r="N47" s="88"/>
      <c r="O47" s="88"/>
    </row>
  </sheetData>
  <customSheetViews>
    <customSheetView guid="{FAA8FFD9-C96B-4A1B-8B9E-B863FD90DDBA}" scale="75" showRuler="0">
      <selection activeCell="N3" sqref="N3"/>
      <pageMargins left="0.46" right="0.36" top="1" bottom="1" header="0.5" footer="0.5"/>
      <pageSetup scale="60" fitToHeight="2" orientation="landscape" r:id="rId1"/>
      <headerFooter alignWithMargins="0"/>
    </customSheetView>
  </customSheetViews>
  <mergeCells count="2">
    <mergeCell ref="C12:E12"/>
    <mergeCell ref="M1:N1"/>
  </mergeCells>
  <phoneticPr fontId="28" type="noConversion"/>
  <printOptions horizontalCentered="1"/>
  <pageMargins left="0.5" right="0.35" top="0.5" bottom="0.5" header="0" footer="0"/>
  <pageSetup scale="75"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A1:M45"/>
  <sheetViews>
    <sheetView view="pageBreakPreview" zoomScale="75" zoomScaleNormal="100" zoomScaleSheetLayoutView="75" workbookViewId="0"/>
  </sheetViews>
  <sheetFormatPr defaultRowHeight="15"/>
  <cols>
    <col min="1" max="1" width="3.88671875" style="228" customWidth="1"/>
    <col min="2" max="2" width="4.5546875" style="228" customWidth="1"/>
    <col min="3" max="3" width="50.44140625" style="228" customWidth="1"/>
    <col min="4" max="4" width="26.109375" style="228" customWidth="1"/>
    <col min="5" max="5" width="12.44140625" style="228" customWidth="1"/>
    <col min="6" max="6" width="3.6640625" style="228" customWidth="1"/>
    <col min="7" max="7" width="15.77734375" style="228" customWidth="1"/>
    <col min="8" max="8" width="4.109375" style="228" bestFit="1" customWidth="1"/>
    <col min="9" max="9" width="6.77734375" style="228" customWidth="1"/>
    <col min="10" max="10" width="1.88671875" style="228" customWidth="1"/>
    <col min="11" max="11" width="13.21875" style="228" bestFit="1" customWidth="1"/>
    <col min="12" max="16384" width="8.88671875" style="228"/>
  </cols>
  <sheetData>
    <row r="1" spans="1:13">
      <c r="C1" s="229"/>
      <c r="D1" s="229"/>
      <c r="E1" s="229"/>
      <c r="F1" s="229"/>
      <c r="G1" s="229"/>
      <c r="H1" s="229"/>
    </row>
    <row r="2" spans="1:13" ht="18">
      <c r="A2" s="10"/>
      <c r="B2" s="10"/>
      <c r="C2" s="2144" t="s">
        <v>469</v>
      </c>
      <c r="D2" s="2142"/>
      <c r="E2" s="2142"/>
      <c r="F2" s="2142"/>
      <c r="G2" s="1952" t="s">
        <v>150</v>
      </c>
      <c r="I2" s="238"/>
      <c r="J2" s="238"/>
      <c r="K2" s="238"/>
      <c r="L2" s="238"/>
      <c r="M2" s="238"/>
    </row>
    <row r="3" spans="1:13" ht="18">
      <c r="C3" s="2144" t="s">
        <v>1457</v>
      </c>
      <c r="D3" s="2142"/>
      <c r="E3" s="2142"/>
      <c r="F3" s="2142"/>
      <c r="G3" s="229"/>
      <c r="H3" s="372"/>
      <c r="I3" s="238"/>
      <c r="J3" s="238"/>
      <c r="K3" s="238"/>
      <c r="L3" s="238"/>
      <c r="M3" s="238"/>
    </row>
    <row r="4" spans="1:13" ht="18">
      <c r="C4" s="2144" t="s">
        <v>1472</v>
      </c>
      <c r="D4" s="2144"/>
      <c r="E4" s="2144"/>
      <c r="F4" s="2144"/>
      <c r="G4" s="1062"/>
      <c r="H4" s="372"/>
      <c r="I4" s="238"/>
      <c r="J4" s="238"/>
      <c r="K4" s="238"/>
      <c r="L4" s="238"/>
      <c r="M4" s="238"/>
    </row>
    <row r="5" spans="1:13" ht="18">
      <c r="C5" s="2140" t="s">
        <v>1823</v>
      </c>
      <c r="D5" s="2142"/>
      <c r="E5" s="2142"/>
      <c r="F5" s="2142"/>
      <c r="G5" s="229"/>
      <c r="H5" s="372"/>
      <c r="I5" s="238"/>
      <c r="J5" s="238"/>
      <c r="K5" s="238"/>
      <c r="L5" s="238"/>
      <c r="M5" s="238"/>
    </row>
    <row r="6" spans="1:13" ht="18">
      <c r="C6" s="2145"/>
      <c r="D6" s="2146"/>
      <c r="E6" s="2146"/>
      <c r="F6" s="2146"/>
      <c r="G6" s="2143" t="s">
        <v>1119</v>
      </c>
      <c r="H6" s="2143"/>
      <c r="I6" s="238"/>
      <c r="J6" s="238"/>
      <c r="K6" s="238"/>
      <c r="L6" s="238"/>
      <c r="M6" s="238"/>
    </row>
    <row r="7" spans="1:13" ht="18">
      <c r="A7" s="292"/>
      <c r="C7" s="2140" t="s">
        <v>67</v>
      </c>
      <c r="D7" s="2141"/>
      <c r="E7" s="2141"/>
      <c r="F7" s="2141"/>
      <c r="G7" s="229"/>
      <c r="H7" s="372"/>
      <c r="I7" s="238"/>
      <c r="J7" s="238"/>
      <c r="K7" s="238"/>
      <c r="L7" s="238"/>
      <c r="M7" s="238"/>
    </row>
    <row r="8" spans="1:13" ht="18">
      <c r="A8" s="292"/>
      <c r="C8" s="2140" t="s">
        <v>68</v>
      </c>
      <c r="D8" s="2141"/>
      <c r="E8" s="2141"/>
      <c r="F8" s="2141"/>
      <c r="G8" s="372"/>
      <c r="H8" s="372"/>
      <c r="I8" s="238"/>
      <c r="J8" s="238"/>
      <c r="K8" s="238"/>
      <c r="L8" s="238"/>
      <c r="M8" s="238"/>
    </row>
    <row r="9" spans="1:13" s="10" customFormat="1">
      <c r="A9" s="292"/>
      <c r="B9" s="228"/>
      <c r="C9" s="1642" t="s">
        <v>916</v>
      </c>
      <c r="D9" s="1634" t="s">
        <v>917</v>
      </c>
      <c r="E9" s="1634" t="s">
        <v>924</v>
      </c>
      <c r="F9" s="1634" t="s">
        <v>925</v>
      </c>
      <c r="G9" s="1643" t="s">
        <v>926</v>
      </c>
      <c r="H9" s="21"/>
      <c r="I9" s="1"/>
      <c r="J9" s="1"/>
      <c r="K9" s="1"/>
      <c r="L9" s="1"/>
      <c r="M9" s="1"/>
    </row>
    <row r="10" spans="1:13" s="10" customFormat="1">
      <c r="B10" s="13" t="s">
        <v>50</v>
      </c>
      <c r="C10" s="21"/>
      <c r="D10" s="21"/>
      <c r="E10" s="1644"/>
      <c r="F10" s="21"/>
      <c r="G10" s="59"/>
      <c r="H10" s="21"/>
      <c r="I10" s="1"/>
      <c r="J10" s="1"/>
      <c r="K10" s="1"/>
      <c r="L10" s="1"/>
      <c r="M10" s="1"/>
    </row>
    <row r="11" spans="1:13" s="10" customFormat="1" ht="15.75" thickBot="1">
      <c r="B11" s="16" t="s">
        <v>51</v>
      </c>
      <c r="C11" s="1645"/>
      <c r="D11" s="1645"/>
      <c r="E11" s="1646"/>
      <c r="F11" s="1646"/>
      <c r="G11" s="1647" t="s">
        <v>52</v>
      </c>
      <c r="H11" s="21"/>
      <c r="I11" s="1"/>
      <c r="J11" s="1"/>
      <c r="K11" s="1"/>
      <c r="L11" s="1"/>
      <c r="M11" s="1"/>
    </row>
    <row r="12" spans="1:13">
      <c r="A12" s="292"/>
      <c r="C12" s="245"/>
      <c r="D12" s="232"/>
      <c r="E12" s="628"/>
      <c r="F12" s="372"/>
      <c r="G12" s="591"/>
      <c r="H12" s="372"/>
      <c r="I12" s="238"/>
      <c r="J12" s="238"/>
      <c r="K12" s="238"/>
      <c r="L12" s="238"/>
      <c r="M12" s="238"/>
    </row>
    <row r="13" spans="1:13" ht="15.75">
      <c r="A13" s="553" t="s">
        <v>397</v>
      </c>
      <c r="C13" s="869" t="s">
        <v>119</v>
      </c>
      <c r="D13" s="483"/>
      <c r="E13" s="628"/>
      <c r="F13" s="372"/>
      <c r="G13" s="591"/>
      <c r="H13" s="372"/>
      <c r="I13" s="238"/>
      <c r="J13" s="238"/>
      <c r="K13" s="238"/>
      <c r="L13" s="238"/>
      <c r="M13" s="238"/>
    </row>
    <row r="14" spans="1:13">
      <c r="B14" s="292">
        <v>1</v>
      </c>
      <c r="C14" s="21" t="s">
        <v>719</v>
      </c>
      <c r="D14" s="483" t="str">
        <f>"(Projected Net Rev Req,  ln "&amp;'Projected Net Rev Req'!A52&amp;")"</f>
        <v>(Projected Net Rev Req,  ln 28)</v>
      </c>
      <c r="E14" s="754">
        <f>'Projected Net Rev Req'!E52</f>
        <v>1659732.6846256794</v>
      </c>
      <c r="F14" s="372"/>
      <c r="G14" s="591"/>
      <c r="H14" s="372"/>
      <c r="I14" s="238"/>
      <c r="J14" s="238"/>
      <c r="K14" s="238"/>
      <c r="L14" s="238"/>
      <c r="M14" s="238"/>
    </row>
    <row r="15" spans="1:13">
      <c r="B15" s="292">
        <f>B14+1</f>
        <v>2</v>
      </c>
      <c r="C15" s="47" t="s">
        <v>438</v>
      </c>
      <c r="D15" s="483" t="str">
        <f>"(Projected Net Rev Req,  ln "&amp;'Projected Net Rev Req'!A53&amp;")"</f>
        <v>(Projected Net Rev Req,  ln 29)</v>
      </c>
      <c r="E15" s="628">
        <f>'Projected Net Rev Req'!E53</f>
        <v>402974.91537432052</v>
      </c>
      <c r="F15" s="372"/>
      <c r="G15" s="270"/>
      <c r="H15" s="372"/>
      <c r="I15" s="238"/>
      <c r="J15" s="238"/>
      <c r="K15" s="238"/>
      <c r="L15" s="238"/>
      <c r="M15" s="238"/>
    </row>
    <row r="16" spans="1:13">
      <c r="B16" s="292">
        <f>B15+1</f>
        <v>3</v>
      </c>
      <c r="C16" s="47" t="s">
        <v>439</v>
      </c>
      <c r="D16" s="483" t="str">
        <f>"(Projected Net Rev Req,  ln "&amp;'Projected Net Rev Req'!A54&amp;")"</f>
        <v>(Projected Net Rev Req,  ln 30)</v>
      </c>
      <c r="E16" s="628">
        <f>'Projected Net Rev Req'!E54</f>
        <v>0</v>
      </c>
      <c r="F16" s="372"/>
      <c r="G16" s="270"/>
      <c r="H16" s="372"/>
      <c r="I16" s="238"/>
      <c r="J16" s="238"/>
      <c r="K16" s="238"/>
      <c r="L16" s="238"/>
      <c r="M16" s="238"/>
    </row>
    <row r="17" spans="1:13">
      <c r="B17" s="292">
        <f>B16+1</f>
        <v>4</v>
      </c>
      <c r="C17" s="47" t="s">
        <v>440</v>
      </c>
      <c r="D17" s="483" t="str">
        <f>"(Projected Net Rev Req,  ln "&amp;'Projected Net Rev Req'!A55&amp;")"</f>
        <v>(Projected Net Rev Req,  ln 31)</v>
      </c>
      <c r="E17" s="750">
        <f>'Projected Net Rev Req'!E55</f>
        <v>0</v>
      </c>
      <c r="F17" s="372"/>
      <c r="G17" s="270"/>
      <c r="H17" s="372"/>
      <c r="I17" s="238"/>
      <c r="J17" s="238"/>
      <c r="K17" s="238"/>
      <c r="L17" s="238"/>
      <c r="M17" s="238"/>
    </row>
    <row r="18" spans="1:13">
      <c r="B18" s="13">
        <f>B17+1</f>
        <v>5</v>
      </c>
      <c r="C18" s="21" t="s">
        <v>54</v>
      </c>
      <c r="D18" s="483" t="str">
        <f>"(sum line "&amp;B14&amp;" thru line "&amp;B17&amp;")"</f>
        <v>(sum line 1 thru line 4)</v>
      </c>
      <c r="E18" s="874"/>
      <c r="F18" s="1648"/>
      <c r="G18" s="875">
        <f>SUM(E14:E17)</f>
        <v>2062707.5999999999</v>
      </c>
      <c r="H18" s="372"/>
      <c r="I18" s="238"/>
      <c r="J18" s="238"/>
      <c r="K18" s="238"/>
      <c r="L18" s="238"/>
      <c r="M18" s="238"/>
    </row>
    <row r="19" spans="1:13">
      <c r="B19" s="292"/>
      <c r="C19" s="372"/>
      <c r="D19" s="232"/>
      <c r="E19" s="628"/>
      <c r="F19" s="372"/>
      <c r="G19" s="591"/>
      <c r="H19" s="372"/>
      <c r="I19" s="238"/>
      <c r="J19" s="238"/>
      <c r="K19" s="238"/>
      <c r="L19" s="238"/>
      <c r="M19" s="238"/>
    </row>
    <row r="20" spans="1:13">
      <c r="B20" s="292">
        <f>B18+1</f>
        <v>6</v>
      </c>
      <c r="C20" s="372" t="s">
        <v>720</v>
      </c>
      <c r="D20" s="483" t="str">
        <f>"(Projected Net Rev Req,  ln "&amp;'Projected Net Rev Req'!A58&amp;")"</f>
        <v>(Projected Net Rev Req,  ln 33)</v>
      </c>
      <c r="E20" s="628"/>
      <c r="F20" s="372"/>
      <c r="G20" s="591">
        <f>'Projected Net Rev Req'!G58</f>
        <v>29236615.506523717</v>
      </c>
      <c r="H20" s="372"/>
      <c r="I20" s="238"/>
      <c r="J20" s="238"/>
      <c r="K20" s="238"/>
      <c r="L20" s="238"/>
      <c r="M20" s="238"/>
    </row>
    <row r="21" spans="1:13" s="229" customFormat="1">
      <c r="B21" s="307"/>
      <c r="D21" s="232"/>
      <c r="E21" s="374"/>
      <c r="F21" s="232"/>
      <c r="H21" s="372"/>
      <c r="I21" s="372"/>
      <c r="J21" s="372"/>
      <c r="K21" s="372"/>
      <c r="L21" s="372"/>
      <c r="M21" s="372"/>
    </row>
    <row r="22" spans="1:13" s="229" customFormat="1" ht="15.75">
      <c r="A22" s="553" t="s">
        <v>226</v>
      </c>
      <c r="C22" s="1649" t="s">
        <v>227</v>
      </c>
      <c r="D22" s="15"/>
      <c r="H22" s="372"/>
      <c r="I22" s="372"/>
      <c r="J22" s="372"/>
      <c r="K22" s="372"/>
      <c r="L22" s="372"/>
      <c r="M22" s="372"/>
    </row>
    <row r="23" spans="1:13" s="229" customFormat="1">
      <c r="B23" s="552">
        <f>B20+1</f>
        <v>7</v>
      </c>
      <c r="C23" s="21" t="s">
        <v>69</v>
      </c>
      <c r="D23" s="483" t="str">
        <f>"(Wksht. P-3,  line "&amp;'P-3 (Trans. Network Load)'!A25&amp;")"</f>
        <v>(Wksht. P-3,  line 15)</v>
      </c>
      <c r="G23" s="1056">
        <f>'P-3 (Trans. Network Load)'!G25</f>
        <v>2726.2896247657409</v>
      </c>
      <c r="H23" s="229" t="s">
        <v>1530</v>
      </c>
      <c r="I23" s="372"/>
      <c r="J23" s="372"/>
      <c r="L23" s="372"/>
      <c r="M23" s="372"/>
    </row>
    <row r="24" spans="1:13" s="229" customFormat="1">
      <c r="B24" s="487"/>
      <c r="C24" s="21"/>
      <c r="H24" s="372"/>
      <c r="I24" s="372"/>
      <c r="J24" s="372"/>
      <c r="L24" s="372"/>
      <c r="M24" s="372"/>
    </row>
    <row r="25" spans="1:13" s="229" customFormat="1">
      <c r="B25" s="555">
        <f>+B23+1</f>
        <v>8</v>
      </c>
      <c r="C25" s="21" t="str">
        <f>"Annual Point-to-Point Rate in $/MW - Year"</f>
        <v>Annual Point-to-Point Rate in $/MW - Year</v>
      </c>
      <c r="D25" s="483" t="str">
        <f>"( Line "&amp;B20&amp;" / line "&amp;B23&amp;")"</f>
        <v>( Line 6 / line 7)</v>
      </c>
      <c r="G25" s="1650">
        <f>ROUND((G20/G23),0)</f>
        <v>10724</v>
      </c>
      <c r="H25" s="372"/>
      <c r="I25" s="372"/>
      <c r="J25" s="372"/>
      <c r="K25" s="372"/>
      <c r="L25" s="372"/>
      <c r="M25" s="372"/>
    </row>
    <row r="26" spans="1:13" s="229" customFormat="1">
      <c r="B26" s="555">
        <f t="shared" ref="B26:B31" si="0">+B25+1</f>
        <v>9</v>
      </c>
      <c r="C26" s="21" t="str">
        <f>"Monthly Point-to-Point Rate in $/WM - Month"</f>
        <v>Monthly Point-to-Point Rate in $/WM - Month</v>
      </c>
      <c r="D26" s="483" t="str">
        <f>"( Line "&amp;B25&amp;" / 12 months)"</f>
        <v>( Line 8 / 12 months)</v>
      </c>
      <c r="G26" s="1650">
        <f>ROUND(+G25/12,0)</f>
        <v>894</v>
      </c>
      <c r="H26" s="372"/>
      <c r="I26" s="372"/>
      <c r="J26" s="372"/>
      <c r="K26" s="372"/>
      <c r="L26" s="372"/>
      <c r="M26" s="372"/>
    </row>
    <row r="27" spans="1:13" s="229" customFormat="1">
      <c r="B27" s="555">
        <f t="shared" si="0"/>
        <v>10</v>
      </c>
      <c r="C27" s="21" t="str">
        <f>"Weekly Point-to-Point Rate in $/MW - Weekly"</f>
        <v>Weekly Point-to-Point Rate in $/MW - Weekly</v>
      </c>
      <c r="D27" s="483" t="str">
        <f>"( Line "&amp;B25&amp;" / 52 weeks)"</f>
        <v>( Line 8 / 52 weeks)</v>
      </c>
      <c r="G27" s="1650">
        <f>ROUND(+G25/52,0)</f>
        <v>206</v>
      </c>
      <c r="H27" s="372"/>
      <c r="I27" s="372"/>
      <c r="J27" s="372"/>
      <c r="K27" s="372"/>
      <c r="L27" s="372"/>
      <c r="M27" s="372"/>
    </row>
    <row r="28" spans="1:13" s="229" customFormat="1">
      <c r="B28" s="555">
        <f t="shared" si="0"/>
        <v>11</v>
      </c>
      <c r="C28" s="21" t="str">
        <f>"Daily On-Peak Point-to-Point Rate in $/MW - Day"</f>
        <v>Daily On-Peak Point-to-Point Rate in $/MW - Day</v>
      </c>
      <c r="D28" s="483" t="str">
        <f>"( Line "&amp;B25&amp;" / 260 days)"</f>
        <v>( Line 8 / 260 days)</v>
      </c>
      <c r="G28" s="1650">
        <f>ROUND(+G25/260,1)</f>
        <v>41.2</v>
      </c>
      <c r="H28" s="372"/>
      <c r="I28" s="372"/>
      <c r="J28" s="372"/>
      <c r="K28" s="372"/>
      <c r="L28" s="372"/>
      <c r="M28" s="372"/>
    </row>
    <row r="29" spans="1:13" s="229" customFormat="1">
      <c r="B29" s="555">
        <f t="shared" si="0"/>
        <v>12</v>
      </c>
      <c r="C29" s="21" t="str">
        <f>"Daily Off-Peak Point-to-Point Rate in $/WM - Day"</f>
        <v>Daily Off-Peak Point-to-Point Rate in $/WM - Day</v>
      </c>
      <c r="D29" s="483" t="str">
        <f>"( Line "&amp;B25&amp;" / 365 days)"</f>
        <v>( Line 8 / 365 days)</v>
      </c>
      <c r="G29" s="1650">
        <f>ROUND(+G25/365,1)</f>
        <v>29.4</v>
      </c>
      <c r="H29" s="372"/>
      <c r="I29" s="372"/>
      <c r="J29" s="372"/>
      <c r="K29" s="372"/>
      <c r="L29" s="372"/>
      <c r="M29" s="372"/>
    </row>
    <row r="30" spans="1:13" s="229" customFormat="1">
      <c r="B30" s="555">
        <f t="shared" si="0"/>
        <v>13</v>
      </c>
      <c r="C30" s="21" t="str">
        <f>"Hourly On-Peak Point-to-Point Rate in $/MW - Hour"</f>
        <v>Hourly On-Peak Point-to-Point Rate in $/MW - Hour</v>
      </c>
      <c r="D30" s="483" t="str">
        <f>"( Line "&amp;B28&amp;" / 16 hours)"</f>
        <v>( Line 11 / 16 hours)</v>
      </c>
      <c r="G30" s="1650">
        <f>ROUND(+G28/16,2)</f>
        <v>2.58</v>
      </c>
      <c r="H30" s="372"/>
      <c r="I30" s="372"/>
      <c r="J30" s="372"/>
      <c r="K30" s="372"/>
      <c r="L30" s="372"/>
      <c r="M30" s="372"/>
    </row>
    <row r="31" spans="1:13">
      <c r="B31" s="555">
        <f t="shared" si="0"/>
        <v>14</v>
      </c>
      <c r="C31" s="21" t="str">
        <f>"Hourly Off-Peak Point-to-Point Rate in $/WM - Hour"</f>
        <v>Hourly Off-Peak Point-to-Point Rate in $/WM - Hour</v>
      </c>
      <c r="D31" s="483" t="str">
        <f>"( Line "&amp;B29&amp;" / 24 hours)"</f>
        <v>( Line 12 / 24 hours)</v>
      </c>
      <c r="E31" s="229"/>
      <c r="F31" s="229"/>
      <c r="G31" s="1650">
        <f>ROUND(+G29/24,2)</f>
        <v>1.23</v>
      </c>
      <c r="H31" s="229"/>
    </row>
    <row r="32" spans="1:13" ht="18">
      <c r="A32" s="1057"/>
      <c r="B32" s="1057"/>
      <c r="C32" s="1651"/>
      <c r="D32" s="1651"/>
      <c r="E32" s="1651"/>
      <c r="F32" s="1651"/>
      <c r="G32" s="337"/>
      <c r="H32" s="337"/>
    </row>
    <row r="33" spans="1:8" ht="15.75">
      <c r="A33" s="553" t="s">
        <v>228</v>
      </c>
      <c r="C33" s="1649" t="s">
        <v>127</v>
      </c>
      <c r="D33" s="1020"/>
      <c r="E33" s="1071"/>
      <c r="F33" s="814"/>
      <c r="G33" s="229"/>
      <c r="H33" s="229"/>
    </row>
    <row r="34" spans="1:8">
      <c r="B34" s="552">
        <f>B31+1</f>
        <v>15</v>
      </c>
      <c r="C34" s="1652" t="s">
        <v>1048</v>
      </c>
      <c r="D34" s="483" t="str">
        <f>"(Projected Sch 1 Rev Req,  ln "&amp;'Projected Schedule 1 Rev Req'!B30&amp;")"</f>
        <v>(Projected Sch 1 Rev Req,  ln 9)</v>
      </c>
      <c r="E34" s="1063"/>
      <c r="F34" s="229"/>
      <c r="G34" s="1063">
        <f>'Projected Schedule 1 Rev Req'!I30</f>
        <v>520917.0794828973</v>
      </c>
      <c r="H34" s="814"/>
    </row>
    <row r="35" spans="1:8">
      <c r="B35" s="556"/>
      <c r="C35" s="814"/>
      <c r="D35" s="814"/>
      <c r="E35" s="1071"/>
      <c r="F35" s="229"/>
      <c r="G35" s="814"/>
      <c r="H35" s="814"/>
    </row>
    <row r="36" spans="1:8" ht="15.75">
      <c r="A36" s="553" t="s">
        <v>1771</v>
      </c>
      <c r="C36" s="1649" t="s">
        <v>946</v>
      </c>
      <c r="D36" s="15"/>
      <c r="E36" s="1072"/>
      <c r="F36" s="229"/>
      <c r="G36" s="814"/>
      <c r="H36" s="814"/>
    </row>
    <row r="37" spans="1:8">
      <c r="B37" s="552">
        <f>B34+1</f>
        <v>16</v>
      </c>
      <c r="C37" s="21" t="s">
        <v>70</v>
      </c>
      <c r="D37" s="483" t="str">
        <f>"(Wksht. P-3,  line "&amp;'P-3 (Trans. Network Load)'!A25&amp;")"</f>
        <v>(Wksht. P-3,  line 15)</v>
      </c>
      <c r="E37" s="1653"/>
      <c r="F37" s="229"/>
      <c r="G37" s="1654">
        <f>'P-3 (Trans. Network Load)'!G25</f>
        <v>2726.2896247657409</v>
      </c>
      <c r="H37" s="817" t="s">
        <v>1530</v>
      </c>
    </row>
    <row r="38" spans="1:8">
      <c r="B38" s="552"/>
      <c r="C38" s="21"/>
      <c r="D38" s="817"/>
      <c r="E38" s="1653"/>
      <c r="F38" s="229"/>
      <c r="G38" s="1655"/>
      <c r="H38" s="814"/>
    </row>
    <row r="39" spans="1:8">
      <c r="B39" s="555">
        <f>+B37+1</f>
        <v>17</v>
      </c>
      <c r="C39" s="21" t="str">
        <f>"Annual Point-to-Point Rate in $/MW - Year"</f>
        <v>Annual Point-to-Point Rate in $/MW - Year</v>
      </c>
      <c r="D39" s="47" t="str">
        <f>"(Line "&amp;B34&amp;" / Line "&amp;B37&amp;")"</f>
        <v>(Line 15 / Line 16)</v>
      </c>
      <c r="E39" s="47"/>
      <c r="F39" s="229"/>
      <c r="G39" s="1650">
        <f>ROUND((G34/G37),1)</f>
        <v>191.1</v>
      </c>
      <c r="H39" s="814"/>
    </row>
    <row r="40" spans="1:8">
      <c r="B40" s="555">
        <f>+B39+1</f>
        <v>18</v>
      </c>
      <c r="C40" s="21" t="str">
        <f>"Monthly Point-to-Point Rate in  $/MW - Month"</f>
        <v>Monthly Point-to-Point Rate in  $/MW - Month</v>
      </c>
      <c r="D40" s="47" t="str">
        <f>"(Line "&amp;B39&amp;" / 12)"</f>
        <v>(Line 17 / 12)</v>
      </c>
      <c r="E40" s="47"/>
      <c r="F40" s="229"/>
      <c r="G40" s="1650">
        <f>ROUND((G39/12),1)</f>
        <v>15.9</v>
      </c>
      <c r="H40" s="814"/>
    </row>
    <row r="41" spans="1:8">
      <c r="B41" s="555">
        <f>+B40+1</f>
        <v>19</v>
      </c>
      <c r="C41" s="21" t="str">
        <f>"Weekly Point-to-Point Rate in  $/MW - Week"</f>
        <v>Weekly Point-to-Point Rate in  $/MW - Week</v>
      </c>
      <c r="D41" s="47" t="str">
        <f>"(Line "&amp;B39&amp;" / 52)"</f>
        <v>(Line 17 / 52)</v>
      </c>
      <c r="E41" s="47"/>
      <c r="F41" s="229"/>
      <c r="G41" s="1650">
        <f>ROUND((G39/52),2)</f>
        <v>3.68</v>
      </c>
      <c r="H41" s="814"/>
    </row>
    <row r="42" spans="1:8">
      <c r="B42" s="555">
        <f>+B41+1</f>
        <v>20</v>
      </c>
      <c r="C42" s="21" t="str">
        <f>"Daily Point-to-Point Rate in $/MW - Day"</f>
        <v>Daily Point-to-Point Rate in $/MW - Day</v>
      </c>
      <c r="D42" s="47" t="str">
        <f>"(Line "&amp;B39&amp;" / 365)"</f>
        <v>(Line 17 / 365)</v>
      </c>
      <c r="E42" s="47"/>
      <c r="F42" s="229"/>
      <c r="G42" s="1650">
        <f>ROUND((G39/365),3)</f>
        <v>0.52400000000000002</v>
      </c>
      <c r="H42" s="815"/>
    </row>
    <row r="43" spans="1:8">
      <c r="B43" s="555">
        <f>+B42+1</f>
        <v>21</v>
      </c>
      <c r="C43" s="21" t="str">
        <f>"Hourly Point-to-Point Rate in $/MW - Hour"</f>
        <v>Hourly Point-to-Point Rate in $/MW - Hour</v>
      </c>
      <c r="D43" s="47" t="str">
        <f>"(Line "&amp;B39&amp;" / 8760)"</f>
        <v>(Line 17 / 8760)</v>
      </c>
      <c r="E43" s="47"/>
      <c r="F43" s="229"/>
      <c r="G43" s="1650">
        <f>ROUND((G39/8760),3)</f>
        <v>2.1999999999999999E-2</v>
      </c>
      <c r="H43" s="815"/>
    </row>
    <row r="44" spans="1:8">
      <c r="A44" s="481"/>
      <c r="B44" s="39"/>
      <c r="C44" s="39"/>
      <c r="D44" s="39"/>
      <c r="E44" s="39"/>
      <c r="F44" s="39"/>
      <c r="G44" s="1417"/>
    </row>
    <row r="45" spans="1:8">
      <c r="A45" s="481"/>
      <c r="B45" s="39"/>
      <c r="C45" s="39"/>
      <c r="D45" s="39"/>
      <c r="E45" s="39"/>
      <c r="F45" s="39"/>
      <c r="G45" s="1417"/>
    </row>
  </sheetData>
  <customSheetViews>
    <customSheetView guid="{FAA8FFD9-C96B-4A1B-8B9E-B863FD90DDBA}" scale="75" showRuler="0">
      <selection activeCell="G1" sqref="G1:G2"/>
      <pageMargins left="0.25" right="0.25" top="0.5" bottom="0.5" header="0" footer="0"/>
      <printOptions horizontalCentered="1" gridLines="1"/>
      <pageSetup scale="70" orientation="landscape" r:id="rId1"/>
      <headerFooter alignWithMargins="0"/>
    </customSheetView>
  </customSheetViews>
  <mergeCells count="8">
    <mergeCell ref="C8:F8"/>
    <mergeCell ref="C5:F5"/>
    <mergeCell ref="G6:H6"/>
    <mergeCell ref="C2:F2"/>
    <mergeCell ref="C3:F3"/>
    <mergeCell ref="C4:F4"/>
    <mergeCell ref="C6:F6"/>
    <mergeCell ref="C7:F7"/>
  </mergeCells>
  <phoneticPr fontId="28" type="noConversion"/>
  <printOptions horizontalCentered="1" gridLines="1"/>
  <pageMargins left="0.5" right="0.5" top="0.5" bottom="0.5" header="0" footer="0"/>
  <pageSetup scale="81"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pageSetUpPr fitToPage="1"/>
  </sheetPr>
  <dimension ref="A1:N68"/>
  <sheetViews>
    <sheetView view="pageBreakPreview" topLeftCell="A10" zoomScale="75" zoomScaleNormal="75" zoomScaleSheetLayoutView="75" workbookViewId="0">
      <selection activeCell="E36" sqref="E36"/>
    </sheetView>
  </sheetViews>
  <sheetFormatPr defaultRowHeight="15"/>
  <cols>
    <col min="1" max="1" width="3.5546875" style="228" customWidth="1"/>
    <col min="2" max="2" width="5.44140625" style="228" customWidth="1"/>
    <col min="3" max="3" width="35.88671875" style="228" customWidth="1"/>
    <col min="4" max="4" width="22.21875" style="228" customWidth="1"/>
    <col min="5" max="5" width="12.5546875" style="228" customWidth="1"/>
    <col min="6" max="6" width="12.109375" style="228" customWidth="1"/>
    <col min="7" max="7" width="6.109375" style="228" customWidth="1"/>
    <col min="8" max="8" width="14.21875" style="228" customWidth="1"/>
    <col min="9" max="9" width="3.77734375" style="228" customWidth="1"/>
    <col min="10" max="10" width="6.77734375" style="228" customWidth="1"/>
    <col min="11" max="11" width="1.88671875" style="228" customWidth="1"/>
    <col min="12" max="12" width="11.33203125" style="228" customWidth="1"/>
    <col min="13" max="16384" width="8.88671875" style="228"/>
  </cols>
  <sheetData>
    <row r="1" spans="1:14" ht="15.75">
      <c r="H1" s="1329"/>
    </row>
    <row r="2" spans="1:14" ht="15.75">
      <c r="H2" s="1952" t="s">
        <v>151</v>
      </c>
    </row>
    <row r="3" spans="1:14" ht="18">
      <c r="A3" s="10"/>
      <c r="B3" s="10"/>
      <c r="C3" s="2151" t="s">
        <v>469</v>
      </c>
      <c r="D3" s="2152"/>
      <c r="E3" s="2152"/>
      <c r="F3" s="2152"/>
      <c r="G3" s="2152"/>
      <c r="I3" s="238"/>
      <c r="J3" s="238"/>
      <c r="K3" s="238"/>
      <c r="L3" s="238"/>
      <c r="M3" s="238"/>
      <c r="N3" s="238"/>
    </row>
    <row r="4" spans="1:14" ht="18">
      <c r="C4" s="2151" t="s">
        <v>1457</v>
      </c>
      <c r="D4" s="2152"/>
      <c r="E4" s="2152"/>
      <c r="F4" s="2152"/>
      <c r="G4" s="2152"/>
      <c r="I4" s="238"/>
      <c r="J4" s="238"/>
      <c r="K4" s="238"/>
      <c r="L4" s="238"/>
      <c r="M4" s="238"/>
      <c r="N4" s="238"/>
    </row>
    <row r="5" spans="1:14" ht="18">
      <c r="C5" s="2151" t="s">
        <v>653</v>
      </c>
      <c r="D5" s="2151"/>
      <c r="E5" s="2151"/>
      <c r="F5" s="2151"/>
      <c r="G5" s="2151"/>
      <c r="H5" s="368"/>
      <c r="I5" s="238"/>
      <c r="J5" s="238"/>
      <c r="K5" s="238"/>
      <c r="L5" s="238"/>
      <c r="M5" s="238"/>
      <c r="N5" s="238"/>
    </row>
    <row r="6" spans="1:14" ht="18">
      <c r="C6" s="2140" t="s">
        <v>1824</v>
      </c>
      <c r="D6" s="2142"/>
      <c r="E6" s="2142"/>
      <c r="F6" s="2142"/>
      <c r="G6" s="2142"/>
      <c r="I6" s="238"/>
      <c r="J6" s="238"/>
      <c r="K6" s="238"/>
      <c r="L6" s="238"/>
      <c r="M6" s="238"/>
      <c r="N6" s="238"/>
    </row>
    <row r="7" spans="1:14" ht="18">
      <c r="C7" s="2149"/>
      <c r="D7" s="2150"/>
      <c r="E7" s="2150"/>
      <c r="F7" s="2150"/>
      <c r="G7" s="2150"/>
      <c r="H7" s="302"/>
      <c r="I7" s="238"/>
      <c r="J7" s="238"/>
      <c r="K7" s="238"/>
      <c r="L7" s="238"/>
      <c r="M7" s="238"/>
      <c r="N7" s="238"/>
    </row>
    <row r="8" spans="1:14" ht="18">
      <c r="A8" s="292"/>
      <c r="C8" s="2147" t="s">
        <v>71</v>
      </c>
      <c r="D8" s="2148"/>
      <c r="E8" s="2148"/>
      <c r="F8" s="2148"/>
      <c r="G8" s="2148"/>
      <c r="H8" s="368" t="s">
        <v>1119</v>
      </c>
      <c r="I8" s="238"/>
      <c r="J8" s="238"/>
      <c r="K8" s="238"/>
      <c r="L8" s="238"/>
      <c r="M8" s="238"/>
      <c r="N8" s="238"/>
    </row>
    <row r="9" spans="1:14" ht="18">
      <c r="A9" s="292"/>
      <c r="C9" s="2147" t="s">
        <v>68</v>
      </c>
      <c r="D9" s="2148"/>
      <c r="E9" s="2148"/>
      <c r="F9" s="2148"/>
      <c r="G9" s="2148"/>
      <c r="H9" s="238"/>
      <c r="I9" s="238"/>
      <c r="J9" s="238"/>
      <c r="K9" s="238"/>
      <c r="L9" s="238"/>
      <c r="M9" s="238"/>
      <c r="N9" s="238"/>
    </row>
    <row r="10" spans="1:14">
      <c r="A10" s="292"/>
      <c r="C10" s="305" t="s">
        <v>916</v>
      </c>
      <c r="D10" s="305" t="s">
        <v>917</v>
      </c>
      <c r="E10" s="306" t="s">
        <v>924</v>
      </c>
      <c r="F10" s="749" t="s">
        <v>925</v>
      </c>
      <c r="G10" s="305" t="s">
        <v>926</v>
      </c>
      <c r="H10" s="456" t="s">
        <v>694</v>
      </c>
      <c r="I10" s="238"/>
      <c r="J10" s="238"/>
      <c r="K10" s="238"/>
      <c r="L10" s="238"/>
      <c r="M10" s="238"/>
      <c r="N10" s="238"/>
    </row>
    <row r="11" spans="1:14">
      <c r="B11" s="292" t="s">
        <v>50</v>
      </c>
      <c r="F11" s="238"/>
      <c r="G11" s="238"/>
      <c r="H11" s="292"/>
      <c r="I11" s="238"/>
      <c r="J11" s="238"/>
      <c r="K11" s="238"/>
      <c r="L11" s="238"/>
      <c r="M11" s="238"/>
      <c r="N11" s="238"/>
    </row>
    <row r="12" spans="1:14" ht="15.75" thickBot="1">
      <c r="B12" s="264" t="s">
        <v>51</v>
      </c>
      <c r="D12" s="304" t="s">
        <v>1053</v>
      </c>
      <c r="E12" s="238"/>
      <c r="F12" s="238"/>
      <c r="G12" s="238"/>
      <c r="H12" s="371" t="s">
        <v>52</v>
      </c>
      <c r="I12" s="238"/>
      <c r="J12" s="238"/>
      <c r="K12" s="238"/>
      <c r="L12" s="238"/>
      <c r="M12" s="238"/>
      <c r="N12" s="238"/>
    </row>
    <row r="13" spans="1:14" ht="15.75">
      <c r="B13" s="1004"/>
      <c r="C13" s="617" t="s">
        <v>1634</v>
      </c>
      <c r="D13" s="1005" t="s">
        <v>1708</v>
      </c>
      <c r="E13" s="369"/>
      <c r="F13" s="369"/>
      <c r="G13" s="369"/>
      <c r="H13" s="370"/>
      <c r="I13" s="238"/>
      <c r="J13" s="238"/>
      <c r="K13" s="238"/>
      <c r="L13" s="238"/>
      <c r="M13" s="238"/>
      <c r="N13" s="238"/>
    </row>
    <row r="14" spans="1:14">
      <c r="B14" s="292">
        <v>1</v>
      </c>
      <c r="C14" s="238" t="s">
        <v>1647</v>
      </c>
      <c r="D14" s="1006" t="str">
        <f>"(Act Gross Rev, p. 2,  ln "&amp;'Actual Gross Rev Req'!B120&amp;", col. 7)"</f>
        <v>(Act Gross Rev, p. 2,  ln 27, col. 7)</v>
      </c>
      <c r="E14" s="590"/>
      <c r="F14" s="372"/>
      <c r="G14" s="372"/>
      <c r="H14" s="591">
        <f>'Actual Gross Rev Req'!M120</f>
        <v>40614113.444710903</v>
      </c>
      <c r="I14" s="238"/>
      <c r="J14" s="238"/>
      <c r="K14" s="238"/>
      <c r="L14" s="483"/>
      <c r="M14" s="238"/>
      <c r="N14" s="238"/>
    </row>
    <row r="15" spans="1:14">
      <c r="B15" s="292"/>
      <c r="C15" s="238"/>
      <c r="D15" s="232"/>
      <c r="E15" s="590"/>
      <c r="F15" s="372"/>
      <c r="G15" s="338"/>
      <c r="H15" s="591"/>
      <c r="I15" s="238"/>
      <c r="J15" s="238"/>
      <c r="K15" s="238"/>
      <c r="L15" s="238"/>
      <c r="M15" s="238"/>
      <c r="N15" s="238"/>
    </row>
    <row r="16" spans="1:14">
      <c r="B16" s="292">
        <v>2</v>
      </c>
      <c r="C16" s="238" t="s">
        <v>1648</v>
      </c>
      <c r="D16" s="1006" t="str">
        <f>"(Wksht. A-7,  ln "&amp;'A-7 (Act. RTO Directed Proj)'!A20&amp;")"</f>
        <v>(Wksht. A-7,  ln 9)</v>
      </c>
      <c r="E16" s="630">
        <f>'A-7 (Act. RTO Directed Proj)'!K20</f>
        <v>2443421</v>
      </c>
      <c r="F16" s="1656"/>
      <c r="G16" s="620"/>
      <c r="H16" s="261"/>
      <c r="I16" s="238"/>
      <c r="J16" s="238"/>
      <c r="K16" s="238"/>
      <c r="L16" s="238"/>
      <c r="M16" s="238"/>
      <c r="N16" s="238"/>
    </row>
    <row r="17" spans="2:14">
      <c r="B17" s="292">
        <f>B16+1</f>
        <v>3</v>
      </c>
      <c r="C17" s="322" t="s">
        <v>782</v>
      </c>
      <c r="D17" s="1006" t="str">
        <f>"(Wksht. A-7,  ln "&amp;'A-7 (Act. RTO Directed Proj)'!A26&amp;")"</f>
        <v>(Wksht. A-7,  ln 13)</v>
      </c>
      <c r="E17" s="1656">
        <f>'A-7 (Act. RTO Directed Proj)'!K26</f>
        <v>0</v>
      </c>
      <c r="F17" s="1656"/>
      <c r="G17" s="1409"/>
      <c r="H17" s="621"/>
      <c r="I17" s="238"/>
      <c r="J17" s="238"/>
      <c r="K17" s="238"/>
      <c r="L17" s="238"/>
      <c r="M17" s="238"/>
      <c r="N17" s="238"/>
    </row>
    <row r="18" spans="2:14">
      <c r="B18" s="292">
        <f>B17+1</f>
        <v>4</v>
      </c>
      <c r="C18" s="322" t="s">
        <v>783</v>
      </c>
      <c r="D18" s="1006" t="str">
        <f>"(Wksht. A-7,  ln "&amp;'A-7 (Act. RTO Directed Proj)'!A32&amp;")"</f>
        <v>(Wksht. A-7,  ln 17)</v>
      </c>
      <c r="E18" s="1656">
        <f>'A-7 (Act. RTO Directed Proj)'!K32</f>
        <v>0</v>
      </c>
      <c r="F18" s="1656"/>
      <c r="G18" s="1409"/>
      <c r="H18" s="621"/>
      <c r="I18" s="238"/>
      <c r="J18" s="238"/>
      <c r="K18" s="238"/>
      <c r="L18" s="238"/>
      <c r="M18" s="238"/>
      <c r="N18" s="238"/>
    </row>
    <row r="19" spans="2:14">
      <c r="B19" s="292">
        <f>B18+1</f>
        <v>5</v>
      </c>
      <c r="C19" s="322" t="s">
        <v>434</v>
      </c>
      <c r="D19" s="1006" t="str">
        <f>"(Wksht. A-7,  ln "&amp;'A-7 (Act. RTO Directed Proj)'!A38&amp;")"</f>
        <v>(Wksht. A-7,  ln 21)</v>
      </c>
      <c r="E19" s="1656">
        <f>'A-7 (Act. RTO Directed Proj)'!K38</f>
        <v>0</v>
      </c>
      <c r="F19" s="1656"/>
      <c r="G19" s="1409"/>
      <c r="H19" s="622"/>
      <c r="I19" s="238"/>
      <c r="J19" s="238"/>
      <c r="K19" s="238"/>
      <c r="L19" s="238"/>
      <c r="M19" s="238"/>
      <c r="N19" s="238"/>
    </row>
    <row r="20" spans="2:14">
      <c r="B20" s="292">
        <f>B19+1</f>
        <v>6</v>
      </c>
      <c r="C20" s="238" t="s">
        <v>869</v>
      </c>
      <c r="D20" s="1006" t="str">
        <f>"(Wksht. A-8,  ln "&amp;'A-8 (Act. Sponsor) '!A11&amp;")"</f>
        <v>(Wksht. A-8,  ln 4)</v>
      </c>
      <c r="E20" s="1657">
        <f>'A-8 (Act. Sponsor) '!K11</f>
        <v>1959861</v>
      </c>
      <c r="F20" s="1656"/>
      <c r="G20" s="622"/>
      <c r="H20" s="229"/>
      <c r="I20" s="238"/>
      <c r="J20" s="238"/>
      <c r="K20" s="238"/>
      <c r="L20" s="238"/>
      <c r="M20" s="238"/>
      <c r="N20" s="238"/>
    </row>
    <row r="21" spans="2:14">
      <c r="B21" s="292">
        <f>B20+1</f>
        <v>7</v>
      </c>
      <c r="C21" s="238" t="s">
        <v>54</v>
      </c>
      <c r="D21" s="1006" t="str">
        <f>"(sum line "&amp;B16&amp;" thru line "&amp;B20&amp;")"</f>
        <v>(sum line 2 thru line 6)</v>
      </c>
      <c r="E21" s="1409"/>
      <c r="F21" s="1658">
        <f>SUM(E16:E20)</f>
        <v>4403282</v>
      </c>
      <c r="G21" s="622"/>
      <c r="H21" s="1659">
        <f>F21</f>
        <v>4403282</v>
      </c>
      <c r="I21" s="238"/>
      <c r="J21" s="238"/>
      <c r="K21" s="238"/>
      <c r="L21" s="238"/>
      <c r="M21" s="238"/>
      <c r="N21" s="238"/>
    </row>
    <row r="22" spans="2:14">
      <c r="B22" s="292"/>
      <c r="C22" s="238"/>
      <c r="D22" s="232"/>
      <c r="E22" s="1656"/>
      <c r="F22" s="1333"/>
      <c r="G22" s="1409"/>
      <c r="H22" s="273"/>
      <c r="I22" s="238"/>
      <c r="J22" s="238"/>
      <c r="K22" s="238"/>
      <c r="L22" s="238"/>
      <c r="M22" s="238"/>
      <c r="N22" s="238"/>
    </row>
    <row r="23" spans="2:14">
      <c r="B23" s="292">
        <f>B21+1</f>
        <v>8</v>
      </c>
      <c r="C23" s="238" t="s">
        <v>218</v>
      </c>
      <c r="D23" s="1006" t="str">
        <f>"( line "&amp;B14&amp;" minus line "&amp;B21&amp;")"</f>
        <v>( line 1 minus line 7)</v>
      </c>
      <c r="E23" s="1656"/>
      <c r="F23" s="1333"/>
      <c r="G23" s="1409"/>
      <c r="H23" s="616">
        <f>H14-H21</f>
        <v>36210831.444710903</v>
      </c>
      <c r="I23" s="238"/>
      <c r="J23" s="238"/>
      <c r="K23" s="238"/>
      <c r="L23" s="238"/>
      <c r="M23" s="238"/>
      <c r="N23" s="238"/>
    </row>
    <row r="24" spans="2:14">
      <c r="B24" s="292"/>
      <c r="C24" s="238"/>
      <c r="D24" s="372"/>
      <c r="E24" s="1656"/>
      <c r="F24" s="1333"/>
      <c r="G24" s="1409"/>
      <c r="H24" s="590"/>
      <c r="I24" s="238"/>
      <c r="J24" s="238"/>
      <c r="K24" s="238"/>
      <c r="L24" s="238"/>
      <c r="M24" s="238"/>
      <c r="N24" s="238"/>
    </row>
    <row r="25" spans="2:14" ht="15.75">
      <c r="C25" s="618" t="s">
        <v>53</v>
      </c>
      <c r="D25" s="15"/>
      <c r="E25" s="1410"/>
      <c r="F25" s="630"/>
      <c r="G25" s="1660"/>
      <c r="H25" s="590"/>
      <c r="I25" s="238"/>
      <c r="J25" s="238"/>
      <c r="K25" s="238"/>
      <c r="L25" s="372"/>
      <c r="M25" s="238"/>
      <c r="N25" s="238"/>
    </row>
    <row r="26" spans="2:14">
      <c r="B26" s="13">
        <f>B23+1</f>
        <v>9</v>
      </c>
      <c r="C26" s="1" t="s">
        <v>220</v>
      </c>
      <c r="D26" s="1006" t="str">
        <f>"(Wksht. A-1, p.2  line "&amp;'A-1 (Act. Rev Credit) '!A66&amp;")"</f>
        <v>(Wksht. A-1, p.2  line 14)</v>
      </c>
      <c r="E26" s="724">
        <f>'A-1 (Act. Rev Credit) '!N66</f>
        <v>347526.34537432063</v>
      </c>
      <c r="F26" s="630"/>
      <c r="G26" s="620"/>
      <c r="H26" s="579"/>
      <c r="I26" s="238"/>
      <c r="J26" s="238"/>
      <c r="K26" s="238"/>
      <c r="L26" s="238"/>
      <c r="M26" s="238"/>
      <c r="N26" s="238"/>
    </row>
    <row r="27" spans="2:14">
      <c r="B27" s="13">
        <f>B26+1</f>
        <v>10</v>
      </c>
      <c r="C27" s="39" t="s">
        <v>435</v>
      </c>
      <c r="D27" s="1006" t="str">
        <f>"(Wksht. A-1, p.2  line "&amp;'A-1 (Act. Rev Credit) '!A67&amp;")"</f>
        <v>(Wksht. A-1, p.2  line 15)</v>
      </c>
      <c r="E27" s="626">
        <f>'A-1 (Act. Rev Credit) '!N67</f>
        <v>28597.654625679454</v>
      </c>
      <c r="F27" s="630"/>
      <c r="G27" s="620"/>
      <c r="H27" s="276"/>
      <c r="I27" s="238"/>
      <c r="J27" s="238"/>
      <c r="K27" s="238"/>
      <c r="L27" s="238"/>
      <c r="M27" s="238"/>
      <c r="N27" s="238"/>
    </row>
    <row r="28" spans="2:14">
      <c r="B28" s="13">
        <f>B27+1</f>
        <v>11</v>
      </c>
      <c r="C28" s="39" t="s">
        <v>436</v>
      </c>
      <c r="D28" s="1006" t="str">
        <f>"(Wksht. A-1, p.2  line "&amp;'A-1 (Act. Rev Credit) '!A68&amp;")"</f>
        <v>(Wksht. A-1, p.2  line 16)</v>
      </c>
      <c r="E28" s="628">
        <f>'A-1 (Act. Rev Credit) '!N68</f>
        <v>0</v>
      </c>
      <c r="F28" s="630"/>
      <c r="G28" s="620"/>
      <c r="H28" s="276"/>
      <c r="I28" s="238"/>
      <c r="J28" s="238"/>
      <c r="K28" s="238"/>
      <c r="L28" s="238"/>
      <c r="M28" s="238"/>
      <c r="N28" s="238"/>
    </row>
    <row r="29" spans="2:14">
      <c r="B29" s="13">
        <f>B28+1</f>
        <v>12</v>
      </c>
      <c r="C29" s="39" t="s">
        <v>437</v>
      </c>
      <c r="D29" s="1006" t="str">
        <f>"(Wksht. A-1, p.2  line "&amp;'A-1 (Act. Rev Credit) '!A69&amp;")"</f>
        <v>(Wksht. A-1, p.2  line 17)</v>
      </c>
      <c r="E29" s="750">
        <f>'A-1 (Act. Rev Credit) '!N69</f>
        <v>0</v>
      </c>
      <c r="F29" s="630"/>
      <c r="G29" s="620"/>
      <c r="H29" s="229"/>
      <c r="I29" s="238"/>
      <c r="J29" s="238"/>
      <c r="K29" s="238"/>
      <c r="L29" s="238"/>
      <c r="M29" s="238"/>
      <c r="N29" s="238"/>
    </row>
    <row r="30" spans="2:14">
      <c r="B30" s="13">
        <f>B29+1</f>
        <v>13</v>
      </c>
      <c r="C30" s="1" t="s">
        <v>54</v>
      </c>
      <c r="D30" s="483" t="str">
        <f>"(sum line "&amp;B26&amp;"  thru line "&amp;B29&amp;")"</f>
        <v>(sum line 9  thru line 12)</v>
      </c>
      <c r="E30" s="626"/>
      <c r="F30" s="1659">
        <f>SUM(E26:E29)</f>
        <v>376124.00000000012</v>
      </c>
      <c r="G30" s="620"/>
      <c r="H30" s="579"/>
      <c r="I30" s="238"/>
      <c r="J30" s="238"/>
      <c r="K30" s="238"/>
      <c r="L30" s="238"/>
      <c r="M30" s="238"/>
      <c r="N30" s="238"/>
    </row>
    <row r="31" spans="2:14">
      <c r="B31" s="13"/>
      <c r="C31" s="1"/>
      <c r="D31" s="15"/>
      <c r="E31" s="628"/>
      <c r="F31" s="630"/>
      <c r="G31" s="629"/>
      <c r="H31" s="615"/>
      <c r="I31" s="238"/>
      <c r="J31" s="238"/>
      <c r="K31" s="238"/>
      <c r="L31" s="238"/>
      <c r="M31" s="238"/>
      <c r="N31" s="238"/>
    </row>
    <row r="32" spans="2:14" ht="15.75">
      <c r="B32" s="13">
        <f>B30+1</f>
        <v>14</v>
      </c>
      <c r="C32" s="1" t="s">
        <v>221</v>
      </c>
      <c r="D32" s="1006" t="str">
        <f>"(Wksht. A-1, p.1  line "&amp;'A-1 (Act. Rev Credit) '!A42&amp;")"</f>
        <v>(Wksht. A-1, p.1  line 39)</v>
      </c>
      <c r="E32" s="628"/>
      <c r="F32" s="630"/>
      <c r="G32" s="629"/>
      <c r="H32" s="642">
        <f>'A-1 (Act. Rev Credit) '!N42</f>
        <v>5795907</v>
      </c>
      <c r="I32" s="238"/>
      <c r="J32" s="544"/>
      <c r="K32" s="238"/>
      <c r="L32" s="238"/>
      <c r="M32" s="238"/>
      <c r="N32" s="238"/>
    </row>
    <row r="33" spans="1:14">
      <c r="B33" s="13"/>
      <c r="C33" s="2"/>
      <c r="D33" s="15"/>
      <c r="E33" s="628"/>
      <c r="F33" s="630"/>
      <c r="G33" s="629"/>
      <c r="H33" s="615"/>
      <c r="I33" s="238"/>
      <c r="J33" s="238"/>
      <c r="K33" s="238"/>
      <c r="L33" s="238"/>
      <c r="M33" s="238"/>
      <c r="N33" s="238"/>
    </row>
    <row r="34" spans="1:14" ht="15.75">
      <c r="B34" s="13"/>
      <c r="C34" s="618" t="s">
        <v>219</v>
      </c>
      <c r="D34" s="232"/>
      <c r="E34" s="628"/>
      <c r="F34" s="630"/>
      <c r="G34" s="629"/>
      <c r="H34" s="615"/>
      <c r="I34" s="238"/>
      <c r="J34" s="238"/>
      <c r="K34" s="238"/>
      <c r="L34" s="238"/>
      <c r="M34" s="238"/>
      <c r="N34" s="238"/>
    </row>
    <row r="35" spans="1:14">
      <c r="B35" s="292">
        <f>B32+1</f>
        <v>15</v>
      </c>
      <c r="C35" s="238" t="s">
        <v>719</v>
      </c>
      <c r="D35" s="1006" t="str">
        <f>"( line "&amp;B16&amp;" minus line "&amp;B26&amp;")"</f>
        <v>( line 2 minus line 9)</v>
      </c>
      <c r="E35" s="754">
        <f>E16-E26</f>
        <v>2095894.6546256794</v>
      </c>
      <c r="F35" s="630"/>
      <c r="G35" s="629"/>
      <c r="H35" s="642"/>
      <c r="I35" s="238"/>
      <c r="J35" s="238"/>
      <c r="K35" s="238"/>
      <c r="L35" s="238"/>
      <c r="M35" s="238"/>
      <c r="N35" s="238"/>
    </row>
    <row r="36" spans="1:14">
      <c r="B36" s="292">
        <f>B35+1</f>
        <v>16</v>
      </c>
      <c r="C36" s="322" t="s">
        <v>1189</v>
      </c>
      <c r="D36" s="1006" t="str">
        <f>"( line "&amp;B17&amp;" minus line "&amp;B27&amp;")"</f>
        <v>( line 3 minus line 10)</v>
      </c>
      <c r="E36" s="628">
        <f>E17-E27</f>
        <v>-28597.654625679454</v>
      </c>
      <c r="F36" s="630"/>
      <c r="G36" s="629"/>
      <c r="H36" s="615"/>
      <c r="I36" s="238"/>
      <c r="J36" s="238"/>
      <c r="K36" s="238"/>
      <c r="L36" s="238"/>
      <c r="M36" s="238"/>
      <c r="N36" s="238"/>
    </row>
    <row r="37" spans="1:14">
      <c r="B37" s="292">
        <f>B36+1</f>
        <v>17</v>
      </c>
      <c r="C37" s="322" t="s">
        <v>91</v>
      </c>
      <c r="D37" s="1006" t="str">
        <f>"( line "&amp;B18&amp;" minus line "&amp;B28&amp;")"</f>
        <v>( line 4 minus line 11)</v>
      </c>
      <c r="E37" s="628">
        <f>E18-E28</f>
        <v>0</v>
      </c>
      <c r="F37" s="630"/>
      <c r="G37" s="629"/>
      <c r="H37" s="615"/>
      <c r="I37" s="238"/>
      <c r="J37" s="238"/>
      <c r="K37" s="238"/>
      <c r="L37" s="238"/>
      <c r="M37" s="238"/>
      <c r="N37" s="238"/>
    </row>
    <row r="38" spans="1:14">
      <c r="B38" s="292">
        <f>B37+1</f>
        <v>18</v>
      </c>
      <c r="C38" s="322" t="s">
        <v>1190</v>
      </c>
      <c r="D38" s="1006" t="str">
        <f>"( line "&amp;B19&amp;" minus line "&amp;B29&amp;")"</f>
        <v>( line 5 minus line 12)</v>
      </c>
      <c r="E38" s="750">
        <f>E19-E29</f>
        <v>0</v>
      </c>
      <c r="F38" s="630"/>
      <c r="G38" s="629"/>
      <c r="H38" s="229"/>
      <c r="I38" s="238"/>
      <c r="J38" s="238"/>
      <c r="K38" s="238"/>
      <c r="L38" s="238"/>
      <c r="M38" s="238"/>
      <c r="N38" s="238"/>
    </row>
    <row r="39" spans="1:14">
      <c r="B39" s="292">
        <f>B38+1</f>
        <v>19</v>
      </c>
      <c r="C39" s="238" t="s">
        <v>54</v>
      </c>
      <c r="D39" s="1006" t="str">
        <f>"(sum line "&amp;B35&amp;"  thru line "&amp;B38&amp;")"</f>
        <v>(sum line 15  thru line 18)</v>
      </c>
      <c r="E39" s="628"/>
      <c r="F39" s="1659">
        <f>SUM(E35:E38)</f>
        <v>2067297</v>
      </c>
      <c r="G39" s="629"/>
      <c r="H39" s="642"/>
      <c r="I39" s="238"/>
      <c r="J39" s="238"/>
      <c r="K39" s="238"/>
      <c r="L39" s="238"/>
      <c r="M39" s="238"/>
      <c r="N39" s="238"/>
    </row>
    <row r="40" spans="1:14">
      <c r="B40" s="292"/>
      <c r="C40" s="238"/>
      <c r="D40" s="232"/>
      <c r="E40" s="628"/>
      <c r="F40" s="630"/>
      <c r="G40" s="629"/>
      <c r="H40" s="642"/>
      <c r="I40" s="238"/>
      <c r="J40" s="238"/>
      <c r="K40" s="238"/>
      <c r="L40" s="238"/>
      <c r="M40" s="238"/>
      <c r="N40" s="238"/>
    </row>
    <row r="41" spans="1:14">
      <c r="B41" s="292">
        <f>B39+1</f>
        <v>20</v>
      </c>
      <c r="C41" s="238" t="s">
        <v>720</v>
      </c>
      <c r="D41" s="1006" t="str">
        <f>"( line "&amp;B23&amp;" minus line "&amp;B32&amp;")"</f>
        <v>( line 8 minus line 14)</v>
      </c>
      <c r="E41" s="628"/>
      <c r="F41" s="630"/>
      <c r="G41" s="629"/>
      <c r="H41" s="642">
        <f>H23-H32</f>
        <v>30414924.444710903</v>
      </c>
      <c r="I41" s="238"/>
      <c r="J41" s="238"/>
      <c r="K41" s="238"/>
      <c r="L41" s="238"/>
      <c r="M41" s="238"/>
      <c r="N41" s="238"/>
    </row>
    <row r="42" spans="1:14">
      <c r="B42" s="292"/>
      <c r="C42" s="233"/>
      <c r="D42" s="372"/>
      <c r="E42" s="628"/>
      <c r="F42" s="630"/>
      <c r="G42" s="629"/>
      <c r="H42" s="615"/>
      <c r="I42" s="238"/>
      <c r="J42" s="238"/>
      <c r="K42" s="238"/>
      <c r="L42" s="238"/>
      <c r="M42" s="238"/>
      <c r="N42" s="238"/>
    </row>
    <row r="43" spans="1:14">
      <c r="B43" s="371">
        <f>B41+1</f>
        <v>21</v>
      </c>
      <c r="C43" s="631" t="s">
        <v>721</v>
      </c>
      <c r="D43" s="1006" t="str">
        <f>"(Act Gross Rev, p. 1,  ln "&amp;'Actual Gross Rev Req'!B34&amp;" less ln "&amp;'Actual Gross Rev Req'!B35&amp;")"</f>
        <v>(Act Gross Rev, p. 1,  ln 16 less ln 17)</v>
      </c>
      <c r="E43" s="626"/>
      <c r="F43" s="1661"/>
      <c r="G43" s="629"/>
      <c r="H43" s="1662">
        <f>'Actual Gross Rev Req'!M34-'Actual Gross Rev Req'!M35</f>
        <v>177981431.53846154</v>
      </c>
      <c r="I43" s="238"/>
      <c r="J43" s="238"/>
      <c r="K43" s="238"/>
      <c r="L43" s="238"/>
      <c r="M43" s="238"/>
      <c r="N43" s="238"/>
    </row>
    <row r="44" spans="1:14">
      <c r="B44" s="371"/>
      <c r="C44" s="373"/>
      <c r="D44" s="339"/>
      <c r="E44" s="629"/>
      <c r="F44" s="1661"/>
      <c r="G44" s="629"/>
      <c r="H44" s="632"/>
      <c r="I44" s="238"/>
      <c r="J44" s="238"/>
      <c r="K44" s="238"/>
      <c r="L44" s="238"/>
      <c r="M44" s="238"/>
      <c r="N44" s="238"/>
    </row>
    <row r="45" spans="1:14">
      <c r="B45" s="371">
        <f>B43+1</f>
        <v>22</v>
      </c>
      <c r="C45" s="638" t="s">
        <v>90</v>
      </c>
      <c r="D45" s="1006" t="str">
        <f>"(Act Gross Rev, p. 2,  ln "&amp;'Actual Gross Rev Req'!B123&amp;" )"</f>
        <v>(Act Gross Rev, p. 2,  ln 29 )</v>
      </c>
      <c r="E45" s="998"/>
      <c r="F45" s="1332"/>
      <c r="G45" s="999"/>
      <c r="H45" s="1000">
        <f>'Actual Gross Rev Req'!M123</f>
        <v>40614113.444710903</v>
      </c>
      <c r="I45" s="372"/>
      <c r="J45" s="238"/>
      <c r="K45" s="238"/>
      <c r="L45" s="238"/>
      <c r="M45" s="238"/>
      <c r="N45" s="238"/>
    </row>
    <row r="46" spans="1:14">
      <c r="B46" s="371"/>
      <c r="C46" s="373"/>
      <c r="D46" s="372"/>
      <c r="E46" s="629"/>
      <c r="F46" s="1331"/>
      <c r="G46" s="629"/>
      <c r="H46" s="632"/>
      <c r="I46" s="238"/>
      <c r="J46" s="238"/>
      <c r="K46" s="238"/>
      <c r="L46" s="238"/>
      <c r="M46" s="238"/>
      <c r="N46" s="238"/>
    </row>
    <row r="47" spans="1:14">
      <c r="B47" s="371">
        <f>B45+1</f>
        <v>23</v>
      </c>
      <c r="C47" s="373" t="s">
        <v>722</v>
      </c>
      <c r="D47" s="1006" t="str">
        <f>"( line "&amp;B45&amp;"  /  line "&amp;B43&amp;")"</f>
        <v>( line 22  /  line 21)</v>
      </c>
      <c r="E47" s="629"/>
      <c r="F47" s="627"/>
      <c r="G47" s="629"/>
      <c r="H47" s="643">
        <f>H45/H43</f>
        <v>0.22819298110844924</v>
      </c>
      <c r="I47" s="238"/>
      <c r="J47" s="238"/>
      <c r="K47" s="238"/>
      <c r="L47" s="238"/>
      <c r="M47" s="238"/>
      <c r="N47" s="238"/>
    </row>
    <row r="48" spans="1:14" ht="15.75">
      <c r="A48" s="371"/>
      <c r="B48" s="425"/>
      <c r="C48" s="631"/>
      <c r="D48" s="15"/>
      <c r="E48" s="633"/>
      <c r="F48" s="627"/>
      <c r="G48" s="627"/>
      <c r="H48" s="284"/>
      <c r="I48" s="238"/>
      <c r="J48" s="544"/>
      <c r="K48" s="238"/>
      <c r="L48" s="238"/>
      <c r="M48" s="238"/>
      <c r="N48" s="238"/>
    </row>
    <row r="49" spans="1:14">
      <c r="A49" s="371"/>
      <c r="B49" s="425"/>
      <c r="C49" s="425"/>
      <c r="D49" s="619"/>
      <c r="E49" s="627"/>
      <c r="F49" s="625"/>
      <c r="G49" s="627"/>
      <c r="H49" s="337"/>
      <c r="I49" s="238"/>
      <c r="J49" s="238"/>
      <c r="K49" s="238"/>
      <c r="L49" s="238"/>
      <c r="M49" s="238"/>
      <c r="N49" s="238"/>
    </row>
    <row r="50" spans="1:14" ht="15.75">
      <c r="A50" s="371"/>
      <c r="B50" s="425"/>
      <c r="C50" s="631"/>
      <c r="D50" s="619"/>
      <c r="E50" s="633"/>
      <c r="F50" s="627"/>
      <c r="G50" s="627"/>
      <c r="H50" s="634"/>
      <c r="I50" s="238"/>
      <c r="J50" s="238" t="s">
        <v>49</v>
      </c>
      <c r="K50" s="238"/>
      <c r="L50" s="238"/>
      <c r="M50" s="238"/>
      <c r="N50" s="238"/>
    </row>
    <row r="51" spans="1:14">
      <c r="A51" s="371"/>
      <c r="B51" s="425"/>
      <c r="C51" s="631"/>
      <c r="D51" s="619"/>
      <c r="E51" s="635"/>
      <c r="F51" s="381"/>
      <c r="G51" s="381"/>
      <c r="H51" s="375"/>
      <c r="I51" s="238"/>
      <c r="J51" s="238"/>
      <c r="K51" s="238"/>
      <c r="L51" s="238"/>
      <c r="M51" s="238"/>
      <c r="N51" s="238"/>
    </row>
    <row r="52" spans="1:14" s="229" customFormat="1" ht="15.75">
      <c r="A52" s="636"/>
      <c r="B52" s="637"/>
      <c r="C52" s="638"/>
      <c r="D52" s="338"/>
      <c r="E52" s="639"/>
      <c r="F52" s="339"/>
      <c r="G52" s="337"/>
      <c r="H52" s="310"/>
      <c r="I52" s="372"/>
      <c r="J52" s="529"/>
      <c r="K52" s="372"/>
      <c r="L52" s="372"/>
      <c r="M52" s="372"/>
      <c r="N52" s="372"/>
    </row>
    <row r="53" spans="1:14" s="229" customFormat="1">
      <c r="A53" s="636"/>
      <c r="B53" s="637"/>
      <c r="C53" s="638"/>
      <c r="D53" s="338"/>
      <c r="E53" s="639"/>
      <c r="F53" s="339"/>
      <c r="G53" s="337"/>
      <c r="H53" s="310"/>
      <c r="I53" s="372"/>
      <c r="J53" s="372"/>
      <c r="K53" s="372"/>
      <c r="L53" s="372"/>
      <c r="M53" s="372"/>
      <c r="N53" s="372"/>
    </row>
    <row r="54" spans="1:14" s="229" customFormat="1">
      <c r="A54" s="636"/>
      <c r="B54" s="637"/>
      <c r="C54" s="638"/>
      <c r="D54" s="338"/>
      <c r="E54" s="639"/>
      <c r="F54" s="339"/>
      <c r="G54" s="337"/>
      <c r="H54" s="310"/>
      <c r="I54" s="372"/>
      <c r="J54" s="372"/>
      <c r="K54" s="372"/>
      <c r="L54" s="372"/>
      <c r="M54" s="372"/>
      <c r="N54" s="372"/>
    </row>
    <row r="55" spans="1:14" s="229" customFormat="1">
      <c r="A55" s="636"/>
      <c r="B55" s="337"/>
      <c r="C55" s="638"/>
      <c r="D55" s="338"/>
      <c r="E55" s="639"/>
      <c r="F55" s="339"/>
      <c r="G55" s="339"/>
      <c r="H55" s="375"/>
      <c r="I55" s="372"/>
      <c r="J55" s="372"/>
      <c r="K55" s="372"/>
      <c r="L55" s="372"/>
      <c r="M55" s="372"/>
      <c r="N55" s="372"/>
    </row>
    <row r="56" spans="1:14" s="229" customFormat="1">
      <c r="A56" s="636"/>
      <c r="B56" s="337"/>
      <c r="C56" s="638"/>
      <c r="D56" s="337"/>
      <c r="E56" s="639"/>
      <c r="F56" s="339"/>
      <c r="G56" s="339"/>
      <c r="H56" s="375"/>
      <c r="I56" s="372"/>
      <c r="J56" s="372"/>
      <c r="K56" s="372"/>
      <c r="L56" s="372"/>
      <c r="M56" s="372"/>
      <c r="N56" s="372"/>
    </row>
    <row r="57" spans="1:14" s="229" customFormat="1">
      <c r="A57" s="636"/>
      <c r="B57" s="337"/>
      <c r="C57" s="337"/>
      <c r="D57" s="339"/>
      <c r="E57" s="337"/>
      <c r="F57" s="337"/>
      <c r="G57" s="640"/>
      <c r="H57" s="339"/>
      <c r="I57" s="372"/>
      <c r="J57" s="372"/>
      <c r="K57" s="372"/>
      <c r="L57" s="372"/>
      <c r="M57" s="372"/>
      <c r="N57" s="372"/>
    </row>
    <row r="58" spans="1:14" s="229" customFormat="1">
      <c r="A58" s="636"/>
      <c r="B58" s="337"/>
      <c r="C58" s="638"/>
      <c r="D58" s="338"/>
      <c r="E58" s="338"/>
      <c r="F58" s="338"/>
      <c r="G58" s="338"/>
      <c r="H58" s="641"/>
      <c r="I58" s="372"/>
      <c r="J58" s="372"/>
      <c r="K58" s="372"/>
      <c r="L58" s="372"/>
      <c r="M58" s="372"/>
      <c r="N58" s="372"/>
    </row>
    <row r="59" spans="1:14">
      <c r="A59" s="636"/>
      <c r="B59" s="337"/>
      <c r="C59" s="337"/>
      <c r="D59" s="338"/>
      <c r="E59" s="639"/>
      <c r="F59" s="381"/>
      <c r="G59" s="381"/>
      <c r="H59" s="375"/>
    </row>
    <row r="60" spans="1:14">
      <c r="A60" s="636"/>
      <c r="B60" s="337"/>
      <c r="C60" s="337"/>
      <c r="D60" s="338"/>
      <c r="E60" s="639"/>
      <c r="F60" s="381"/>
      <c r="G60" s="381"/>
      <c r="H60" s="457"/>
    </row>
    <row r="61" spans="1:14">
      <c r="A61" s="636"/>
      <c r="B61" s="337"/>
      <c r="C61" s="337"/>
      <c r="D61" s="338"/>
      <c r="E61" s="639"/>
      <c r="F61" s="381"/>
      <c r="G61" s="381"/>
      <c r="H61" s="375"/>
    </row>
    <row r="62" spans="1:14">
      <c r="A62" s="307"/>
      <c r="B62" s="229"/>
      <c r="C62" s="229"/>
      <c r="D62" s="372"/>
      <c r="E62" s="374"/>
      <c r="F62" s="230"/>
      <c r="G62" s="230"/>
      <c r="H62" s="375"/>
    </row>
    <row r="63" spans="1:14">
      <c r="A63" s="307"/>
      <c r="B63" s="229"/>
      <c r="C63" s="229"/>
      <c r="D63" s="372"/>
      <c r="E63" s="374"/>
      <c r="F63" s="230"/>
      <c r="G63" s="230"/>
      <c r="H63" s="375"/>
    </row>
    <row r="64" spans="1:14">
      <c r="A64" s="307"/>
      <c r="B64" s="229"/>
      <c r="C64" s="229"/>
      <c r="D64" s="372"/>
      <c r="E64" s="374"/>
      <c r="F64" s="230"/>
      <c r="G64" s="230"/>
      <c r="H64" s="375"/>
    </row>
    <row r="65" spans="1:8">
      <c r="A65" s="307"/>
      <c r="B65" s="229"/>
      <c r="C65" s="229"/>
      <c r="D65" s="372"/>
      <c r="E65" s="374"/>
      <c r="F65" s="230"/>
      <c r="G65" s="230"/>
      <c r="H65" s="375"/>
    </row>
    <row r="66" spans="1:8">
      <c r="C66" s="44"/>
    </row>
    <row r="67" spans="1:8">
      <c r="A67" s="304" t="s">
        <v>49</v>
      </c>
      <c r="B67" s="240" t="s">
        <v>49</v>
      </c>
      <c r="C67" s="322"/>
      <c r="D67" s="322"/>
      <c r="E67" s="322"/>
      <c r="F67" s="322"/>
    </row>
    <row r="68" spans="1:8">
      <c r="C68" s="322"/>
      <c r="D68" s="322"/>
      <c r="E68" s="322"/>
      <c r="F68" s="322"/>
    </row>
  </sheetData>
  <sheetProtection selectLockedCells="1" selectUnlockedCells="1"/>
  <customSheetViews>
    <customSheetView guid="{FAA8FFD9-C96B-4A1B-8B9E-B863FD90DDBA}" scale="75" fitToPage="1" showRuler="0">
      <selection activeCell="H1" sqref="H1:H2"/>
      <pageMargins left="7.0000000000000007E-2" right="0.3" top="0.77" bottom="0.75" header="0.5" footer="0.5"/>
      <printOptions horizontalCentered="1" gridLines="1"/>
      <pageSetup scale="65" orientation="portrait" r:id="rId1"/>
      <headerFooter alignWithMargins="0"/>
    </customSheetView>
  </customSheetViews>
  <mergeCells count="7">
    <mergeCell ref="C8:G8"/>
    <mergeCell ref="C9:G9"/>
    <mergeCell ref="C7:G7"/>
    <mergeCell ref="C3:G3"/>
    <mergeCell ref="C4:G4"/>
    <mergeCell ref="C6:G6"/>
    <mergeCell ref="C5:G5"/>
  </mergeCells>
  <phoneticPr fontId="0" type="noConversion"/>
  <printOptions horizontalCentered="1" gridLines="1"/>
  <pageMargins left="0.5" right="0.5" top="0.5" bottom="0.5" header="0" footer="0"/>
  <pageSetup scale="73"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T292"/>
  <sheetViews>
    <sheetView topLeftCell="A7" zoomScale="75" zoomScaleNormal="75" zoomScaleSheetLayoutView="75" workbookViewId="0">
      <selection activeCell="Q33" sqref="Q33:Q36"/>
    </sheetView>
  </sheetViews>
  <sheetFormatPr defaultRowHeight="15" outlineLevelRow="1"/>
  <cols>
    <col min="1" max="1" width="2.77734375" style="228" customWidth="1"/>
    <col min="2" max="2" width="5.44140625" style="228" customWidth="1"/>
    <col min="3" max="3" width="1.21875" style="228" customWidth="1"/>
    <col min="4" max="4" width="43.44140625" style="228" customWidth="1"/>
    <col min="5" max="5" width="31.33203125" style="228" customWidth="1"/>
    <col min="6" max="6" width="21.21875" style="228" bestFit="1" customWidth="1"/>
    <col min="7" max="7" width="6" style="228" customWidth="1"/>
    <col min="8" max="8" width="18.33203125" style="228" bestFit="1" customWidth="1"/>
    <col min="9" max="9" width="9.33203125" style="228" customWidth="1"/>
    <col min="10" max="10" width="4" style="228" customWidth="1"/>
    <col min="11" max="11" width="12.77734375" style="228" customWidth="1"/>
    <col min="12" max="12" width="8" style="228" customWidth="1"/>
    <col min="13" max="13" width="15" style="228" customWidth="1"/>
    <col min="14" max="14" width="3.6640625" style="228" customWidth="1"/>
    <col min="15" max="15" width="4.5546875" style="228" customWidth="1"/>
    <col min="16" max="16" width="3.21875" style="228" customWidth="1"/>
    <col min="17" max="17" width="16.21875" style="228" customWidth="1"/>
    <col min="18" max="18" width="11.77734375" style="228" bestFit="1" customWidth="1"/>
    <col min="19" max="16384" width="8.88671875" style="228"/>
  </cols>
  <sheetData>
    <row r="1" spans="1:17" s="10" customFormat="1" ht="15.75">
      <c r="D1" s="2"/>
      <c r="E1" s="2158" t="s">
        <v>48</v>
      </c>
      <c r="F1" s="2158"/>
      <c r="G1" s="2158"/>
      <c r="H1" s="2159"/>
      <c r="I1" s="2159"/>
      <c r="J1" s="2"/>
      <c r="K1" s="1329"/>
      <c r="M1" s="40"/>
      <c r="P1" s="2"/>
    </row>
    <row r="2" spans="1:17" s="10" customFormat="1" ht="15.75">
      <c r="D2" s="2"/>
      <c r="E2" s="2160" t="s">
        <v>1543</v>
      </c>
      <c r="F2" s="2160"/>
      <c r="G2" s="2160"/>
      <c r="H2" s="2159"/>
      <c r="I2" s="2159"/>
      <c r="J2" s="4"/>
      <c r="K2" s="1623"/>
      <c r="M2" s="1952" t="s">
        <v>152</v>
      </c>
      <c r="P2" s="4"/>
    </row>
    <row r="3" spans="1:17" s="10" customFormat="1">
      <c r="D3" s="2"/>
      <c r="E3" s="2160" t="s">
        <v>654</v>
      </c>
      <c r="F3" s="2160"/>
      <c r="G3" s="2160"/>
      <c r="H3" s="2160"/>
      <c r="I3" s="2160"/>
      <c r="J3" s="4"/>
      <c r="K3" s="4"/>
      <c r="N3" s="4"/>
      <c r="O3" s="41"/>
      <c r="P3" s="4"/>
    </row>
    <row r="4" spans="1:17" ht="18">
      <c r="B4" s="10"/>
      <c r="C4" s="10"/>
      <c r="D4" s="2"/>
      <c r="E4" s="2151" t="str">
        <f>+'Actual Net Rev Req'!C6</f>
        <v>For the 12 months ended - December 31, 2012</v>
      </c>
      <c r="F4" s="2151"/>
      <c r="G4" s="2151"/>
      <c r="H4" s="2151"/>
      <c r="I4" s="2151"/>
      <c r="J4" s="87"/>
      <c r="K4" s="87"/>
      <c r="L4" s="233"/>
      <c r="N4" s="230"/>
      <c r="P4" s="230"/>
    </row>
    <row r="5" spans="1:17">
      <c r="D5" s="233"/>
      <c r="E5" s="230"/>
      <c r="F5" s="230"/>
      <c r="G5" s="230"/>
      <c r="H5" s="263"/>
      <c r="I5" s="230"/>
      <c r="J5" s="230"/>
      <c r="K5" s="230"/>
      <c r="L5" s="233"/>
      <c r="N5" s="230"/>
      <c r="O5" s="230"/>
      <c r="P5" s="230"/>
    </row>
    <row r="6" spans="1:17">
      <c r="D6" s="233"/>
      <c r="E6" s="2162" t="s">
        <v>72</v>
      </c>
      <c r="F6" s="2162"/>
      <c r="G6" s="2162"/>
      <c r="H6" s="2163"/>
      <c r="I6" s="2163"/>
      <c r="J6" s="230"/>
      <c r="K6" s="230"/>
      <c r="L6" s="2"/>
      <c r="M6" s="40" t="s">
        <v>1558</v>
      </c>
      <c r="N6" s="230"/>
      <c r="O6" s="230"/>
      <c r="P6" s="230"/>
    </row>
    <row r="7" spans="1:17" s="10" customFormat="1">
      <c r="B7" s="228"/>
      <c r="C7" s="228"/>
      <c r="D7" s="233"/>
      <c r="E7" s="2164" t="s">
        <v>68</v>
      </c>
      <c r="F7" s="2165"/>
      <c r="G7" s="2165"/>
      <c r="H7" s="2165"/>
      <c r="I7" s="2165"/>
      <c r="J7" s="4"/>
      <c r="K7" s="4"/>
      <c r="L7" s="4"/>
      <c r="M7" s="41" t="s">
        <v>1120</v>
      </c>
      <c r="N7" s="4"/>
      <c r="O7" s="4"/>
      <c r="P7" s="4"/>
    </row>
    <row r="8" spans="1:17" s="10" customFormat="1">
      <c r="D8" s="2"/>
      <c r="E8" s="5"/>
      <c r="F8" s="6"/>
      <c r="G8" s="6"/>
      <c r="K8" s="4"/>
      <c r="L8" s="4"/>
      <c r="M8" s="4"/>
      <c r="N8" s="4"/>
      <c r="O8" s="4"/>
      <c r="P8" s="4"/>
    </row>
    <row r="9" spans="1:17" s="10" customFormat="1">
      <c r="D9" s="3" t="s">
        <v>916</v>
      </c>
      <c r="E9" s="3" t="s">
        <v>917</v>
      </c>
      <c r="F9" s="3" t="s">
        <v>924</v>
      </c>
      <c r="H9" s="1643" t="s">
        <v>925</v>
      </c>
      <c r="I9" s="1643" t="s">
        <v>926</v>
      </c>
      <c r="J9" s="4"/>
      <c r="K9" s="64" t="s">
        <v>694</v>
      </c>
      <c r="L9" s="4"/>
      <c r="M9" s="64" t="s">
        <v>695</v>
      </c>
      <c r="N9" s="4"/>
      <c r="O9" s="3"/>
      <c r="P9" s="4"/>
    </row>
    <row r="10" spans="1:17" ht="15.75">
      <c r="A10" s="603"/>
      <c r="B10" s="10"/>
      <c r="C10" s="10"/>
      <c r="D10" s="2"/>
      <c r="E10" s="10"/>
      <c r="F10" s="22"/>
      <c r="G10" s="73"/>
      <c r="H10" s="230"/>
      <c r="I10" s="230"/>
      <c r="J10" s="230"/>
      <c r="K10" s="292"/>
      <c r="L10" s="230"/>
      <c r="N10" s="230"/>
      <c r="O10" s="293"/>
      <c r="P10" s="230"/>
    </row>
    <row r="11" spans="1:17" ht="15.75">
      <c r="A11" s="604"/>
      <c r="B11" s="292" t="s">
        <v>50</v>
      </c>
      <c r="D11" s="233"/>
      <c r="E11" s="12" t="s">
        <v>927</v>
      </c>
      <c r="F11" s="73" t="s">
        <v>73</v>
      </c>
      <c r="G11" s="62"/>
      <c r="H11" s="73" t="s">
        <v>1650</v>
      </c>
      <c r="I11" s="18"/>
      <c r="J11" s="14"/>
      <c r="L11" s="18"/>
      <c r="M11" s="14" t="s">
        <v>452</v>
      </c>
      <c r="N11" s="230"/>
      <c r="O11" s="293"/>
      <c r="P11" s="238"/>
      <c r="Q11" s="508"/>
    </row>
    <row r="12" spans="1:17" ht="16.5" thickBot="1">
      <c r="A12" s="604"/>
      <c r="B12" s="264" t="s">
        <v>51</v>
      </c>
      <c r="C12" s="294"/>
      <c r="D12" s="158" t="s">
        <v>455</v>
      </c>
      <c r="E12" s="159" t="s">
        <v>453</v>
      </c>
      <c r="F12" s="160"/>
      <c r="G12" s="161"/>
      <c r="H12" s="162"/>
      <c r="I12" s="258"/>
      <c r="J12" s="162" t="s">
        <v>454</v>
      </c>
      <c r="K12" s="258"/>
      <c r="L12" s="258"/>
      <c r="M12" s="582" t="s">
        <v>355</v>
      </c>
      <c r="N12" s="230"/>
      <c r="O12" s="230"/>
      <c r="P12" s="238"/>
    </row>
    <row r="13" spans="1:17">
      <c r="B13" s="292"/>
      <c r="D13" s="233"/>
      <c r="E13" s="230"/>
      <c r="F13" s="563"/>
      <c r="G13" s="230"/>
      <c r="H13" s="230"/>
      <c r="I13" s="232"/>
      <c r="J13" s="230"/>
      <c r="K13" s="230"/>
      <c r="L13" s="230"/>
      <c r="M13" s="230"/>
      <c r="N13" s="230"/>
      <c r="O13" s="230"/>
      <c r="P13" s="238"/>
    </row>
    <row r="14" spans="1:17" ht="15.75">
      <c r="B14" s="292"/>
      <c r="D14" s="233" t="s">
        <v>1021</v>
      </c>
      <c r="E14" s="15"/>
      <c r="F14" s="27"/>
      <c r="G14" s="27"/>
      <c r="H14" s="230"/>
      <c r="I14" s="232"/>
      <c r="J14" s="230"/>
      <c r="K14" s="230"/>
      <c r="L14" s="230"/>
      <c r="M14" s="230"/>
      <c r="N14" s="230"/>
      <c r="O14" s="230"/>
      <c r="P14" s="238"/>
    </row>
    <row r="15" spans="1:17">
      <c r="B15" s="307">
        <v>1</v>
      </c>
      <c r="D15" s="245" t="s">
        <v>456</v>
      </c>
      <c r="E15" s="1020" t="str">
        <f>"(Wksht. A-11, p.1, Line "&amp;'A-11 (Act 13 Mo &amp; BOY-EOY Aver)'!A12&amp;" &amp; "&amp;'A-11 (Act 13 Mo &amp; BOY-EOY Aver)'!A13&amp;")"</f>
        <v>(Wksht. A-11, p.1, Line 1 &amp; 2)</v>
      </c>
      <c r="F15" s="1669">
        <f>'A-11 (Act 13 Mo &amp; BOY-EOY Aver)'!P12+'A-11 (Act 13 Mo &amp; BOY-EOY Aver)'!P13</f>
        <v>5107508887</v>
      </c>
      <c r="G15" s="760"/>
      <c r="H15" s="235">
        <f>F15</f>
        <v>5107508887</v>
      </c>
      <c r="I15" s="232"/>
      <c r="J15" s="230"/>
      <c r="K15" s="230"/>
      <c r="L15" s="230"/>
      <c r="M15" s="237"/>
      <c r="N15" s="230"/>
      <c r="O15" s="230"/>
      <c r="P15" s="238"/>
    </row>
    <row r="16" spans="1:17">
      <c r="B16" s="307">
        <f t="shared" ref="B16:B21" si="0">B15+1</f>
        <v>2</v>
      </c>
      <c r="C16" s="229"/>
      <c r="D16" s="233" t="s">
        <v>458</v>
      </c>
      <c r="E16" s="1020" t="str">
        <f>"(Wksht. A-11, p.1, Line "&amp;'A-11 (Act 13 Mo &amp; BOY-EOY Aver)'!A14&amp;")"</f>
        <v>(Wksht. A-11, p.1, Line 3)</v>
      </c>
      <c r="F16" s="1670">
        <f>'A-11 (Act 13 Mo &amp; BOY-EOY Aver)'!P14</f>
        <v>411519710</v>
      </c>
      <c r="G16" s="426"/>
      <c r="H16" s="501">
        <f>F16</f>
        <v>411519710</v>
      </c>
      <c r="I16" s="232"/>
      <c r="J16" s="339" t="s">
        <v>1385</v>
      </c>
      <c r="K16" s="477">
        <v>1</v>
      </c>
      <c r="L16" s="230"/>
      <c r="M16" s="751">
        <f>H16*K16</f>
        <v>411519710</v>
      </c>
      <c r="N16" s="230"/>
      <c r="O16" s="230"/>
      <c r="P16" s="238"/>
    </row>
    <row r="17" spans="2:17">
      <c r="B17" s="307">
        <f t="shared" si="0"/>
        <v>3</v>
      </c>
      <c r="C17" s="229"/>
      <c r="D17" s="245" t="s">
        <v>1418</v>
      </c>
      <c r="E17" s="1020" t="str">
        <f>"(Wksht. A-4, p.1, Line "&amp;'A-4 (Act. Excluded Assets) '!A36&amp;"   Note I &amp; K)"</f>
        <v>(Wksht. A-4, p.1, Line 30   Note I &amp; K)</v>
      </c>
      <c r="F17" s="1670"/>
      <c r="G17" s="426"/>
      <c r="H17" s="501"/>
      <c r="I17" s="232"/>
      <c r="J17" s="339"/>
      <c r="K17" s="477"/>
      <c r="L17" s="230"/>
      <c r="M17" s="1415">
        <f>'A-4 (Act. Excluded Assets) '!F36</f>
        <v>81790053.461538464</v>
      </c>
      <c r="N17" s="230"/>
      <c r="O17" s="230"/>
      <c r="P17" s="238"/>
      <c r="Q17" s="811"/>
    </row>
    <row r="18" spans="2:17">
      <c r="B18" s="307">
        <f t="shared" si="0"/>
        <v>4</v>
      </c>
      <c r="C18" s="229"/>
      <c r="D18" s="245" t="s">
        <v>1423</v>
      </c>
      <c r="E18" s="1020" t="str">
        <f>"(Wksht. A-11, p.1, Line "&amp;'A-11 (Act 13 Mo &amp; BOY-EOY Aver)'!A15&amp;")"</f>
        <v>(Wksht. A-11, p.1, Line 4)</v>
      </c>
      <c r="F18" s="1671">
        <f>'A-11 (Act 13 Mo &amp; BOY-EOY Aver)'!P15</f>
        <v>1864288462</v>
      </c>
      <c r="G18" s="427"/>
      <c r="H18" s="501">
        <f>F18</f>
        <v>1864288462</v>
      </c>
      <c r="I18" s="232"/>
      <c r="J18" s="230"/>
      <c r="K18" s="244"/>
      <c r="L18" s="230"/>
      <c r="M18" s="540"/>
      <c r="N18" s="230"/>
      <c r="O18" s="230"/>
      <c r="P18" s="238"/>
      <c r="Q18" s="240"/>
    </row>
    <row r="19" spans="2:17" ht="15" customHeight="1">
      <c r="B19" s="307">
        <f t="shared" si="0"/>
        <v>5</v>
      </c>
      <c r="C19" s="229"/>
      <c r="D19" s="295" t="s">
        <v>997</v>
      </c>
      <c r="E19" s="1020" t="str">
        <f>"(Wksht. A-11, p.1, Line "&amp;'A-11 (Act 13 Mo &amp; BOY-EOY Aver)'!A16&amp;")"</f>
        <v>(Wksht. A-11, p.1, Line 5)</v>
      </c>
      <c r="F19" s="1672">
        <f>'A-11 (Act 13 Mo &amp; BOY-EOY Aver)'!P16</f>
        <v>316180062</v>
      </c>
      <c r="G19" s="1546"/>
      <c r="H19" s="501">
        <f>F19</f>
        <v>316180062</v>
      </c>
      <c r="I19" s="232"/>
      <c r="J19" s="232" t="s">
        <v>1425</v>
      </c>
      <c r="K19" s="244">
        <f>WS</f>
        <v>1.898472513614197E-2</v>
      </c>
      <c r="L19" s="232"/>
      <c r="M19" s="569">
        <f>ROUND((H19*K19),0)</f>
        <v>6002592</v>
      </c>
      <c r="N19" s="230"/>
      <c r="O19" s="230"/>
      <c r="P19" s="230"/>
      <c r="Q19" s="240"/>
    </row>
    <row r="20" spans="2:17" ht="15" customHeight="1" thickBot="1">
      <c r="B20" s="307">
        <f t="shared" si="0"/>
        <v>6</v>
      </c>
      <c r="C20" s="229"/>
      <c r="D20" s="295" t="s">
        <v>1156</v>
      </c>
      <c r="E20" s="1020" t="str">
        <f>"(Wksht. A-11, p.1, Line "&amp;'A-11 (Act 13 Mo &amp; BOY-EOY Aver)'!A17&amp;")"</f>
        <v>(Wksht. A-11, p.1, Line 6)</v>
      </c>
      <c r="F20" s="1684">
        <f>'A-11 (Act 13 Mo &amp; BOY-EOY Aver)'!P17</f>
        <v>190510018</v>
      </c>
      <c r="G20" s="1681"/>
      <c r="H20" s="502">
        <f>F20</f>
        <v>190510018</v>
      </c>
      <c r="I20" s="232"/>
      <c r="J20" s="232" t="s">
        <v>1425</v>
      </c>
      <c r="K20" s="244">
        <f>WS</f>
        <v>1.898472513614197E-2</v>
      </c>
      <c r="L20" s="232"/>
      <c r="M20" s="1682">
        <f>ROUND((H20*K20),0)</f>
        <v>3616780</v>
      </c>
      <c r="N20" s="230"/>
      <c r="O20" s="230"/>
      <c r="P20" s="230"/>
      <c r="Q20" s="240"/>
    </row>
    <row r="21" spans="2:17">
      <c r="B21" s="307">
        <f t="shared" si="0"/>
        <v>7</v>
      </c>
      <c r="C21" s="229"/>
      <c r="D21" s="297" t="s">
        <v>537</v>
      </c>
      <c r="E21" s="1020" t="str">
        <f>"(sum line "&amp;B15&amp;", "&amp;B16&amp;", "&amp;B18&amp;", "&amp;B19&amp;" &amp; "&amp;B20&amp;" less line "&amp;B17&amp;")"</f>
        <v>(sum line 1, 2, 4, 5 &amp; 6 less line 3)</v>
      </c>
      <c r="F21" s="235">
        <f>F15+F16-F17+F18+F19+F20</f>
        <v>7890007139</v>
      </c>
      <c r="G21" s="761"/>
      <c r="H21" s="235">
        <f>H15+H16-H17+H18+H19+H20</f>
        <v>7890007139</v>
      </c>
      <c r="I21" s="232"/>
      <c r="J21" s="232"/>
      <c r="K21" s="298"/>
      <c r="L21" s="232"/>
      <c r="M21" s="235">
        <f>+M16-M17+M18+M19+M20</f>
        <v>339349028.53846157</v>
      </c>
      <c r="N21" s="230"/>
      <c r="O21" s="236"/>
      <c r="P21" s="238"/>
      <c r="Q21" s="240"/>
    </row>
    <row r="22" spans="2:17">
      <c r="B22" s="229"/>
      <c r="C22" s="229"/>
      <c r="D22" s="233"/>
      <c r="E22" s="15"/>
      <c r="F22" s="230"/>
      <c r="G22" s="232"/>
      <c r="H22" s="230"/>
      <c r="I22" s="232"/>
      <c r="J22" s="230"/>
      <c r="K22" s="299"/>
      <c r="L22" s="230"/>
      <c r="M22" s="230"/>
      <c r="N22" s="230"/>
      <c r="O22" s="236"/>
      <c r="P22" s="238"/>
      <c r="Q22" s="563"/>
    </row>
    <row r="23" spans="2:17">
      <c r="B23" s="229"/>
      <c r="C23" s="229"/>
      <c r="D23" s="233" t="s">
        <v>1426</v>
      </c>
      <c r="E23" s="232" t="s">
        <v>1007</v>
      </c>
      <c r="F23" s="230"/>
      <c r="G23" s="232"/>
      <c r="H23" s="230"/>
      <c r="I23" s="232"/>
      <c r="J23" s="230"/>
      <c r="K23" s="232"/>
      <c r="L23" s="230"/>
      <c r="M23" s="230"/>
      <c r="N23" s="230"/>
      <c r="O23" s="230"/>
      <c r="P23" s="238"/>
      <c r="Q23" s="240"/>
    </row>
    <row r="24" spans="2:17">
      <c r="B24" s="307">
        <f>B21+1</f>
        <v>8</v>
      </c>
      <c r="C24" s="229"/>
      <c r="D24" s="245" t="str">
        <f>+D15</f>
        <v xml:space="preserve">  Production</v>
      </c>
      <c r="E24" s="1020" t="str">
        <f>"(Wksht. A-11, p.1, Line "&amp;'A-11 (Act 13 Mo &amp; BOY-EOY Aver)'!A25&amp;" &amp; "&amp;'A-11 (Act 13 Mo &amp; BOY-EOY Aver)'!A26&amp;")"</f>
        <v>(Wksht. A-11, p.1, Line 8 &amp; 9)</v>
      </c>
      <c r="F24" s="1669">
        <f>'A-11 (Act 13 Mo &amp; BOY-EOY Aver)'!P25+'A-11 (Act 13 Mo &amp; BOY-EOY Aver)'!P26</f>
        <v>2218763800</v>
      </c>
      <c r="G24" s="760"/>
      <c r="H24" s="235">
        <f>F24</f>
        <v>2218763800</v>
      </c>
      <c r="I24" s="232"/>
      <c r="J24" s="230"/>
      <c r="K24" s="232"/>
      <c r="L24" s="230"/>
      <c r="M24" s="237"/>
      <c r="N24" s="230"/>
      <c r="O24" s="230"/>
      <c r="P24" s="238"/>
      <c r="Q24" s="240"/>
    </row>
    <row r="25" spans="2:17">
      <c r="B25" s="307">
        <f t="shared" ref="B25:B30" si="1">B24+1</f>
        <v>9</v>
      </c>
      <c r="C25" s="229"/>
      <c r="D25" s="245" t="str">
        <f>+D16</f>
        <v xml:space="preserve">  Transmission</v>
      </c>
      <c r="E25" s="1020" t="str">
        <f>"(Wksht. A-11, p.1, Line "&amp;'A-11 (Act 13 Mo &amp; BOY-EOY Aver)'!A27&amp;")"</f>
        <v>(Wksht. A-11, p.1, Line 10)</v>
      </c>
      <c r="F25" s="1671">
        <f>'A-11 (Act 13 Mo &amp; BOY-EOY Aver)'!P27</f>
        <v>181225191</v>
      </c>
      <c r="G25" s="276"/>
      <c r="H25" s="276">
        <f>F25</f>
        <v>181225191</v>
      </c>
      <c r="I25" s="232"/>
      <c r="J25" s="339" t="s">
        <v>1385</v>
      </c>
      <c r="K25" s="477">
        <v>1</v>
      </c>
      <c r="L25" s="230"/>
      <c r="M25" s="751">
        <f>H25*K25</f>
        <v>181225191</v>
      </c>
      <c r="N25" s="230"/>
      <c r="O25" s="230"/>
      <c r="P25" s="238"/>
      <c r="Q25" s="240"/>
    </row>
    <row r="26" spans="2:17">
      <c r="B26" s="307">
        <f t="shared" si="1"/>
        <v>10</v>
      </c>
      <c r="C26" s="229"/>
      <c r="D26" s="245" t="s">
        <v>1418</v>
      </c>
      <c r="E26" s="1020" t="str">
        <f>"(Wksht. A-4, p.1, Line "&amp;'A-4 (Act. Excluded Assets) '!A36&amp;"   Note I &amp; K)"</f>
        <v>(Wksht. A-4, p.1, Line 30   Note I &amp; K)</v>
      </c>
      <c r="F26" s="1671"/>
      <c r="G26" s="276"/>
      <c r="H26" s="276"/>
      <c r="I26" s="232"/>
      <c r="J26" s="339"/>
      <c r="K26" s="477"/>
      <c r="L26" s="230"/>
      <c r="M26" s="1416">
        <f>'A-4 (Act. Excluded Assets) '!G36</f>
        <v>29476966</v>
      </c>
      <c r="N26" s="230"/>
      <c r="O26" s="230"/>
      <c r="P26" s="238"/>
    </row>
    <row r="27" spans="2:17">
      <c r="B27" s="307">
        <f t="shared" si="1"/>
        <v>11</v>
      </c>
      <c r="C27" s="229"/>
      <c r="D27" s="245" t="str">
        <f>+D18</f>
        <v xml:space="preserve">  Distribution</v>
      </c>
      <c r="E27" s="1020" t="str">
        <f>"(Wksht. A-11, p.1, Line "&amp;'A-11 (Act 13 Mo &amp; BOY-EOY Aver)'!A28&amp;")"</f>
        <v>(Wksht. A-11, p.1, Line 11)</v>
      </c>
      <c r="F27" s="1671">
        <f>'A-11 (Act 13 Mo &amp; BOY-EOY Aver)'!P28</f>
        <v>694974946</v>
      </c>
      <c r="G27" s="427"/>
      <c r="H27" s="276">
        <f>F27</f>
        <v>694974946</v>
      </c>
      <c r="I27" s="232"/>
      <c r="J27" s="230"/>
      <c r="K27" s="244"/>
      <c r="L27" s="230"/>
      <c r="M27" s="540"/>
      <c r="N27" s="230"/>
      <c r="O27" s="230"/>
      <c r="P27" s="238"/>
    </row>
    <row r="28" spans="2:17">
      <c r="B28" s="307">
        <f t="shared" si="1"/>
        <v>12</v>
      </c>
      <c r="C28" s="229"/>
      <c r="D28" s="245" t="str">
        <f>+D19</f>
        <v xml:space="preserve">  General</v>
      </c>
      <c r="E28" s="1020" t="str">
        <f>"(Wksht. A-11, p.1, Line "&amp;'A-11 (Act 13 Mo &amp; BOY-EOY Aver)'!A29&amp;")"</f>
        <v>(Wksht. A-11, p.1, Line 12)</v>
      </c>
      <c r="F28" s="1671">
        <f>'A-11 (Act 13 Mo &amp; BOY-EOY Aver)'!P29</f>
        <v>72334024</v>
      </c>
      <c r="G28" s="427"/>
      <c r="H28" s="68">
        <f>F28</f>
        <v>72334024</v>
      </c>
      <c r="I28" s="15"/>
      <c r="J28" s="15" t="s">
        <v>1425</v>
      </c>
      <c r="K28" s="557">
        <f>WS</f>
        <v>1.898472513614197E-2</v>
      </c>
      <c r="L28" s="15"/>
      <c r="M28" s="569">
        <f t="shared" ref="M28:M29" si="2">ROUND((H28*K28),0)</f>
        <v>1373242</v>
      </c>
      <c r="N28" s="4"/>
      <c r="O28" s="4"/>
      <c r="P28" s="1"/>
    </row>
    <row r="29" spans="2:17" ht="15.75" thickBot="1">
      <c r="B29" s="307">
        <f t="shared" si="1"/>
        <v>13</v>
      </c>
      <c r="C29" s="229"/>
      <c r="D29" s="295" t="s">
        <v>1156</v>
      </c>
      <c r="E29" s="1020" t="str">
        <f>"(Wksht. A-11, p.1, Line "&amp;'A-11 (Act 13 Mo &amp; BOY-EOY Aver)'!A30&amp;")"</f>
        <v>(Wksht. A-11, p.1, Line 13)</v>
      </c>
      <c r="F29" s="1684">
        <f>'A-11 (Act 13 Mo &amp; BOY-EOY Aver)'!P30</f>
        <v>151077345</v>
      </c>
      <c r="G29" s="1681"/>
      <c r="H29" s="502">
        <f>F29</f>
        <v>151077345</v>
      </c>
      <c r="I29" s="232"/>
      <c r="J29" s="232" t="s">
        <v>1425</v>
      </c>
      <c r="K29" s="244">
        <f>WS</f>
        <v>1.898472513614197E-2</v>
      </c>
      <c r="L29" s="232"/>
      <c r="M29" s="1682">
        <f t="shared" si="2"/>
        <v>2868162</v>
      </c>
      <c r="N29" s="230"/>
      <c r="O29" s="230"/>
      <c r="P29" s="238"/>
    </row>
    <row r="30" spans="2:17">
      <c r="B30" s="307">
        <f t="shared" si="1"/>
        <v>14</v>
      </c>
      <c r="C30" s="229"/>
      <c r="D30" s="245" t="s">
        <v>536</v>
      </c>
      <c r="E30" s="1020" t="str">
        <f>"(sum lines "&amp;B24&amp;","&amp;B25&amp;","&amp;B27&amp;","&amp;B28&amp;"&amp;"&amp;B29&amp;" less "&amp;B26&amp;")"</f>
        <v>(sum lines 8,9,11,12&amp;13 less 10)</v>
      </c>
      <c r="F30" s="235">
        <f>F24+F25-F26+F27+F28+F29</f>
        <v>3318375306</v>
      </c>
      <c r="G30" s="761"/>
      <c r="H30" s="235">
        <f>H24+H25-H26+H27+H28+H29</f>
        <v>3318375306</v>
      </c>
      <c r="I30" s="232"/>
      <c r="J30" s="230"/>
      <c r="K30" s="230"/>
      <c r="L30" s="230"/>
      <c r="M30" s="235">
        <f>+M25-M26+M27+M28+M29</f>
        <v>155989629</v>
      </c>
      <c r="N30" s="230"/>
      <c r="O30" s="230"/>
      <c r="P30" s="238"/>
    </row>
    <row r="31" spans="2:17">
      <c r="B31" s="307"/>
      <c r="C31" s="229"/>
      <c r="E31" s="230" t="s">
        <v>49</v>
      </c>
      <c r="G31" s="229"/>
      <c r="I31" s="232"/>
      <c r="J31" s="230"/>
      <c r="K31" s="236"/>
      <c r="L31" s="230"/>
      <c r="N31" s="230"/>
      <c r="O31" s="236"/>
      <c r="P31" s="238"/>
    </row>
    <row r="32" spans="2:17">
      <c r="B32" s="307"/>
      <c r="C32" s="229"/>
      <c r="D32" s="233" t="s">
        <v>474</v>
      </c>
      <c r="E32" s="230"/>
      <c r="F32" s="230"/>
      <c r="G32" s="232"/>
      <c r="H32" s="230"/>
      <c r="I32" s="232"/>
      <c r="J32" s="230"/>
      <c r="K32" s="230"/>
      <c r="L32" s="230"/>
      <c r="M32" s="230"/>
      <c r="N32" s="230"/>
      <c r="O32" s="230"/>
      <c r="P32" s="238"/>
    </row>
    <row r="33" spans="2:17">
      <c r="B33" s="307">
        <f>B30+1</f>
        <v>15</v>
      </c>
      <c r="C33" s="229"/>
      <c r="D33" s="245" t="str">
        <f>+D24</f>
        <v xml:space="preserve">  Production</v>
      </c>
      <c r="E33" s="1020" t="str">
        <f t="shared" ref="E33:E38" si="3">"( line "&amp;B15&amp;"- line "&amp;B24&amp;")"</f>
        <v>( line 1- line 8)</v>
      </c>
      <c r="F33" s="235">
        <f t="shared" ref="F33:F38" si="4">F15-F24</f>
        <v>2888745087</v>
      </c>
      <c r="G33" s="761"/>
      <c r="H33" s="235">
        <f t="shared" ref="H33:H38" si="5">F33</f>
        <v>2888745087</v>
      </c>
      <c r="I33" s="232"/>
      <c r="J33" s="230"/>
      <c r="K33" s="230"/>
      <c r="L33" s="230"/>
      <c r="M33" s="237"/>
      <c r="N33" s="230"/>
      <c r="O33" s="230"/>
      <c r="P33" s="238"/>
    </row>
    <row r="34" spans="2:17">
      <c r="B34" s="307">
        <f t="shared" ref="B34:B39" si="6">B33+1</f>
        <v>16</v>
      </c>
      <c r="C34" s="229"/>
      <c r="D34" s="245" t="str">
        <f>+D25</f>
        <v xml:space="preserve">  Transmission</v>
      </c>
      <c r="E34" s="1020" t="str">
        <f t="shared" si="3"/>
        <v>( line 2- line 9)</v>
      </c>
      <c r="F34" s="501">
        <f t="shared" si="4"/>
        <v>230294519</v>
      </c>
      <c r="G34" s="501"/>
      <c r="H34" s="501">
        <f t="shared" si="5"/>
        <v>230294519</v>
      </c>
      <c r="I34" s="232"/>
      <c r="J34" s="230"/>
      <c r="K34" s="241"/>
      <c r="L34" s="230"/>
      <c r="M34" s="751">
        <f>M16-M25</f>
        <v>230294519</v>
      </c>
      <c r="N34" s="230"/>
      <c r="O34" s="236"/>
    </row>
    <row r="35" spans="2:17">
      <c r="B35" s="307">
        <f t="shared" si="6"/>
        <v>17</v>
      </c>
      <c r="C35" s="229"/>
      <c r="D35" s="245" t="s">
        <v>1418</v>
      </c>
      <c r="E35" s="1020" t="str">
        <f t="shared" si="3"/>
        <v>( line 3- line 10)</v>
      </c>
      <c r="F35" s="501">
        <f t="shared" si="4"/>
        <v>0</v>
      </c>
      <c r="G35" s="501"/>
      <c r="H35" s="501">
        <f t="shared" si="5"/>
        <v>0</v>
      </c>
      <c r="I35" s="232"/>
      <c r="J35" s="230"/>
      <c r="K35" s="241"/>
      <c r="L35" s="230"/>
      <c r="M35" s="569">
        <f>M17-M26</f>
        <v>52313087.461538464</v>
      </c>
      <c r="N35" s="230"/>
      <c r="O35" s="236"/>
      <c r="P35" s="238"/>
    </row>
    <row r="36" spans="2:17">
      <c r="B36" s="307">
        <f t="shared" si="6"/>
        <v>18</v>
      </c>
      <c r="C36" s="229"/>
      <c r="D36" s="245" t="str">
        <f>+D27</f>
        <v xml:space="preserve">  Distribution</v>
      </c>
      <c r="E36" s="1020" t="str">
        <f t="shared" si="3"/>
        <v>( line 4- line 11)</v>
      </c>
      <c r="F36" s="501">
        <f t="shared" si="4"/>
        <v>1169313516</v>
      </c>
      <c r="G36" s="501"/>
      <c r="H36" s="501">
        <f t="shared" si="5"/>
        <v>1169313516</v>
      </c>
      <c r="I36" s="232"/>
      <c r="J36" s="230"/>
      <c r="K36" s="241"/>
      <c r="L36" s="230"/>
      <c r="M36" s="540"/>
      <c r="N36" s="230"/>
      <c r="O36" s="236"/>
      <c r="P36" s="238"/>
    </row>
    <row r="37" spans="2:17">
      <c r="B37" s="307">
        <f t="shared" si="6"/>
        <v>19</v>
      </c>
      <c r="C37" s="229"/>
      <c r="D37" s="245" t="str">
        <f>+D28</f>
        <v xml:space="preserve">  General</v>
      </c>
      <c r="E37" s="1020" t="str">
        <f t="shared" si="3"/>
        <v>( line 5- line 12)</v>
      </c>
      <c r="F37" s="501">
        <f t="shared" si="4"/>
        <v>243846038</v>
      </c>
      <c r="G37" s="501"/>
      <c r="H37" s="501">
        <f t="shared" si="5"/>
        <v>243846038</v>
      </c>
      <c r="I37" s="232"/>
      <c r="J37" s="232"/>
      <c r="K37" s="299"/>
      <c r="L37" s="232"/>
      <c r="M37" s="540">
        <f>M19-M28</f>
        <v>4629350</v>
      </c>
      <c r="N37" s="230"/>
      <c r="O37" s="236"/>
      <c r="P37" s="238"/>
    </row>
    <row r="38" spans="2:17" ht="15.75" thickBot="1">
      <c r="B38" s="307">
        <f t="shared" si="6"/>
        <v>20</v>
      </c>
      <c r="C38" s="229"/>
      <c r="D38" s="295" t="s">
        <v>1156</v>
      </c>
      <c r="E38" s="1020" t="str">
        <f t="shared" si="3"/>
        <v>( line 6- line 13)</v>
      </c>
      <c r="F38" s="502">
        <f t="shared" si="4"/>
        <v>39432673</v>
      </c>
      <c r="G38" s="502"/>
      <c r="H38" s="502">
        <f t="shared" si="5"/>
        <v>39432673</v>
      </c>
      <c r="I38" s="232"/>
      <c r="J38" s="232"/>
      <c r="K38" s="299"/>
      <c r="L38" s="232"/>
      <c r="M38" s="1683">
        <f>M20-M29</f>
        <v>748618</v>
      </c>
      <c r="N38" s="230"/>
      <c r="O38" s="236"/>
      <c r="P38" s="238"/>
      <c r="Q38" s="1388"/>
    </row>
    <row r="39" spans="2:17">
      <c r="B39" s="307">
        <f t="shared" si="6"/>
        <v>21</v>
      </c>
      <c r="C39" s="229"/>
      <c r="D39" s="233" t="s">
        <v>655</v>
      </c>
      <c r="E39" s="1020" t="str">
        <f>"(sum lines "&amp;B33&amp;","&amp;B34&amp;","&amp;B36&amp;","&amp;B37&amp;" &amp; "&amp;B38&amp;" less "&amp;B35&amp;")"</f>
        <v>(sum lines 15,16,18,19 &amp; 20 less 17)</v>
      </c>
      <c r="F39" s="235">
        <f>F33+F34-F35+F36+F37+F38</f>
        <v>4571631833</v>
      </c>
      <c r="G39" s="235"/>
      <c r="H39" s="235">
        <f>H33+H34-H35+H36+H37+H38</f>
        <v>4571631833</v>
      </c>
      <c r="I39" s="232"/>
      <c r="J39" s="232"/>
      <c r="K39" s="298"/>
      <c r="L39" s="232"/>
      <c r="M39" s="235">
        <f>+M34-M35+M36+M37+M38</f>
        <v>183359399.53846154</v>
      </c>
      <c r="N39" s="230"/>
      <c r="O39" s="230"/>
      <c r="P39" s="238"/>
    </row>
    <row r="40" spans="2:17" ht="15.75">
      <c r="B40" s="307"/>
      <c r="C40" s="229"/>
      <c r="E40" s="27"/>
      <c r="G40" s="229"/>
      <c r="I40" s="232"/>
      <c r="L40" s="230"/>
      <c r="N40" s="230"/>
      <c r="O40" s="236"/>
      <c r="P40" s="238"/>
    </row>
    <row r="41" spans="2:17">
      <c r="B41" s="307"/>
      <c r="C41" s="229"/>
      <c r="D41" s="231" t="s">
        <v>1577</v>
      </c>
      <c r="E41" s="15"/>
      <c r="F41" s="230"/>
      <c r="G41" s="232"/>
      <c r="H41" s="230"/>
      <c r="I41" s="232"/>
      <c r="J41" s="230"/>
      <c r="K41" s="230"/>
      <c r="L41" s="230"/>
      <c r="M41" s="230"/>
      <c r="N41" s="230"/>
      <c r="O41" s="230"/>
      <c r="P41" s="238"/>
    </row>
    <row r="42" spans="2:17">
      <c r="B42" s="307">
        <f>B39+1</f>
        <v>22</v>
      </c>
      <c r="C42" s="229"/>
      <c r="D42" s="245" t="s">
        <v>1509</v>
      </c>
      <c r="E42" s="1020" t="str">
        <f>"(Wksht. A-3, p.1, Line "&amp;'A-3 ( Act. ADIT)'!A18&amp;")"</f>
        <v>(Wksht. A-3, p.1, Line 9)</v>
      </c>
      <c r="F42" s="1673">
        <f>'A-3 ( Act. ADIT)'!F18</f>
        <v>-35676365.11964529</v>
      </c>
      <c r="G42" s="284"/>
      <c r="H42" s="284">
        <f>F42</f>
        <v>-35676365.11964529</v>
      </c>
      <c r="I42" s="339" t="s">
        <v>49</v>
      </c>
      <c r="J42" s="339" t="s">
        <v>1385</v>
      </c>
      <c r="K42" s="477">
        <v>1</v>
      </c>
      <c r="L42" s="339"/>
      <c r="M42" s="272">
        <f>+K42*H42</f>
        <v>-35676365.11964529</v>
      </c>
      <c r="N42" s="230"/>
      <c r="O42" s="236"/>
      <c r="P42" s="238"/>
    </row>
    <row r="43" spans="2:17">
      <c r="B43" s="307">
        <f>B42+1</f>
        <v>23</v>
      </c>
      <c r="C43" s="229"/>
      <c r="D43" s="245" t="s">
        <v>64</v>
      </c>
      <c r="E43" s="1020" t="str">
        <f>"(Wksht. A-11, p.2, Line "&amp;'A-11 (Act 13 Mo &amp; BOY-EOY Aver)'!A66&amp;")"</f>
        <v>(Wksht. A-11, p.2, Line 23g)</v>
      </c>
      <c r="F43" s="1674">
        <f>'A-11 (Act 13 Mo &amp; BOY-EOY Aver)'!H66+'A-11 (Act 13 Mo &amp; BOY-EOY Aver)'!I66+'A-11 (Act 13 Mo &amp; BOY-EOY Aver)'!J66</f>
        <v>-64565.740241984444</v>
      </c>
      <c r="G43" s="585"/>
      <c r="H43" s="585">
        <f>F43</f>
        <v>-64565.740241984444</v>
      </c>
      <c r="I43" s="339"/>
      <c r="J43" s="829" t="s">
        <v>1385</v>
      </c>
      <c r="K43" s="830">
        <v>1</v>
      </c>
      <c r="L43" s="339"/>
      <c r="M43" s="272">
        <f>(H43*K43)</f>
        <v>-64565.740241984444</v>
      </c>
      <c r="N43" s="230"/>
      <c r="O43" s="1299"/>
      <c r="P43" s="238"/>
    </row>
    <row r="44" spans="2:17">
      <c r="B44" s="59">
        <f>B43+1</f>
        <v>24</v>
      </c>
      <c r="C44" s="22"/>
      <c r="D44" s="2" t="s">
        <v>1052</v>
      </c>
      <c r="E44" s="1020" t="str">
        <f>"(Wksht. A-11, p.2, Line "&amp;'A-11 (Act 13 Mo &amp; BOY-EOY Aver)'!A74&amp;",    Note S)"</f>
        <v>(Wksht. A-11, p.2, Line 25,    Note S)</v>
      </c>
      <c r="F44" s="1674">
        <f>'A-11 (Act 13 Mo &amp; BOY-EOY Aver)'!P74</f>
        <v>0</v>
      </c>
      <c r="G44" s="827"/>
      <c r="H44" s="585">
        <f>F44</f>
        <v>0</v>
      </c>
      <c r="I44" s="829"/>
      <c r="J44" s="829" t="s">
        <v>1385</v>
      </c>
      <c r="K44" s="830">
        <v>1</v>
      </c>
      <c r="L44" s="829"/>
      <c r="M44" s="831">
        <f>H44*K44</f>
        <v>0</v>
      </c>
      <c r="N44" s="230"/>
      <c r="O44" s="236"/>
      <c r="P44" s="238"/>
    </row>
    <row r="45" spans="2:17">
      <c r="B45" s="59">
        <f>B44+1</f>
        <v>25</v>
      </c>
      <c r="C45" s="10"/>
      <c r="D45" s="2" t="s">
        <v>100</v>
      </c>
      <c r="E45" s="1020" t="str">
        <f>"(Wksht. A-9, p.1, Line "&amp;'A-9 (Act. Incentive Projects)'!A47&amp;",      Note T)"</f>
        <v>(Wksht. A-9, p.1, Line 28,      Note T)</v>
      </c>
      <c r="F45" s="1674">
        <f>'A-9 (Act. Incentive Projects)'!I47</f>
        <v>0</v>
      </c>
      <c r="G45" s="827"/>
      <c r="H45" s="585">
        <f>F45</f>
        <v>0</v>
      </c>
      <c r="I45" s="829"/>
      <c r="J45" s="829" t="s">
        <v>1385</v>
      </c>
      <c r="K45" s="830">
        <v>1</v>
      </c>
      <c r="L45" s="829"/>
      <c r="M45" s="831">
        <f>H45*K45</f>
        <v>0</v>
      </c>
      <c r="N45" s="230"/>
      <c r="O45" s="236"/>
      <c r="P45" s="238"/>
    </row>
    <row r="46" spans="2:17" ht="15.75" thickBot="1">
      <c r="B46" s="59">
        <f>B45+1</f>
        <v>26</v>
      </c>
      <c r="C46" s="10"/>
      <c r="D46" s="24" t="s">
        <v>431</v>
      </c>
      <c r="E46" s="1020" t="str">
        <f>"(Wksht. A-11, p.2, Line "&amp;'A-11 (Act 13 Mo &amp; BOY-EOY Aver)'!A77&amp;",    Note T)"</f>
        <v>(Wksht. A-11, p.2, Line 28,    Note T)</v>
      </c>
      <c r="F46" s="1675">
        <f>'A-11 (Act 13 Mo &amp; BOY-EOY Aver)'!P77</f>
        <v>0</v>
      </c>
      <c r="G46" s="1019"/>
      <c r="H46" s="502">
        <f>F46</f>
        <v>0</v>
      </c>
      <c r="I46" s="829"/>
      <c r="J46" s="829" t="s">
        <v>1385</v>
      </c>
      <c r="K46" s="830">
        <v>1</v>
      </c>
      <c r="L46" s="829"/>
      <c r="M46" s="974">
        <f>H46*K46</f>
        <v>0</v>
      </c>
      <c r="N46" s="230"/>
      <c r="O46" s="236"/>
      <c r="P46" s="238"/>
    </row>
    <row r="47" spans="2:17">
      <c r="B47" s="307">
        <f>B46+1</f>
        <v>27</v>
      </c>
      <c r="C47" s="233"/>
      <c r="D47" s="233" t="s">
        <v>1386</v>
      </c>
      <c r="E47" s="1020" t="str">
        <f>"(sum lines "&amp;B42&amp;" thru line "&amp;B46&amp;")"</f>
        <v>(sum lines 22 thru line 26)</v>
      </c>
      <c r="F47" s="235">
        <f>SUM(F42:F46)</f>
        <v>-35740930.859887272</v>
      </c>
      <c r="G47" s="235"/>
      <c r="H47" s="235">
        <f>SUM(H42:H46)</f>
        <v>-35740930.859887272</v>
      </c>
      <c r="I47" s="232"/>
      <c r="J47" s="230"/>
      <c r="K47" s="230"/>
      <c r="L47" s="230"/>
      <c r="M47" s="235">
        <f>SUM(M42:M46)</f>
        <v>-35740930.859887272</v>
      </c>
      <c r="N47" s="230"/>
      <c r="O47" s="230"/>
      <c r="P47" s="238"/>
    </row>
    <row r="48" spans="2:17">
      <c r="B48" s="307"/>
      <c r="E48" s="230"/>
      <c r="G48" s="229"/>
      <c r="I48" s="232"/>
      <c r="J48" s="230"/>
      <c r="K48" s="236"/>
      <c r="L48" s="230"/>
      <c r="N48" s="230"/>
      <c r="O48" s="236"/>
      <c r="P48" s="238"/>
    </row>
    <row r="49" spans="2:17">
      <c r="B49" s="307">
        <f>B47+1</f>
        <v>28</v>
      </c>
      <c r="C49" s="233"/>
      <c r="D49" s="231" t="s">
        <v>475</v>
      </c>
      <c r="E49" s="1020" t="str">
        <f>"(Wksht. A-11, p.2,  lines "&amp;'A-11 (Act 13 Mo &amp; BOY-EOY Aver)'!A80&amp;"  Note B)"</f>
        <v>(Wksht. A-11, p.2,  lines 31  Note B)</v>
      </c>
      <c r="F49" s="1676">
        <f>'A-11 (Act 13 Mo &amp; BOY-EOY Aver)'!P80</f>
        <v>56110</v>
      </c>
      <c r="G49" s="579"/>
      <c r="H49" s="623">
        <f>F49</f>
        <v>56110</v>
      </c>
      <c r="I49" s="232"/>
      <c r="J49" s="232" t="s">
        <v>1385</v>
      </c>
      <c r="K49" s="244">
        <v>1</v>
      </c>
      <c r="L49" s="230"/>
      <c r="M49" s="623">
        <f>+K49*H49</f>
        <v>56110</v>
      </c>
      <c r="N49" s="230"/>
      <c r="O49" s="230"/>
      <c r="P49" s="238"/>
    </row>
    <row r="50" spans="2:17">
      <c r="B50" s="307"/>
      <c r="D50" s="233"/>
      <c r="E50" s="15"/>
      <c r="F50" s="230"/>
      <c r="G50" s="232"/>
      <c r="H50" s="230"/>
      <c r="I50" s="232"/>
      <c r="J50" s="230"/>
      <c r="K50" s="230"/>
      <c r="L50" s="230"/>
      <c r="M50" s="230"/>
      <c r="N50" s="230"/>
      <c r="O50" s="230"/>
      <c r="P50" s="238"/>
    </row>
    <row r="51" spans="2:17">
      <c r="B51" s="307"/>
      <c r="D51" s="233" t="s">
        <v>678</v>
      </c>
      <c r="E51" s="15"/>
      <c r="F51" s="230"/>
      <c r="G51" s="232"/>
      <c r="H51" s="230"/>
      <c r="I51" s="232"/>
      <c r="J51" s="230"/>
      <c r="K51" s="230"/>
      <c r="L51" s="230"/>
      <c r="M51" s="230"/>
      <c r="N51" s="230"/>
      <c r="O51" s="230"/>
      <c r="P51" s="238"/>
    </row>
    <row r="52" spans="2:17">
      <c r="B52" s="307">
        <f>B49+1</f>
        <v>29</v>
      </c>
      <c r="C52" s="233"/>
      <c r="D52" s="233" t="s">
        <v>1161</v>
      </c>
      <c r="E52" s="228" t="s">
        <v>680</v>
      </c>
      <c r="F52" s="237"/>
      <c r="G52" s="237"/>
      <c r="H52" s="237"/>
      <c r="I52" s="232"/>
      <c r="J52" s="230"/>
      <c r="K52" s="236"/>
      <c r="L52" s="230"/>
      <c r="M52" s="237">
        <f>ROUND((+M89/8),0)</f>
        <v>1498033</v>
      </c>
      <c r="N52" s="238"/>
      <c r="O52" s="236"/>
      <c r="P52" s="238"/>
    </row>
    <row r="53" spans="2:17">
      <c r="B53" s="307">
        <f>B52+1</f>
        <v>30</v>
      </c>
      <c r="C53" s="233"/>
      <c r="D53" s="233" t="s">
        <v>679</v>
      </c>
      <c r="E53" s="1020" t="str">
        <f>"(Wksht. A-11, p.1, Line "&amp;'A-11 (Act 13 Mo &amp; BOY-EOY Aver)'!A91&amp;" &amp; "&amp;'A-11 (Act 13 Mo &amp; BOY-EOY Aver)'!A95&amp;")"</f>
        <v>(Wksht. A-11, p.1, Line 34 &amp; 37)</v>
      </c>
      <c r="F53" s="1677">
        <f>'A-11 (Act 13 Mo &amp; BOY-EOY Aver)'!F91+'A-11 (Act 13 Mo &amp; BOY-EOY Aver)'!F95</f>
        <v>997887</v>
      </c>
      <c r="G53" s="763"/>
      <c r="H53" s="623">
        <f>F53</f>
        <v>997887</v>
      </c>
      <c r="I53" s="232"/>
      <c r="J53" s="230" t="s">
        <v>55</v>
      </c>
      <c r="K53" s="244">
        <f>tp</f>
        <v>0.80124875802051276</v>
      </c>
      <c r="L53" s="230"/>
      <c r="M53" s="242">
        <f>ROUND((+K53*H53),0)</f>
        <v>799556</v>
      </c>
      <c r="N53" s="230" t="s">
        <v>49</v>
      </c>
      <c r="O53" s="236"/>
      <c r="P53" s="238"/>
    </row>
    <row r="54" spans="2:17">
      <c r="B54" s="307">
        <f>B53+1</f>
        <v>31</v>
      </c>
      <c r="C54" s="233"/>
      <c r="D54" s="233" t="s">
        <v>968</v>
      </c>
      <c r="E54" s="1020" t="str">
        <f>"(Wksht. A-11, p.2, Line "&amp;'A-11 (Act 13 Mo &amp; BOY-EOY Aver)'!A102&amp;")"</f>
        <v>(Wksht. A-11, p.2, Line 41)</v>
      </c>
      <c r="F54" s="1678">
        <f>'A-11 (Act 13 Mo &amp; BOY-EOY Aver)'!F102</f>
        <v>13618680.5</v>
      </c>
      <c r="G54" s="427"/>
      <c r="H54" s="240">
        <f>F54</f>
        <v>13618680.5</v>
      </c>
      <c r="I54" s="232"/>
      <c r="J54" s="230" t="s">
        <v>1425</v>
      </c>
      <c r="K54" s="241">
        <f>WS</f>
        <v>1.898472513614197E-2</v>
      </c>
      <c r="L54" s="230"/>
      <c r="M54" s="242">
        <f t="shared" ref="M54:M55" si="7">ROUND((+K54*H54),0)</f>
        <v>258547</v>
      </c>
      <c r="N54" s="230"/>
      <c r="O54" s="236"/>
      <c r="P54" s="238"/>
    </row>
    <row r="55" spans="2:17" ht="15.75" thickBot="1">
      <c r="B55" s="307">
        <f>B54+1</f>
        <v>32</v>
      </c>
      <c r="C55" s="233"/>
      <c r="D55" s="233" t="s">
        <v>472</v>
      </c>
      <c r="E55" s="1020" t="str">
        <f>"(Wksht. A-11, p.2, Line "&amp;'A-11 (Act 13 Mo &amp; BOY-EOY Aver)'!A107&amp;")"</f>
        <v>(Wksht. A-11, p.2, Line 43)</v>
      </c>
      <c r="F55" s="1679">
        <f>'A-11 (Act 13 Mo &amp; BOY-EOY Aver)'!F107</f>
        <v>11112175</v>
      </c>
      <c r="G55" s="492"/>
      <c r="H55" s="243">
        <f>F55</f>
        <v>11112175</v>
      </c>
      <c r="I55" s="232" t="s">
        <v>49</v>
      </c>
      <c r="J55" s="230" t="s">
        <v>1425</v>
      </c>
      <c r="K55" s="241">
        <f>WS</f>
        <v>1.898472513614197E-2</v>
      </c>
      <c r="L55" s="232"/>
      <c r="M55" s="2100">
        <f t="shared" si="7"/>
        <v>210962</v>
      </c>
      <c r="N55" s="230"/>
      <c r="O55" s="236"/>
      <c r="P55" s="238"/>
    </row>
    <row r="56" spans="2:17">
      <c r="B56" s="307">
        <f>B55+1</f>
        <v>33</v>
      </c>
      <c r="C56" s="233"/>
      <c r="D56" s="233" t="s">
        <v>538</v>
      </c>
      <c r="E56" s="1020" t="str">
        <f>"(sum line "&amp;B52&amp;" thru line "&amp;B55&amp;")"</f>
        <v>(sum line 29 thru line 32)</v>
      </c>
      <c r="F56" s="237">
        <f>SUM(F52:F55)</f>
        <v>25728742.5</v>
      </c>
      <c r="G56" s="237"/>
      <c r="H56" s="237">
        <f>SUM(H52:H55)</f>
        <v>25728742.5</v>
      </c>
      <c r="I56" s="372"/>
      <c r="J56" s="238"/>
      <c r="K56" s="238"/>
      <c r="L56" s="238"/>
      <c r="M56" s="237">
        <f>SUM(M52:M55)</f>
        <v>2767098</v>
      </c>
      <c r="N56" s="238"/>
      <c r="O56" s="301"/>
      <c r="P56" s="238"/>
    </row>
    <row r="57" spans="2:17">
      <c r="B57" s="307"/>
      <c r="C57" s="233"/>
      <c r="D57" s="233"/>
      <c r="E57" s="238"/>
      <c r="F57" s="230"/>
      <c r="G57" s="230"/>
      <c r="H57" s="230"/>
      <c r="I57" s="372"/>
      <c r="J57" s="238"/>
      <c r="K57" s="238"/>
      <c r="L57" s="238"/>
      <c r="M57" s="230"/>
      <c r="N57" s="238"/>
      <c r="O57" s="238"/>
      <c r="P57" s="238"/>
    </row>
    <row r="58" spans="2:17" ht="15.75" thickBot="1">
      <c r="B58" s="307"/>
      <c r="C58" s="233"/>
      <c r="E58" s="238"/>
      <c r="F58" s="230"/>
      <c r="G58" s="230"/>
      <c r="H58" s="230"/>
      <c r="I58" s="372"/>
      <c r="J58" s="238"/>
      <c r="K58" s="238"/>
      <c r="L58" s="238"/>
      <c r="M58" s="258"/>
      <c r="N58" s="238"/>
      <c r="O58" s="238"/>
      <c r="P58" s="238"/>
    </row>
    <row r="59" spans="2:17" ht="15.75" thickBot="1">
      <c r="B59" s="307">
        <f>B56+1</f>
        <v>34</v>
      </c>
      <c r="C59" s="233"/>
      <c r="D59" s="245" t="s">
        <v>1578</v>
      </c>
      <c r="E59" s="812" t="str">
        <f>"(sum lines "&amp;B39&amp;", "&amp;B47&amp;" , "&amp;B49&amp;" &amp; "&amp;B56&amp;")"</f>
        <v>(sum lines 21, 27 , 28 &amp; 33)</v>
      </c>
      <c r="F59" s="230"/>
      <c r="G59" s="230"/>
      <c r="H59" s="246"/>
      <c r="I59" s="372"/>
      <c r="J59" s="238"/>
      <c r="K59" s="238"/>
      <c r="L59" s="238"/>
      <c r="M59" s="1336">
        <f>M39+M47+M49+M56</f>
        <v>150441676.67857426</v>
      </c>
      <c r="N59" s="238"/>
      <c r="O59" s="238"/>
      <c r="P59" s="238"/>
      <c r="Q59" s="48"/>
    </row>
    <row r="60" spans="2:17">
      <c r="B60" s="292"/>
      <c r="C60" s="233"/>
      <c r="D60" s="233"/>
      <c r="E60" s="238"/>
      <c r="F60" s="230"/>
      <c r="G60" s="238"/>
      <c r="H60" s="230"/>
      <c r="I60" s="238"/>
      <c r="J60" s="238"/>
      <c r="K60" s="238"/>
      <c r="L60" s="238"/>
      <c r="M60" s="230"/>
      <c r="N60" s="238"/>
      <c r="O60" s="238"/>
      <c r="P60" s="238"/>
      <c r="Q60" s="425"/>
    </row>
    <row r="61" spans="2:17" ht="15.75">
      <c r="B61" s="292"/>
      <c r="D61" s="233"/>
      <c r="E61" s="2161" t="str">
        <f>+E1</f>
        <v xml:space="preserve">     Rate Formula Template</v>
      </c>
      <c r="F61" s="2161"/>
      <c r="G61" s="2161"/>
      <c r="H61" s="2154"/>
      <c r="I61" s="2154"/>
      <c r="J61" s="230"/>
      <c r="K61" s="1329"/>
      <c r="M61" s="1952" t="s">
        <v>153</v>
      </c>
      <c r="P61" s="230"/>
      <c r="Q61" s="425"/>
    </row>
    <row r="62" spans="2:17" ht="15.75">
      <c r="B62" s="292"/>
      <c r="D62" s="233"/>
      <c r="E62" s="2161" t="str">
        <f>E2</f>
        <v xml:space="preserve"> Utilizing FERC Form 1 Data</v>
      </c>
      <c r="F62" s="2161"/>
      <c r="G62" s="2161"/>
      <c r="H62" s="2154"/>
      <c r="I62" s="2154"/>
      <c r="J62" s="230"/>
      <c r="K62" s="1623"/>
      <c r="P62" s="230"/>
      <c r="Q62" s="425"/>
    </row>
    <row r="63" spans="2:17">
      <c r="B63" s="292"/>
      <c r="D63" s="233"/>
      <c r="E63" s="2161" t="str">
        <f>E3</f>
        <v>Actual Gross Revenue Requirements</v>
      </c>
      <c r="F63" s="2161"/>
      <c r="G63" s="2161"/>
      <c r="H63" s="2154"/>
      <c r="I63" s="2154"/>
      <c r="J63" s="230"/>
      <c r="K63" s="230"/>
      <c r="N63" s="230"/>
      <c r="O63" s="303"/>
      <c r="P63" s="230"/>
      <c r="Q63" s="425"/>
    </row>
    <row r="64" spans="2:17">
      <c r="B64" s="292"/>
      <c r="E64" s="2161" t="str">
        <f>E4</f>
        <v>For the 12 months ended - December 31, 2012</v>
      </c>
      <c r="F64" s="2161"/>
      <c r="G64" s="2161"/>
      <c r="H64" s="2154"/>
      <c r="I64" s="2154"/>
      <c r="J64" s="230"/>
      <c r="K64" s="230"/>
      <c r="L64" s="230"/>
      <c r="N64" s="230"/>
      <c r="P64" s="230"/>
    </row>
    <row r="65" spans="2:20">
      <c r="B65" s="292"/>
      <c r="E65" s="230"/>
      <c r="F65" s="230"/>
      <c r="G65" s="230"/>
      <c r="H65" s="263"/>
      <c r="I65" s="230"/>
      <c r="J65" s="230"/>
      <c r="K65" s="230"/>
      <c r="L65" s="230"/>
      <c r="N65" s="230"/>
      <c r="O65" s="230"/>
      <c r="P65" s="230"/>
    </row>
    <row r="66" spans="2:20">
      <c r="B66" s="292"/>
      <c r="E66" s="2153" t="str">
        <f>+E$6</f>
        <v>KANSAS CITY POWER &amp; LIGHT COMPANY. (KCP&amp;L)</v>
      </c>
      <c r="F66" s="2153"/>
      <c r="G66" s="2153"/>
      <c r="H66" s="2154"/>
      <c r="I66" s="2154"/>
      <c r="L66" s="230"/>
      <c r="M66" s="302" t="str">
        <f>+M6</f>
        <v>Actual Gross Rev</v>
      </c>
      <c r="N66" s="230"/>
      <c r="O66" s="230"/>
      <c r="P66" s="230"/>
    </row>
    <row r="67" spans="2:20">
      <c r="B67" s="292"/>
      <c r="E67" s="2155" t="str">
        <f>+E$7</f>
        <v>(KCP&amp;L)</v>
      </c>
      <c r="F67" s="2155"/>
      <c r="G67" s="2155"/>
      <c r="H67" s="2156"/>
      <c r="I67" s="2156"/>
      <c r="L67" s="230"/>
      <c r="M67" s="303" t="s">
        <v>1121</v>
      </c>
      <c r="N67" s="230"/>
      <c r="O67" s="230"/>
      <c r="P67" s="230"/>
    </row>
    <row r="68" spans="2:20">
      <c r="B68" s="292"/>
      <c r="E68" s="290"/>
      <c r="F68" s="290"/>
      <c r="G68" s="290"/>
      <c r="H68" s="291"/>
      <c r="I68" s="291"/>
      <c r="L68" s="230"/>
      <c r="M68" s="303"/>
      <c r="N68" s="230"/>
      <c r="O68" s="230"/>
      <c r="P68" s="230"/>
    </row>
    <row r="69" spans="2:20">
      <c r="B69" s="292"/>
      <c r="D69" s="293" t="s">
        <v>916</v>
      </c>
      <c r="E69" s="293" t="s">
        <v>917</v>
      </c>
      <c r="F69" s="293" t="s">
        <v>924</v>
      </c>
      <c r="H69" s="1642" t="s">
        <v>925</v>
      </c>
      <c r="I69" s="1642" t="s">
        <v>926</v>
      </c>
      <c r="J69" s="230"/>
      <c r="K69" s="306" t="s">
        <v>694</v>
      </c>
      <c r="L69" s="230"/>
      <c r="M69" s="306" t="s">
        <v>695</v>
      </c>
      <c r="N69" s="230"/>
      <c r="O69" s="230"/>
      <c r="P69" s="230"/>
    </row>
    <row r="70" spans="2:20" ht="15.75">
      <c r="B70" s="292"/>
      <c r="D70" s="293"/>
      <c r="E70" s="262"/>
      <c r="G70" s="12"/>
      <c r="H70" s="230"/>
      <c r="I70" s="230"/>
      <c r="J70" s="230"/>
      <c r="K70" s="292"/>
      <c r="L70" s="230"/>
      <c r="N70" s="262"/>
      <c r="O70" s="14"/>
      <c r="P70" s="262"/>
    </row>
    <row r="71" spans="2:20" ht="15.75">
      <c r="B71" s="292" t="s">
        <v>50</v>
      </c>
      <c r="D71" s="233"/>
      <c r="E71" s="12" t="s">
        <v>927</v>
      </c>
      <c r="F71" s="12" t="str">
        <f>F11</f>
        <v>KCP&amp;L</v>
      </c>
      <c r="G71" s="17"/>
      <c r="H71" s="12" t="str">
        <f>H11</f>
        <v>KCP&amp;L  Total</v>
      </c>
      <c r="I71" s="18"/>
      <c r="J71" s="14"/>
      <c r="L71" s="18"/>
      <c r="M71" s="14" t="s">
        <v>452</v>
      </c>
      <c r="N71" s="230"/>
      <c r="O71" s="14"/>
      <c r="P71" s="230"/>
      <c r="S71" s="245"/>
      <c r="T71" s="232"/>
    </row>
    <row r="72" spans="2:20" ht="16.5" thickBot="1">
      <c r="B72" s="264" t="s">
        <v>51</v>
      </c>
      <c r="C72" s="294"/>
      <c r="D72" s="379"/>
      <c r="E72" s="159" t="s">
        <v>453</v>
      </c>
      <c r="F72" s="480"/>
      <c r="G72" s="159"/>
      <c r="H72" s="162"/>
      <c r="I72" s="258"/>
      <c r="J72" s="162" t="s">
        <v>454</v>
      </c>
      <c r="K72" s="258"/>
      <c r="L72" s="258"/>
      <c r="M72" s="582" t="str">
        <f>M$12</f>
        <v>(Col 4 times Col 6)</v>
      </c>
      <c r="N72" s="230"/>
      <c r="O72" s="14"/>
      <c r="P72" s="19"/>
    </row>
    <row r="73" spans="2:20" ht="15.75">
      <c r="D73" s="233"/>
      <c r="E73" s="230"/>
      <c r="F73" s="230"/>
      <c r="G73" s="230"/>
      <c r="H73" s="7"/>
      <c r="I73" s="8"/>
      <c r="J73" s="9"/>
      <c r="L73" s="8"/>
      <c r="M73" s="7"/>
      <c r="N73" s="230"/>
      <c r="O73" s="230"/>
      <c r="P73" s="230"/>
    </row>
    <row r="74" spans="2:20" ht="15.75">
      <c r="B74" s="292"/>
      <c r="D74" s="11" t="s">
        <v>477</v>
      </c>
      <c r="E74" s="230"/>
      <c r="F74" s="27"/>
      <c r="G74" s="27"/>
      <c r="H74" s="230"/>
      <c r="I74" s="230"/>
      <c r="J74" s="230"/>
      <c r="K74" s="230"/>
      <c r="L74" s="230"/>
      <c r="M74" s="230"/>
      <c r="N74" s="230"/>
      <c r="O74" s="230"/>
      <c r="P74" s="230"/>
    </row>
    <row r="75" spans="2:20">
      <c r="B75" s="307">
        <v>1</v>
      </c>
      <c r="C75" s="229"/>
      <c r="D75" s="245" t="s">
        <v>1057</v>
      </c>
      <c r="E75" s="232" t="s">
        <v>1348</v>
      </c>
      <c r="F75" s="647">
        <v>41200552</v>
      </c>
      <c r="G75" s="761"/>
      <c r="H75" s="235">
        <f>F75</f>
        <v>41200552</v>
      </c>
      <c r="I75" s="232" t="s">
        <v>49</v>
      </c>
      <c r="J75" s="230"/>
      <c r="K75" s="241"/>
      <c r="L75" s="232"/>
      <c r="M75" s="235"/>
      <c r="N75" s="238"/>
      <c r="O75" s="230"/>
      <c r="P75" s="230"/>
    </row>
    <row r="76" spans="2:20">
      <c r="B76" s="307">
        <v>2</v>
      </c>
      <c r="C76" s="229"/>
      <c r="D76" s="245" t="s">
        <v>809</v>
      </c>
      <c r="E76" s="232" t="s">
        <v>810</v>
      </c>
      <c r="F76" s="489">
        <v>6810279</v>
      </c>
      <c r="G76" s="427"/>
      <c r="H76" s="276">
        <f>F76</f>
        <v>6810279</v>
      </c>
      <c r="I76" s="232"/>
      <c r="J76" s="230"/>
      <c r="K76" s="241"/>
      <c r="L76" s="232"/>
      <c r="M76" s="276"/>
      <c r="N76" s="238"/>
      <c r="O76" s="230"/>
      <c r="P76" s="230"/>
    </row>
    <row r="77" spans="2:20">
      <c r="B77" s="292">
        <v>3</v>
      </c>
      <c r="D77" s="233" t="s">
        <v>1058</v>
      </c>
      <c r="E77" s="15" t="s">
        <v>1724</v>
      </c>
      <c r="F77" s="2051">
        <v>23997074</v>
      </c>
      <c r="G77" s="491"/>
      <c r="H77" s="310">
        <f>F77</f>
        <v>23997074</v>
      </c>
      <c r="I77" s="381" t="s">
        <v>49</v>
      </c>
      <c r="J77" s="230"/>
      <c r="K77" s="241"/>
      <c r="L77" s="230"/>
      <c r="M77" s="240"/>
      <c r="N77" s="238"/>
      <c r="O77" s="230"/>
      <c r="P77" s="230"/>
    </row>
    <row r="78" spans="2:20" ht="15.75" thickBot="1">
      <c r="B78" s="292" t="s">
        <v>1105</v>
      </c>
      <c r="D78" s="245" t="s">
        <v>234</v>
      </c>
      <c r="E78" s="15" t="s">
        <v>1494</v>
      </c>
      <c r="F78" s="2052">
        <v>2358786</v>
      </c>
      <c r="G78" s="492"/>
      <c r="H78" s="243">
        <f>F78</f>
        <v>2358786</v>
      </c>
      <c r="I78" s="230"/>
      <c r="J78" s="230"/>
      <c r="K78" s="241"/>
      <c r="L78" s="230"/>
      <c r="M78" s="240"/>
      <c r="N78" s="238"/>
      <c r="O78" s="230"/>
      <c r="P78" s="230"/>
    </row>
    <row r="79" spans="2:20">
      <c r="B79" s="292">
        <v>4</v>
      </c>
      <c r="D79" s="233" t="s">
        <v>1439</v>
      </c>
      <c r="E79" s="1020" t="str">
        <f>"( line "&amp;B75&amp;" less lines "&amp;B76&amp;" thru "&amp;B78&amp;") (Note F)"</f>
        <v>( line 1 less lines 2 thru 3a) (Note F)</v>
      </c>
      <c r="F79" s="1685">
        <f>F75-F76-F77-F78</f>
        <v>8034413</v>
      </c>
      <c r="G79" s="1547"/>
      <c r="H79" s="1685">
        <f>H75-H76-H77-H78</f>
        <v>8034413</v>
      </c>
      <c r="I79" s="230"/>
      <c r="J79" s="230" t="s">
        <v>55</v>
      </c>
      <c r="K79" s="244">
        <f>tp</f>
        <v>0.80124875802051276</v>
      </c>
      <c r="L79" s="232"/>
      <c r="M79" s="579">
        <f>ROUND((H79*K79),0)</f>
        <v>6437563</v>
      </c>
      <c r="N79" s="238"/>
      <c r="O79" s="230"/>
      <c r="P79" s="230"/>
    </row>
    <row r="80" spans="2:20">
      <c r="B80" s="292">
        <f>B79+1</f>
        <v>5</v>
      </c>
      <c r="D80" s="245" t="s">
        <v>990</v>
      </c>
      <c r="E80" s="15" t="s">
        <v>582</v>
      </c>
      <c r="F80" s="1671">
        <f>'A-10 (Act. A&amp;G)'!F17</f>
        <v>128423343</v>
      </c>
      <c r="G80" s="763"/>
      <c r="H80" s="276">
        <f>F80</f>
        <v>128423343</v>
      </c>
      <c r="I80" s="232"/>
      <c r="J80" s="232" t="s">
        <v>1425</v>
      </c>
      <c r="K80" s="244">
        <f>WS</f>
        <v>1.898472513614197E-2</v>
      </c>
      <c r="L80" s="232"/>
      <c r="M80" s="276">
        <f>ROUND((+K80*H80),0)</f>
        <v>2438082</v>
      </c>
      <c r="N80" s="230"/>
      <c r="P80" s="230"/>
    </row>
    <row r="81" spans="2:17">
      <c r="B81" s="292" t="s">
        <v>1641</v>
      </c>
      <c r="D81" s="24" t="s">
        <v>966</v>
      </c>
      <c r="E81" s="15" t="s">
        <v>1144</v>
      </c>
      <c r="F81" s="1671">
        <f>'A-10 (Act. A&amp;G)'!F18</f>
        <v>8086621</v>
      </c>
      <c r="G81" s="427"/>
      <c r="H81" s="276">
        <f t="shared" ref="H81:H87" si="8">F81</f>
        <v>8086621</v>
      </c>
      <c r="I81" s="232"/>
      <c r="J81" s="232" t="s">
        <v>1425</v>
      </c>
      <c r="K81" s="244">
        <f>WS</f>
        <v>1.898472513614197E-2</v>
      </c>
      <c r="L81" s="232"/>
      <c r="M81" s="276">
        <f t="shared" ref="M81:M87" si="9">ROUND((+K81*H81),0)</f>
        <v>153522</v>
      </c>
      <c r="N81" s="230"/>
      <c r="P81" s="230"/>
    </row>
    <row r="82" spans="2:17">
      <c r="B82" s="292" t="s">
        <v>1081</v>
      </c>
      <c r="D82" s="24" t="s">
        <v>769</v>
      </c>
      <c r="E82" s="15" t="s">
        <v>588</v>
      </c>
      <c r="F82" s="1671">
        <f>'A-10 (Act. A&amp;G)'!F19</f>
        <v>8598615</v>
      </c>
      <c r="G82" s="427"/>
      <c r="H82" s="276">
        <f t="shared" si="8"/>
        <v>8598615</v>
      </c>
      <c r="I82" s="232"/>
      <c r="J82" s="232" t="s">
        <v>1425</v>
      </c>
      <c r="K82" s="244">
        <f>WS</f>
        <v>1.898472513614197E-2</v>
      </c>
      <c r="L82" s="232"/>
      <c r="M82" s="276">
        <f t="shared" si="9"/>
        <v>163242</v>
      </c>
      <c r="N82" s="230"/>
      <c r="P82" s="230"/>
    </row>
    <row r="83" spans="2:17">
      <c r="B83" s="292" t="s">
        <v>1082</v>
      </c>
      <c r="D83" s="24" t="s">
        <v>1145</v>
      </c>
      <c r="E83" s="15" t="s">
        <v>585</v>
      </c>
      <c r="F83" s="1671">
        <f>'A-10 (Act. A&amp;G)'!F20</f>
        <v>0</v>
      </c>
      <c r="G83" s="427"/>
      <c r="H83" s="276">
        <f t="shared" si="8"/>
        <v>0</v>
      </c>
      <c r="I83" s="232"/>
      <c r="J83" s="232" t="s">
        <v>1425</v>
      </c>
      <c r="K83" s="244">
        <f>WS</f>
        <v>1.898472513614197E-2</v>
      </c>
      <c r="L83" s="232"/>
      <c r="M83" s="276">
        <f t="shared" si="9"/>
        <v>0</v>
      </c>
      <c r="N83" s="230"/>
      <c r="P83" s="230"/>
    </row>
    <row r="84" spans="2:17">
      <c r="B84" s="292" t="s">
        <v>1083</v>
      </c>
      <c r="D84" s="24" t="s">
        <v>1074</v>
      </c>
      <c r="E84" s="15" t="s">
        <v>584</v>
      </c>
      <c r="F84" s="1671">
        <f>'A-10 (Act. A&amp;G)'!F25</f>
        <v>0</v>
      </c>
      <c r="G84" s="427"/>
      <c r="H84" s="276">
        <f t="shared" si="8"/>
        <v>0</v>
      </c>
      <c r="I84" s="232"/>
      <c r="J84" s="232" t="s">
        <v>1385</v>
      </c>
      <c r="K84" s="244">
        <v>1</v>
      </c>
      <c r="L84" s="232"/>
      <c r="M84" s="276">
        <f t="shared" si="9"/>
        <v>0</v>
      </c>
      <c r="N84" s="230"/>
      <c r="P84" s="230"/>
    </row>
    <row r="85" spans="2:17">
      <c r="B85" s="292" t="s">
        <v>1084</v>
      </c>
      <c r="D85" s="24" t="s">
        <v>1075</v>
      </c>
      <c r="E85" s="15" t="s">
        <v>586</v>
      </c>
      <c r="F85" s="1671">
        <f>'A-10 (Act. A&amp;G)'!F32</f>
        <v>669366</v>
      </c>
      <c r="G85" s="427"/>
      <c r="H85" s="276">
        <f t="shared" si="8"/>
        <v>669366</v>
      </c>
      <c r="I85" s="232"/>
      <c r="J85" s="232" t="s">
        <v>1385</v>
      </c>
      <c r="K85" s="244">
        <v>1</v>
      </c>
      <c r="L85" s="232"/>
      <c r="M85" s="276">
        <f t="shared" si="9"/>
        <v>669366</v>
      </c>
      <c r="N85" s="230"/>
      <c r="P85" s="230"/>
      <c r="Q85" s="623"/>
    </row>
    <row r="86" spans="2:17">
      <c r="B86" s="292" t="s">
        <v>1085</v>
      </c>
      <c r="D86" s="24" t="s">
        <v>1076</v>
      </c>
      <c r="E86" s="15" t="s">
        <v>587</v>
      </c>
      <c r="F86" s="1671">
        <f>'A-10 (Act. A&amp;G)'!F37</f>
        <v>67905</v>
      </c>
      <c r="G86" s="427"/>
      <c r="H86" s="276">
        <f t="shared" si="8"/>
        <v>67905</v>
      </c>
      <c r="I86" s="232"/>
      <c r="J86" s="232" t="s">
        <v>1385</v>
      </c>
      <c r="K86" s="244">
        <v>1</v>
      </c>
      <c r="L86" s="232"/>
      <c r="M86" s="276">
        <f t="shared" si="9"/>
        <v>67905</v>
      </c>
      <c r="N86" s="230"/>
      <c r="P86" s="230"/>
    </row>
    <row r="87" spans="2:17">
      <c r="B87" s="292" t="s">
        <v>589</v>
      </c>
      <c r="D87" s="24" t="s">
        <v>1077</v>
      </c>
      <c r="E87" s="15" t="s">
        <v>583</v>
      </c>
      <c r="F87" s="1671">
        <f>'A-10 (Act. A&amp;G)'!F43</f>
        <v>149492</v>
      </c>
      <c r="G87" s="427"/>
      <c r="H87" s="276">
        <f t="shared" si="8"/>
        <v>149492</v>
      </c>
      <c r="I87" s="232"/>
      <c r="J87" s="232" t="s">
        <v>1425</v>
      </c>
      <c r="K87" s="244">
        <f>WS</f>
        <v>1.898472513614197E-2</v>
      </c>
      <c r="L87" s="232"/>
      <c r="M87" s="276">
        <f t="shared" si="9"/>
        <v>2838</v>
      </c>
      <c r="N87" s="230"/>
      <c r="O87" s="1445"/>
      <c r="P87" s="230"/>
    </row>
    <row r="88" spans="2:17" ht="15.75" thickBot="1">
      <c r="B88" s="292">
        <f>B80+1</f>
        <v>6</v>
      </c>
      <c r="C88" s="292"/>
      <c r="D88" s="245" t="s">
        <v>467</v>
      </c>
      <c r="E88" s="15" t="s">
        <v>1495</v>
      </c>
      <c r="F88" s="2052">
        <v>2358786</v>
      </c>
      <c r="G88" s="243"/>
      <c r="H88" s="243">
        <f>F88</f>
        <v>2358786</v>
      </c>
      <c r="I88" s="232"/>
      <c r="J88" s="232" t="s">
        <v>1385</v>
      </c>
      <c r="K88" s="244">
        <v>1</v>
      </c>
      <c r="L88" s="232"/>
      <c r="M88" s="243">
        <f>+K88*H88</f>
        <v>2358786</v>
      </c>
      <c r="N88" s="230"/>
      <c r="O88" s="230"/>
      <c r="P88" s="230"/>
    </row>
    <row r="89" spans="2:17">
      <c r="B89" s="292">
        <f>B88+1</f>
        <v>7</v>
      </c>
      <c r="C89" s="292"/>
      <c r="D89" s="233" t="s">
        <v>539</v>
      </c>
      <c r="E89" s="812" t="str">
        <f>"(sum lines "&amp;B79&amp;", "&amp;B80&amp;", "&amp;B82&amp;" thru "&amp;B88&amp;" less "&amp;B81&amp;"  )"</f>
        <v>(sum lines 4, 5, 5b thru 6 less 5a  )</v>
      </c>
      <c r="F89" s="235">
        <f>F79+F80-F81+F83+F84+F85+F86+F87+F88+F82</f>
        <v>140215299</v>
      </c>
      <c r="G89" s="761"/>
      <c r="H89" s="235">
        <f>H79+H80-H81+H83+H84+H85+H86+H87+H88+H82</f>
        <v>140215299</v>
      </c>
      <c r="I89" s="230"/>
      <c r="J89" s="230"/>
      <c r="K89" s="230"/>
      <c r="L89" s="230"/>
      <c r="M89" s="235">
        <f>M79+M80-M81+M83+M84+M85+M86+M87+M88+M82</f>
        <v>11984260</v>
      </c>
      <c r="N89" s="230"/>
      <c r="O89" s="230"/>
      <c r="P89" s="230"/>
    </row>
    <row r="90" spans="2:17">
      <c r="B90" s="292"/>
      <c r="C90" s="292"/>
      <c r="E90" s="230"/>
      <c r="F90" s="230"/>
      <c r="G90" s="230"/>
      <c r="H90" s="230"/>
      <c r="I90" s="230"/>
      <c r="J90" s="230"/>
      <c r="K90" s="230"/>
      <c r="L90" s="230"/>
      <c r="M90" s="230"/>
      <c r="N90" s="230"/>
      <c r="O90" s="230"/>
      <c r="P90" s="230"/>
    </row>
    <row r="91" spans="2:17" ht="15.75">
      <c r="B91" s="292"/>
      <c r="C91" s="292"/>
      <c r="D91" s="11" t="s">
        <v>478</v>
      </c>
      <c r="E91" s="15" t="s">
        <v>1007</v>
      </c>
      <c r="F91" s="548"/>
      <c r="G91" s="27"/>
      <c r="H91" s="230"/>
      <c r="I91" s="230"/>
      <c r="J91" s="230"/>
      <c r="K91" s="230"/>
      <c r="L91" s="230"/>
      <c r="M91" s="230"/>
      <c r="N91" s="230"/>
      <c r="O91" s="230"/>
      <c r="P91" s="230"/>
    </row>
    <row r="92" spans="2:17">
      <c r="B92" s="307">
        <f>B89+1</f>
        <v>8</v>
      </c>
      <c r="C92" s="292"/>
      <c r="D92" s="245" t="s">
        <v>458</v>
      </c>
      <c r="E92" s="232" t="s">
        <v>392</v>
      </c>
      <c r="F92" s="2053">
        <v>7375839</v>
      </c>
      <c r="G92" s="763"/>
      <c r="H92" s="237">
        <f>F92</f>
        <v>7375839</v>
      </c>
      <c r="I92" s="230"/>
      <c r="J92" s="230" t="s">
        <v>55</v>
      </c>
      <c r="K92" s="244">
        <f>tp</f>
        <v>0.80124875802051276</v>
      </c>
      <c r="L92" s="230"/>
      <c r="M92" s="237">
        <f>+K92*H92</f>
        <v>5909881.8381092604</v>
      </c>
      <c r="N92" s="230"/>
      <c r="O92" s="493"/>
      <c r="P92" s="230"/>
    </row>
    <row r="93" spans="2:17">
      <c r="B93" s="307">
        <f>B92+1</f>
        <v>9</v>
      </c>
      <c r="C93" s="292"/>
      <c r="D93" s="233" t="s">
        <v>997</v>
      </c>
      <c r="E93" s="232" t="s">
        <v>391</v>
      </c>
      <c r="F93" s="2051">
        <f>9200245+1425239</f>
        <v>10625484</v>
      </c>
      <c r="G93" s="310"/>
      <c r="H93" s="310">
        <f>F93</f>
        <v>10625484</v>
      </c>
      <c r="I93" s="230"/>
      <c r="J93" s="230" t="s">
        <v>1425</v>
      </c>
      <c r="K93" s="241">
        <f>WS</f>
        <v>1.898472513614197E-2</v>
      </c>
      <c r="L93" s="230"/>
      <c r="M93" s="240">
        <f>+K93*H93</f>
        <v>201721.89317847433</v>
      </c>
      <c r="N93" s="230"/>
      <c r="O93" s="493"/>
      <c r="P93" s="230"/>
    </row>
    <row r="94" spans="2:17">
      <c r="B94" s="307">
        <f>B93+1</f>
        <v>10</v>
      </c>
      <c r="C94" s="292"/>
      <c r="D94" s="295" t="s">
        <v>1156</v>
      </c>
      <c r="E94" s="232" t="s">
        <v>998</v>
      </c>
      <c r="F94" s="2051">
        <v>13221825</v>
      </c>
      <c r="G94" s="310"/>
      <c r="H94" s="310">
        <f>F94</f>
        <v>13221825</v>
      </c>
      <c r="I94" s="230"/>
      <c r="J94" s="230" t="s">
        <v>1425</v>
      </c>
      <c r="K94" s="241">
        <f>WS</f>
        <v>1.898472513614197E-2</v>
      </c>
      <c r="L94" s="230"/>
      <c r="M94" s="240">
        <f>+K94*H94</f>
        <v>251012.71342317029</v>
      </c>
      <c r="N94" s="230"/>
      <c r="O94" s="236"/>
      <c r="P94" s="230"/>
    </row>
    <row r="95" spans="2:17" ht="15.75" thickBot="1">
      <c r="B95" s="59">
        <f>B94+1</f>
        <v>11</v>
      </c>
      <c r="C95" s="13"/>
      <c r="D95" s="2" t="s">
        <v>101</v>
      </c>
      <c r="E95" s="832" t="s">
        <v>102</v>
      </c>
      <c r="F95" s="506">
        <v>0</v>
      </c>
      <c r="G95" s="506"/>
      <c r="H95" s="243">
        <f>F95</f>
        <v>0</v>
      </c>
      <c r="I95" s="4"/>
      <c r="J95" s="15" t="s">
        <v>1385</v>
      </c>
      <c r="K95" s="557">
        <v>1</v>
      </c>
      <c r="L95" s="4"/>
      <c r="M95" s="833">
        <f>H95*K95</f>
        <v>0</v>
      </c>
      <c r="N95" s="230"/>
      <c r="O95" s="236"/>
      <c r="P95" s="230"/>
    </row>
    <row r="96" spans="2:17">
      <c r="B96" s="307">
        <f>B95+1</f>
        <v>12</v>
      </c>
      <c r="C96" s="292"/>
      <c r="D96" s="233" t="s">
        <v>540</v>
      </c>
      <c r="E96" s="812" t="str">
        <f>"(sum line "&amp;B92&amp;" thru line "&amp;B95&amp;")"</f>
        <v>(sum line 8 thru line 11)</v>
      </c>
      <c r="F96" s="235">
        <f>SUM(F92:F95)</f>
        <v>31223148</v>
      </c>
      <c r="G96" s="761"/>
      <c r="H96" s="235">
        <f>SUM(H92:H95)</f>
        <v>31223148</v>
      </c>
      <c r="I96" s="232"/>
      <c r="J96" s="232"/>
      <c r="K96" s="232"/>
      <c r="L96" s="232"/>
      <c r="M96" s="235">
        <f>SUM(M92:M95)</f>
        <v>6362616.4447109047</v>
      </c>
      <c r="N96" s="230"/>
      <c r="O96" s="230"/>
      <c r="P96" s="230"/>
    </row>
    <row r="97" spans="2:19">
      <c r="B97" s="307"/>
      <c r="C97" s="292"/>
      <c r="D97" s="233"/>
      <c r="E97" s="230"/>
      <c r="F97" s="230"/>
      <c r="G97" s="230"/>
      <c r="H97" s="230"/>
      <c r="I97" s="230"/>
      <c r="J97" s="230"/>
      <c r="K97" s="230"/>
      <c r="L97" s="230"/>
      <c r="M97" s="230"/>
      <c r="N97" s="230"/>
      <c r="O97" s="230"/>
      <c r="P97" s="230"/>
    </row>
    <row r="98" spans="2:19" ht="15.75">
      <c r="B98" s="307"/>
      <c r="C98" s="292"/>
      <c r="D98" s="11" t="s">
        <v>494</v>
      </c>
      <c r="E98" s="228" t="s">
        <v>495</v>
      </c>
      <c r="H98" s="776"/>
      <c r="I98" s="230"/>
      <c r="J98" s="230"/>
      <c r="K98" s="230"/>
      <c r="L98" s="230"/>
      <c r="M98" s="230"/>
      <c r="N98" s="230"/>
      <c r="O98" s="230"/>
      <c r="P98" s="230"/>
    </row>
    <row r="99" spans="2:19" ht="15.75">
      <c r="B99" s="307"/>
      <c r="C99" s="292"/>
      <c r="D99" s="233" t="s">
        <v>479</v>
      </c>
      <c r="E99" s="22"/>
      <c r="F99" s="28"/>
      <c r="G99" s="28"/>
      <c r="I99" s="230"/>
      <c r="J99" s="230"/>
      <c r="L99" s="230"/>
      <c r="N99" s="230"/>
      <c r="O99" s="236"/>
      <c r="P99" s="230"/>
    </row>
    <row r="100" spans="2:19">
      <c r="B100" s="307">
        <f>B96+1</f>
        <v>13</v>
      </c>
      <c r="C100" s="292"/>
      <c r="D100" s="245" t="s">
        <v>480</v>
      </c>
      <c r="E100" s="1020" t="str">
        <f>"(Wksht A-6,  line "&amp;'A-6 (Act Taxes Other)'!A16&amp;")"</f>
        <v>(Wksht A-6,  line 10)</v>
      </c>
      <c r="F100" s="1686">
        <f>'A-6 (Act Taxes Other)'!G16</f>
        <v>12347515</v>
      </c>
      <c r="G100" s="1687"/>
      <c r="H100" s="235">
        <f>F100</f>
        <v>12347515</v>
      </c>
      <c r="I100" s="232"/>
      <c r="J100" s="232" t="s">
        <v>1425</v>
      </c>
      <c r="K100" s="313">
        <f>WS</f>
        <v>1.898472513614197E-2</v>
      </c>
      <c r="L100" s="232"/>
      <c r="M100" s="579">
        <f>ROUND((H100*K100),0)</f>
        <v>234414</v>
      </c>
      <c r="N100" s="230"/>
      <c r="O100" s="236"/>
      <c r="P100" s="230"/>
    </row>
    <row r="101" spans="2:19">
      <c r="B101" s="307">
        <f>B100+1</f>
        <v>14</v>
      </c>
      <c r="C101" s="292"/>
      <c r="D101" s="245" t="s">
        <v>481</v>
      </c>
      <c r="E101" s="1020" t="str">
        <f>"(Wksht A-6,  line "&amp;'A-6 (Act Taxes Other)'!A16&amp;")"</f>
        <v>(Wksht A-6,  line 10)</v>
      </c>
      <c r="F101" s="1671">
        <f>'A-6 (Act Taxes Other)'!H16</f>
        <v>0</v>
      </c>
      <c r="G101" s="68"/>
      <c r="H101" s="276">
        <f>F101</f>
        <v>0</v>
      </c>
      <c r="I101" s="232"/>
      <c r="J101" s="232" t="str">
        <f>+J100</f>
        <v>W/S</v>
      </c>
      <c r="K101" s="313">
        <f>WS</f>
        <v>1.898472513614197E-2</v>
      </c>
      <c r="L101" s="232"/>
      <c r="M101" s="276">
        <f>ROUND((+K101*H101),0)</f>
        <v>0</v>
      </c>
      <c r="N101" s="230"/>
      <c r="O101" s="236"/>
      <c r="P101" s="230"/>
    </row>
    <row r="102" spans="2:19">
      <c r="B102" s="307"/>
      <c r="C102" s="292"/>
      <c r="D102" s="245" t="s">
        <v>482</v>
      </c>
      <c r="E102" s="15" t="s">
        <v>49</v>
      </c>
      <c r="F102" s="1671"/>
      <c r="G102" s="276"/>
      <c r="H102" s="276"/>
      <c r="I102" s="232"/>
      <c r="J102" s="232"/>
      <c r="K102" s="229"/>
      <c r="L102" s="232"/>
      <c r="M102" s="276"/>
      <c r="N102" s="230"/>
      <c r="O102" s="236"/>
      <c r="P102" s="230"/>
    </row>
    <row r="103" spans="2:19">
      <c r="B103" s="307">
        <f>B101+1</f>
        <v>15</v>
      </c>
      <c r="C103" s="292"/>
      <c r="D103" s="245" t="s">
        <v>1056</v>
      </c>
      <c r="E103" s="1020" t="str">
        <f>"(Wksht A-6,  line "&amp;'A-6 (Act Taxes Other)'!A16&amp;",  Note M)"</f>
        <v>(Wksht A-6,  line 10,  Note M)</v>
      </c>
      <c r="F103" s="1671">
        <f>'A-6 (Act Taxes Other)'!I16</f>
        <v>76306784</v>
      </c>
      <c r="G103" s="68"/>
      <c r="H103" s="276">
        <f>F103</f>
        <v>76306784</v>
      </c>
      <c r="I103" s="312"/>
      <c r="J103" s="232" t="s">
        <v>476</v>
      </c>
      <c r="K103" s="313">
        <f>GP</f>
        <v>4.3009977375187969E-2</v>
      </c>
      <c r="L103" s="232"/>
      <c r="M103" s="276">
        <f>ROUND((+K103*H103),0)</f>
        <v>3281953</v>
      </c>
      <c r="N103" s="230"/>
      <c r="O103" s="236"/>
      <c r="P103" s="230"/>
    </row>
    <row r="104" spans="2:19">
      <c r="B104" s="307">
        <f>B103+1</f>
        <v>16</v>
      </c>
      <c r="C104" s="292"/>
      <c r="D104" s="245" t="s">
        <v>483</v>
      </c>
      <c r="E104" s="1020" t="str">
        <f>"(Wksht A-6,  line "&amp;'A-6 (Act Taxes Other)'!A16&amp;")"</f>
        <v>(Wksht A-6,  line 10)</v>
      </c>
      <c r="F104" s="1671">
        <f>'A-6 (Act Taxes Other)'!J16</f>
        <v>56656342</v>
      </c>
      <c r="G104" s="68"/>
      <c r="H104" s="276">
        <f>F104</f>
        <v>56656342</v>
      </c>
      <c r="I104" s="232"/>
      <c r="J104" s="232" t="s">
        <v>457</v>
      </c>
      <c r="K104" s="314"/>
      <c r="L104" s="232"/>
      <c r="M104" s="276">
        <v>0</v>
      </c>
      <c r="N104" s="230"/>
      <c r="O104" s="236"/>
      <c r="P104" s="230"/>
    </row>
    <row r="105" spans="2:19" ht="15.75" thickBot="1">
      <c r="B105" s="307">
        <f>B104+1</f>
        <v>17</v>
      </c>
      <c r="C105" s="292"/>
      <c r="D105" s="245" t="s">
        <v>1127</v>
      </c>
      <c r="E105" s="1020" t="str">
        <f>"(Wksht A-6,  line "&amp;'A-6 (Act Taxes Other)'!A16&amp;")"</f>
        <v>(Wksht A-6,  line 10)</v>
      </c>
      <c r="F105" s="1679">
        <f>'A-6 (Act Taxes Other)'!K16+'A-6 (Act Taxes Other)'!L16</f>
        <v>0</v>
      </c>
      <c r="G105" s="506"/>
      <c r="H105" s="243">
        <f>F105</f>
        <v>0</v>
      </c>
      <c r="I105" s="232"/>
      <c r="J105" s="232" t="s">
        <v>476</v>
      </c>
      <c r="K105" s="313">
        <f>GP</f>
        <v>4.3009977375187969E-2</v>
      </c>
      <c r="L105" s="232"/>
      <c r="M105" s="243">
        <f>+K105*H105</f>
        <v>0</v>
      </c>
      <c r="N105" s="230"/>
      <c r="Q105" s="493"/>
      <c r="R105" s="504"/>
      <c r="S105" s="48"/>
    </row>
    <row r="106" spans="2:19">
      <c r="B106" s="307">
        <f>B105+1</f>
        <v>18</v>
      </c>
      <c r="C106" s="292"/>
      <c r="D106" s="233" t="s">
        <v>996</v>
      </c>
      <c r="E106" s="812" t="str">
        <f>"(sum line "&amp;B100&amp;" thru line "&amp;B105&amp;")"</f>
        <v>(sum line 13 thru line 17)</v>
      </c>
      <c r="F106" s="237">
        <f>SUM(F100:F105)</f>
        <v>145310641</v>
      </c>
      <c r="G106" s="751"/>
      <c r="H106" s="237">
        <f>SUM(H100:H105)</f>
        <v>145310641</v>
      </c>
      <c r="I106" s="230"/>
      <c r="J106" s="230"/>
      <c r="K106" s="311"/>
      <c r="L106" s="230"/>
      <c r="M106" s="237">
        <f>SUM(M100:M105)</f>
        <v>3516367</v>
      </c>
      <c r="N106" s="230"/>
      <c r="O106" s="230"/>
      <c r="P106" s="230"/>
    </row>
    <row r="107" spans="2:19">
      <c r="B107" s="292"/>
      <c r="C107" s="292"/>
      <c r="D107" s="583"/>
      <c r="E107" s="230"/>
      <c r="F107" s="230"/>
      <c r="G107" s="230"/>
      <c r="H107" s="230"/>
      <c r="I107" s="230"/>
      <c r="J107" s="230"/>
      <c r="K107" s="311"/>
      <c r="L107" s="230"/>
      <c r="M107" s="230"/>
      <c r="N107" s="230"/>
      <c r="O107" s="230"/>
      <c r="P107" s="230"/>
    </row>
    <row r="108" spans="2:19" ht="15.75">
      <c r="B108" s="292" t="s">
        <v>49</v>
      </c>
      <c r="C108" s="307"/>
      <c r="D108" s="23" t="s">
        <v>484</v>
      </c>
      <c r="E108" s="232" t="s">
        <v>1632</v>
      </c>
      <c r="F108" s="232"/>
      <c r="G108" s="232"/>
      <c r="H108" s="232"/>
      <c r="I108" s="232"/>
      <c r="J108" s="229"/>
      <c r="K108" s="589"/>
      <c r="L108" s="232"/>
      <c r="M108" s="229"/>
      <c r="N108" s="230"/>
      <c r="P108" s="230"/>
    </row>
    <row r="109" spans="2:19">
      <c r="B109" s="307">
        <f>B106+1</f>
        <v>19</v>
      </c>
      <c r="C109" s="307"/>
      <c r="D109" s="541" t="s">
        <v>332</v>
      </c>
      <c r="E109" s="583"/>
      <c r="F109" s="232"/>
      <c r="G109" s="232"/>
      <c r="H109" s="316">
        <f>IF(F259&gt;0,1-(((1-F260)*(1-F259))/(1-F260*F259*F261)),0)</f>
        <v>0.38805115718220384</v>
      </c>
      <c r="I109" s="232"/>
      <c r="J109" s="229"/>
      <c r="K109" s="589"/>
      <c r="L109" s="232"/>
      <c r="M109" s="229"/>
      <c r="N109" s="230"/>
      <c r="P109" s="230"/>
      <c r="Q109" s="509"/>
    </row>
    <row r="110" spans="2:19">
      <c r="B110" s="307">
        <f>B109+1</f>
        <v>20</v>
      </c>
      <c r="C110" s="307"/>
      <c r="D110" s="542" t="s">
        <v>333</v>
      </c>
      <c r="F110" s="755"/>
      <c r="G110" s="229"/>
      <c r="H110" s="316">
        <f>IF(M217&gt;0,(H109/(1-H109))*(1-M214/M217),0)</f>
        <v>0.38221554276254849</v>
      </c>
      <c r="I110" s="232"/>
      <c r="J110" s="229"/>
      <c r="K110" s="589"/>
      <c r="L110" s="232"/>
      <c r="M110" s="229"/>
      <c r="N110" s="230"/>
      <c r="P110" s="230"/>
      <c r="Q110" s="509"/>
    </row>
    <row r="111" spans="2:19" ht="15.75">
      <c r="B111" s="307">
        <f>B110+1</f>
        <v>21</v>
      </c>
      <c r="C111" s="307"/>
      <c r="D111" s="583" t="s">
        <v>1595</v>
      </c>
      <c r="E111" s="1020" t="str">
        <f>"(GRCF = 1 / (1-T from Line "&amp;B109&amp;"))"</f>
        <v>(GRCF = 1 / (1-T from Line 19))</v>
      </c>
      <c r="F111" s="584"/>
      <c r="G111" s="584"/>
      <c r="H111" s="318">
        <f>IF(H109&gt;0,1/(1-H109),0)</f>
        <v>1.6341235247629082</v>
      </c>
      <c r="I111" s="232"/>
      <c r="J111" s="229"/>
      <c r="K111" s="589"/>
      <c r="L111" s="232"/>
      <c r="M111" s="229"/>
      <c r="N111" s="230"/>
      <c r="P111" s="230"/>
    </row>
    <row r="112" spans="2:19">
      <c r="B112" s="307">
        <f>B111+1</f>
        <v>22</v>
      </c>
      <c r="C112" s="307"/>
      <c r="D112" s="245" t="s">
        <v>1710</v>
      </c>
      <c r="E112" s="245" t="s">
        <v>1730</v>
      </c>
      <c r="F112" s="2054">
        <v>-1769868</v>
      </c>
      <c r="G112" s="260"/>
      <c r="H112" s="235">
        <f>F112</f>
        <v>-1769868</v>
      </c>
      <c r="I112" s="232"/>
      <c r="J112" s="229"/>
      <c r="K112" s="589"/>
      <c r="L112" s="232"/>
      <c r="M112" s="229"/>
      <c r="N112" s="230"/>
      <c r="P112" s="381"/>
      <c r="Q112" s="425"/>
      <c r="R112" s="425"/>
    </row>
    <row r="113" spans="2:18">
      <c r="B113" s="307"/>
      <c r="C113" s="307"/>
      <c r="D113" s="245"/>
      <c r="E113" s="232"/>
      <c r="F113" s="235"/>
      <c r="G113" s="235"/>
      <c r="H113" s="232"/>
      <c r="I113" s="232"/>
      <c r="J113" s="229"/>
      <c r="K113" s="589"/>
      <c r="L113" s="232"/>
      <c r="M113" s="229"/>
      <c r="N113" s="230"/>
      <c r="P113" s="381"/>
      <c r="Q113" s="425"/>
      <c r="R113" s="425"/>
    </row>
    <row r="114" spans="2:18">
      <c r="B114" s="307">
        <f>B112+1</f>
        <v>23</v>
      </c>
      <c r="C114" s="307"/>
      <c r="D114" s="583" t="s">
        <v>1328</v>
      </c>
      <c r="E114" s="1020" t="str">
        <f>"(Line "&amp;B110&amp;"*(Line "&amp;B59&amp;" of Page 1)*( Line "&amp;B217&amp;" of Page 4 ) + Line "&amp;B225&amp;" of Page 4 )"</f>
        <v>(Line 20*(Line 34 of Page 1)*( Line 21 of Page 4 ) + Line 26 of Page 4 )</v>
      </c>
      <c r="F114" s="764"/>
      <c r="G114" s="764"/>
      <c r="H114" s="235"/>
      <c r="I114" s="232"/>
      <c r="J114" s="229"/>
      <c r="K114" s="313"/>
      <c r="L114" s="232"/>
      <c r="M114" s="70">
        <f>ROUND(((H110*(M217*M59))+H225),0)</f>
        <v>5217139</v>
      </c>
      <c r="N114" s="230"/>
      <c r="O114" s="319" t="s">
        <v>49</v>
      </c>
      <c r="P114" s="381"/>
      <c r="Q114" s="284"/>
      <c r="R114" s="425"/>
    </row>
    <row r="115" spans="2:18" ht="15.75" thickBot="1">
      <c r="B115" s="307">
        <f>B114+1</f>
        <v>24</v>
      </c>
      <c r="C115" s="307"/>
      <c r="D115" s="229" t="s">
        <v>1545</v>
      </c>
      <c r="E115" s="812" t="str">
        <f>"( line "&amp;B111&amp;"  X  line "&amp;B112&amp;")"</f>
        <v>( line 21  X  line 22)</v>
      </c>
      <c r="F115" s="764"/>
      <c r="G115" s="764"/>
      <c r="H115" s="310">
        <f>H111*H112</f>
        <v>-2892182.9345250791</v>
      </c>
      <c r="I115" s="232"/>
      <c r="J115" s="232" t="s">
        <v>471</v>
      </c>
      <c r="K115" s="314">
        <f>NP</f>
        <v>4.0108085523181181E-2</v>
      </c>
      <c r="L115" s="232"/>
      <c r="M115" s="243">
        <f>ROUND((H115*K115),0)</f>
        <v>-116000</v>
      </c>
      <c r="N115" s="230"/>
      <c r="O115" s="319"/>
      <c r="P115" s="381"/>
      <c r="Q115" s="310"/>
      <c r="R115" s="425"/>
    </row>
    <row r="116" spans="2:18">
      <c r="B116" s="307">
        <f>B115+1</f>
        <v>25</v>
      </c>
      <c r="C116" s="292"/>
      <c r="D116" s="320" t="s">
        <v>811</v>
      </c>
      <c r="E116" s="812" t="str">
        <f>"( line "&amp;B114&amp;"  plus  line "&amp;B115&amp;")"</f>
        <v>( line 23  plus  line 24)</v>
      </c>
      <c r="H116" s="321"/>
      <c r="I116" s="230"/>
      <c r="J116" s="230" t="s">
        <v>49</v>
      </c>
      <c r="K116" s="311" t="s">
        <v>49</v>
      </c>
      <c r="L116" s="230"/>
      <c r="M116" s="321">
        <f>+M114+M115</f>
        <v>5101139</v>
      </c>
      <c r="N116" s="230"/>
      <c r="O116" s="230"/>
      <c r="P116" s="381"/>
      <c r="Q116" s="1105"/>
      <c r="R116" s="425"/>
    </row>
    <row r="117" spans="2:18">
      <c r="B117" s="307" t="s">
        <v>49</v>
      </c>
      <c r="C117" s="292"/>
      <c r="E117" s="1688"/>
      <c r="F117" s="1688"/>
      <c r="G117" s="1688"/>
      <c r="H117" s="230"/>
      <c r="I117" s="230"/>
      <c r="J117" s="230"/>
      <c r="K117" s="311"/>
      <c r="L117" s="230"/>
      <c r="M117" s="230"/>
      <c r="N117" s="230"/>
      <c r="O117" s="230"/>
      <c r="P117" s="381"/>
      <c r="Q117" s="381"/>
      <c r="R117" s="425"/>
    </row>
    <row r="118" spans="2:18" ht="15.75">
      <c r="B118" s="307">
        <f>B116+1</f>
        <v>26</v>
      </c>
      <c r="C118" s="292"/>
      <c r="D118" s="11" t="s">
        <v>485</v>
      </c>
      <c r="E118" s="1020" t="str">
        <f>"((Line "&amp;B59&amp;" of Page 1)*( Line "&amp;B217&amp;" of Page 4 ) + (Line "&amp;B224&amp;" - Line "&amp;B225&amp;") of Page 4 )"</f>
        <v>((Line 34 of Page 1)*( Line 21 of Page 4 ) + (Line 25 - Line 26) of Page 4 )</v>
      </c>
      <c r="F118" s="299"/>
      <c r="G118" s="299"/>
      <c r="H118" s="237"/>
      <c r="I118" s="230"/>
      <c r="J118" s="232"/>
      <c r="K118" s="315"/>
      <c r="L118" s="230"/>
      <c r="M118" s="70">
        <f>ROUND((+$M217*M59+(K224-H225)),0)</f>
        <v>13649731</v>
      </c>
      <c r="N118" s="230"/>
      <c r="P118" s="381"/>
      <c r="Q118" s="113"/>
      <c r="R118" s="425"/>
    </row>
    <row r="119" spans="2:18">
      <c r="B119" s="307"/>
      <c r="C119" s="292"/>
      <c r="D119" s="320"/>
      <c r="H119" s="230"/>
      <c r="I119" s="230"/>
      <c r="J119" s="230"/>
      <c r="K119" s="315"/>
      <c r="L119" s="230"/>
      <c r="M119" s="230"/>
      <c r="N119" s="230"/>
      <c r="O119" s="236"/>
      <c r="P119" s="381"/>
      <c r="Q119" s="381"/>
      <c r="R119" s="425"/>
    </row>
    <row r="120" spans="2:18" ht="15.75">
      <c r="B120" s="59">
        <f>B118+1</f>
        <v>27</v>
      </c>
      <c r="C120" s="59"/>
      <c r="D120" s="23" t="s">
        <v>432</v>
      </c>
      <c r="E120" s="812" t="str">
        <f>"(sum line "&amp;B89&amp;", "&amp;B96&amp;", "&amp;B106&amp;", "&amp;B116&amp;" &amp; "&amp;B118&amp;")"</f>
        <v>(sum line 7, 12, 18, 25 &amp; 26)</v>
      </c>
      <c r="F120" s="944"/>
      <c r="G120" s="829"/>
      <c r="H120" s="945"/>
      <c r="I120" s="944"/>
      <c r="J120" s="944"/>
      <c r="K120" s="944"/>
      <c r="L120" s="944"/>
      <c r="M120" s="945">
        <f>+M118+M116+M106+M96+M89</f>
        <v>40614113.444710903</v>
      </c>
      <c r="N120" s="232"/>
      <c r="O120" s="299"/>
      <c r="P120" s="381"/>
      <c r="Q120" s="945">
        <f>M89+M96+M106+M116+M118</f>
        <v>40614113.444710903</v>
      </c>
      <c r="R120" s="425"/>
    </row>
    <row r="121" spans="2:18" ht="15.75" thickBot="1">
      <c r="B121" s="59">
        <f>B120+1</f>
        <v>28</v>
      </c>
      <c r="C121" s="59"/>
      <c r="D121" s="24" t="s">
        <v>433</v>
      </c>
      <c r="E121" s="812" t="str">
        <f>"( line "&amp;B236&amp;"  of page 4 )"</f>
        <v>( line 35  of page 4 )</v>
      </c>
      <c r="F121" s="944"/>
      <c r="G121" s="829"/>
      <c r="H121" s="945"/>
      <c r="I121" s="944"/>
      <c r="J121" s="944"/>
      <c r="K121" s="944"/>
      <c r="L121" s="944"/>
      <c r="M121" s="947">
        <f>M236</f>
        <v>0</v>
      </c>
      <c r="N121" s="232"/>
      <c r="O121" s="299"/>
      <c r="P121" s="381"/>
      <c r="Q121" s="966"/>
      <c r="R121" s="425"/>
    </row>
    <row r="122" spans="2:18">
      <c r="B122" s="307"/>
      <c r="C122" s="292"/>
      <c r="D122" s="245"/>
      <c r="E122" s="812"/>
      <c r="F122" s="337"/>
      <c r="G122" s="337"/>
      <c r="H122" s="339"/>
      <c r="I122" s="339"/>
      <c r="J122" s="339"/>
      <c r="K122" s="948"/>
      <c r="L122" s="339"/>
      <c r="M122" s="339"/>
      <c r="N122" s="232"/>
      <c r="O122" s="299"/>
      <c r="P122" s="381"/>
      <c r="Q122" s="339"/>
      <c r="R122" s="425"/>
    </row>
    <row r="123" spans="2:18" ht="16.5" thickBot="1">
      <c r="B123" s="307">
        <f>B121+1</f>
        <v>29</v>
      </c>
      <c r="C123" s="292"/>
      <c r="D123" s="11" t="s">
        <v>1559</v>
      </c>
      <c r="E123" s="812" t="str">
        <f>"( line "&amp;B120&amp;" less line "&amp;B121&amp;")"</f>
        <v>( line 27 less line 28)</v>
      </c>
      <c r="F123" s="381"/>
      <c r="G123" s="381"/>
      <c r="H123" s="246"/>
      <c r="I123" s="230"/>
      <c r="J123" s="230"/>
      <c r="K123" s="230"/>
      <c r="L123" s="230"/>
      <c r="M123" s="949">
        <f>M120-M121</f>
        <v>40614113.444710903</v>
      </c>
      <c r="N123" s="238"/>
      <c r="O123" s="238"/>
      <c r="P123" s="619"/>
      <c r="Q123" s="246"/>
      <c r="R123" s="425"/>
    </row>
    <row r="124" spans="2:18" ht="15.75">
      <c r="B124" s="292"/>
      <c r="C124" s="292"/>
      <c r="D124" s="11"/>
      <c r="E124" s="812"/>
      <c r="F124" s="230"/>
      <c r="G124" s="230"/>
      <c r="H124" s="246"/>
      <c r="I124" s="230"/>
      <c r="J124" s="230"/>
      <c r="K124" s="230"/>
      <c r="L124" s="230"/>
      <c r="M124" s="246"/>
      <c r="N124" s="238"/>
      <c r="O124" s="238"/>
      <c r="P124" s="619"/>
      <c r="Q124" s="425"/>
      <c r="R124" s="425"/>
    </row>
    <row r="125" spans="2:18" ht="15.75">
      <c r="B125" s="292"/>
      <c r="C125" s="292"/>
      <c r="D125" s="11"/>
      <c r="E125" s="812"/>
      <c r="F125" s="230"/>
      <c r="G125" s="230"/>
      <c r="H125" s="246"/>
      <c r="I125" s="230"/>
      <c r="J125" s="230"/>
      <c r="K125" s="230"/>
      <c r="L125" s="230"/>
      <c r="M125" s="246"/>
      <c r="N125" s="238"/>
      <c r="O125" s="238"/>
      <c r="P125" s="238"/>
    </row>
    <row r="126" spans="2:18" ht="15.75">
      <c r="B126" s="292"/>
      <c r="C126" s="292"/>
      <c r="D126" s="11"/>
      <c r="E126" s="812"/>
      <c r="F126" s="230"/>
      <c r="G126" s="230"/>
      <c r="H126" s="246"/>
      <c r="I126" s="230"/>
      <c r="J126" s="230"/>
      <c r="K126" s="230"/>
      <c r="L126" s="230"/>
      <c r="M126" s="246"/>
      <c r="N126" s="238"/>
      <c r="O126" s="238"/>
      <c r="P126" s="238"/>
    </row>
    <row r="127" spans="2:18" ht="15.75">
      <c r="B127" s="292"/>
      <c r="D127" s="233"/>
      <c r="E127" s="2153" t="str">
        <f>+E1</f>
        <v xml:space="preserve">     Rate Formula Template</v>
      </c>
      <c r="F127" s="2153"/>
      <c r="G127" s="2153"/>
      <c r="H127" s="2153"/>
      <c r="I127" s="2153"/>
      <c r="K127" s="1329"/>
      <c r="M127" s="1952" t="s">
        <v>154</v>
      </c>
      <c r="P127" s="230"/>
    </row>
    <row r="128" spans="2:18" ht="15.75">
      <c r="B128" s="292"/>
      <c r="D128" s="541"/>
      <c r="E128" s="2153" t="str">
        <f>+E2</f>
        <v xml:space="preserve"> Utilizing FERC Form 1 Data</v>
      </c>
      <c r="F128" s="2153"/>
      <c r="G128" s="2153"/>
      <c r="H128" s="2154"/>
      <c r="I128" s="2154"/>
      <c r="K128" s="1623"/>
      <c r="P128" s="230"/>
    </row>
    <row r="129" spans="2:16">
      <c r="B129" s="292"/>
      <c r="D129" s="542"/>
      <c r="E129" s="2153" t="str">
        <f>+E3</f>
        <v>Actual Gross Revenue Requirements</v>
      </c>
      <c r="F129" s="2153"/>
      <c r="G129" s="2153"/>
      <c r="H129" s="2154"/>
      <c r="I129" s="2154"/>
      <c r="N129" s="230"/>
      <c r="O129" s="302"/>
      <c r="P129" s="230"/>
    </row>
    <row r="130" spans="2:16">
      <c r="B130" s="292"/>
      <c r="D130" s="541"/>
      <c r="E130" s="2153" t="str">
        <f>+E4</f>
        <v>For the 12 months ended - December 31, 2012</v>
      </c>
      <c r="F130" s="2153"/>
      <c r="G130" s="2153"/>
      <c r="H130" s="2154"/>
      <c r="I130" s="2154"/>
      <c r="N130" s="230"/>
      <c r="P130" s="230"/>
    </row>
    <row r="131" spans="2:16">
      <c r="B131" s="292"/>
      <c r="D131" s="543"/>
      <c r="H131" s="304"/>
      <c r="N131" s="230"/>
      <c r="O131" s="230"/>
      <c r="P131" s="230"/>
    </row>
    <row r="132" spans="2:16">
      <c r="B132" s="292"/>
      <c r="E132" s="2155" t="str">
        <f>+E$6</f>
        <v>KANSAS CITY POWER &amp; LIGHT COMPANY. (KCP&amp;L)</v>
      </c>
      <c r="F132" s="2155"/>
      <c r="G132" s="2155"/>
      <c r="H132" s="2156"/>
      <c r="I132" s="2156"/>
      <c r="L132" s="230"/>
      <c r="M132" s="302" t="str">
        <f>+M6</f>
        <v>Actual Gross Rev</v>
      </c>
      <c r="N132" s="230"/>
      <c r="O132" s="230"/>
      <c r="P132" s="230"/>
    </row>
    <row r="133" spans="2:16">
      <c r="B133" s="292"/>
      <c r="E133" s="2155" t="str">
        <f>+E$7</f>
        <v>(KCP&amp;L)</v>
      </c>
      <c r="F133" s="2155"/>
      <c r="G133" s="2155"/>
      <c r="H133" s="2156"/>
      <c r="I133" s="2156"/>
      <c r="J133" s="233"/>
      <c r="K133" s="233"/>
      <c r="L133" s="230"/>
      <c r="M133" s="302" t="s">
        <v>1122</v>
      </c>
      <c r="N133" s="233"/>
      <c r="O133" s="233"/>
      <c r="P133" s="233"/>
    </row>
    <row r="134" spans="2:16">
      <c r="B134" s="292"/>
      <c r="E134" s="290"/>
      <c r="F134" s="290"/>
      <c r="G134" s="290"/>
      <c r="H134" s="291"/>
      <c r="I134" s="291"/>
      <c r="J134" s="233"/>
      <c r="K134" s="233"/>
      <c r="L134" s="233"/>
      <c r="M134" s="233"/>
      <c r="N134" s="233"/>
      <c r="O134" s="233"/>
      <c r="P134" s="233"/>
    </row>
    <row r="135" spans="2:16" ht="15.75">
      <c r="B135" s="292"/>
      <c r="E135" s="2157" t="s">
        <v>473</v>
      </c>
      <c r="F135" s="2157"/>
      <c r="G135" s="2157"/>
      <c r="H135" s="2153"/>
      <c r="I135" s="2153"/>
      <c r="J135" s="382"/>
      <c r="K135" s="238"/>
      <c r="L135" s="238"/>
      <c r="M135" s="238"/>
      <c r="N135" s="230"/>
      <c r="O135" s="230"/>
      <c r="P135" s="233"/>
    </row>
    <row r="136" spans="2:16">
      <c r="B136" s="292"/>
      <c r="D136" s="293" t="s">
        <v>916</v>
      </c>
      <c r="E136" s="293" t="s">
        <v>917</v>
      </c>
      <c r="F136" s="293" t="s">
        <v>924</v>
      </c>
      <c r="H136" s="1642" t="s">
        <v>925</v>
      </c>
      <c r="I136" s="1642" t="s">
        <v>926</v>
      </c>
      <c r="J136" s="230"/>
      <c r="K136" s="306" t="s">
        <v>694</v>
      </c>
      <c r="L136" s="230"/>
      <c r="M136" s="306" t="s">
        <v>695</v>
      </c>
      <c r="N136" s="230"/>
      <c r="O136" s="230"/>
      <c r="P136" s="233"/>
    </row>
    <row r="137" spans="2:16" ht="15.75">
      <c r="B137" s="292"/>
      <c r="D137" s="293"/>
      <c r="E137" s="262"/>
      <c r="G137" s="12"/>
      <c r="H137" s="230"/>
      <c r="I137" s="230"/>
      <c r="J137" s="230"/>
      <c r="K137" s="292"/>
      <c r="L137" s="230"/>
      <c r="N137" s="262"/>
      <c r="O137" s="14"/>
      <c r="P137" s="230"/>
    </row>
    <row r="138" spans="2:16" ht="15.75">
      <c r="B138" s="292" t="s">
        <v>50</v>
      </c>
      <c r="D138" s="233"/>
      <c r="E138" s="12" t="s">
        <v>927</v>
      </c>
      <c r="F138" s="12" t="str">
        <f>F71</f>
        <v>KCP&amp;L</v>
      </c>
      <c r="G138" s="17"/>
      <c r="H138" s="12" t="str">
        <f>H71</f>
        <v>KCP&amp;L  Total</v>
      </c>
      <c r="I138" s="18"/>
      <c r="J138" s="14"/>
      <c r="L138" s="18"/>
      <c r="M138" s="14" t="s">
        <v>452</v>
      </c>
      <c r="N138" s="230"/>
      <c r="O138" s="14"/>
      <c r="P138" s="230"/>
    </row>
    <row r="139" spans="2:16" ht="16.5" thickBot="1">
      <c r="B139" s="264" t="s">
        <v>51</v>
      </c>
      <c r="C139" s="294"/>
      <c r="D139" s="379"/>
      <c r="E139" s="159" t="s">
        <v>453</v>
      </c>
      <c r="F139" s="67"/>
      <c r="G139" s="159"/>
      <c r="H139" s="162"/>
      <c r="I139" s="258"/>
      <c r="J139" s="162" t="s">
        <v>454</v>
      </c>
      <c r="K139" s="258"/>
      <c r="L139" s="258"/>
      <c r="M139" s="582" t="str">
        <f>M$12</f>
        <v>(Col 4 times Col 6)</v>
      </c>
      <c r="N139" s="230"/>
      <c r="O139" s="14"/>
      <c r="P139" s="230"/>
    </row>
    <row r="140" spans="2:16">
      <c r="B140" s="292"/>
      <c r="E140" s="233"/>
      <c r="F140" s="233"/>
      <c r="G140" s="233"/>
      <c r="H140" s="304"/>
      <c r="I140" s="233"/>
      <c r="J140" s="233"/>
      <c r="K140" s="233"/>
      <c r="L140" s="233"/>
      <c r="M140" s="233"/>
      <c r="N140" s="233"/>
      <c r="O140" s="233"/>
      <c r="P140" s="230"/>
    </row>
    <row r="141" spans="2:16">
      <c r="B141" s="292"/>
      <c r="E141" s="233"/>
      <c r="F141" s="233"/>
      <c r="G141" s="233"/>
      <c r="H141" s="304"/>
      <c r="I141" s="233"/>
      <c r="J141" s="233"/>
      <c r="K141" s="233"/>
      <c r="L141" s="233"/>
      <c r="M141" s="233"/>
      <c r="N141" s="233"/>
      <c r="O141" s="233"/>
      <c r="P141" s="230"/>
    </row>
    <row r="142" spans="2:16" ht="15.75">
      <c r="B142" s="292"/>
      <c r="D142" s="57" t="s">
        <v>1163</v>
      </c>
      <c r="E142" s="372"/>
      <c r="F142" s="12"/>
      <c r="G142" s="17"/>
      <c r="H142" s="14"/>
      <c r="I142" s="372"/>
      <c r="J142" s="372"/>
      <c r="K142" s="372"/>
      <c r="L142" s="229"/>
      <c r="M142" s="229"/>
      <c r="N142" s="233"/>
      <c r="O142" s="233"/>
      <c r="P142" s="230"/>
    </row>
    <row r="143" spans="2:16">
      <c r="B143" s="292">
        <v>1</v>
      </c>
      <c r="D143" s="376" t="s">
        <v>689</v>
      </c>
      <c r="E143" s="1020" t="str">
        <f>"(Line "&amp;B152&amp;" of Page 3 )"</f>
        <v>(Line 7 of Page 3 )</v>
      </c>
      <c r="F143" s="777">
        <f>F152</f>
        <v>411519710</v>
      </c>
      <c r="G143" s="765"/>
      <c r="H143" s="761">
        <f>F143</f>
        <v>411519710</v>
      </c>
      <c r="I143" s="232"/>
      <c r="J143" s="232"/>
      <c r="K143" s="232"/>
      <c r="L143" s="232"/>
      <c r="M143" s="235">
        <f>H143</f>
        <v>411519710</v>
      </c>
      <c r="N143" s="233"/>
      <c r="O143" s="233"/>
      <c r="P143" s="230"/>
    </row>
    <row r="144" spans="2:16">
      <c r="B144" s="292">
        <v>2</v>
      </c>
      <c r="D144" s="20" t="s">
        <v>1109</v>
      </c>
      <c r="E144" s="229" t="s">
        <v>1686</v>
      </c>
      <c r="F144" s="778">
        <f>'A-4 (Act. Excluded Assets) '!F34</f>
        <v>78885781.461538464</v>
      </c>
      <c r="G144" s="501"/>
      <c r="H144" s="501">
        <f>F144</f>
        <v>78885781.461538464</v>
      </c>
      <c r="I144" s="229"/>
      <c r="J144" s="229"/>
      <c r="K144" s="229"/>
      <c r="L144" s="229"/>
      <c r="M144" s="276">
        <f>H144</f>
        <v>78885781.461538464</v>
      </c>
      <c r="N144" s="233"/>
      <c r="O144" s="233"/>
      <c r="P144" s="230"/>
    </row>
    <row r="145" spans="2:17" ht="15.75" thickBot="1">
      <c r="B145" s="292">
        <v>3</v>
      </c>
      <c r="D145" s="1689" t="s">
        <v>1110</v>
      </c>
      <c r="E145" s="384" t="s">
        <v>1621</v>
      </c>
      <c r="F145" s="779">
        <f>'A-4 (Act. Excluded Assets) '!F13</f>
        <v>2904272</v>
      </c>
      <c r="G145" s="503"/>
      <c r="H145" s="502">
        <f>F145</f>
        <v>2904272</v>
      </c>
      <c r="I145" s="339"/>
      <c r="J145" s="232"/>
      <c r="K145" s="385"/>
      <c r="L145" s="232"/>
      <c r="M145" s="309">
        <f>H145</f>
        <v>2904272</v>
      </c>
      <c r="N145" s="233"/>
      <c r="O145" s="233"/>
      <c r="P145" s="230"/>
    </row>
    <row r="146" spans="2:17">
      <c r="B146" s="292">
        <v>4</v>
      </c>
      <c r="D146" s="376" t="s">
        <v>87</v>
      </c>
      <c r="E146" s="812" t="str">
        <f>"( line "&amp;B143&amp;" less lines "&amp;B144&amp;" &amp; "&amp;B145&amp;")"</f>
        <v>( line 1 less lines 2 &amp; 3)</v>
      </c>
      <c r="F146" s="761">
        <f>F143-F144-F145</f>
        <v>329729656.53846157</v>
      </c>
      <c r="G146" s="761"/>
      <c r="H146" s="761">
        <f>H143-H144-H145</f>
        <v>329729656.53846157</v>
      </c>
      <c r="I146" s="339"/>
      <c r="J146" s="232"/>
      <c r="K146" s="385"/>
      <c r="L146" s="232"/>
      <c r="M146" s="235">
        <f>M143-M144-M145</f>
        <v>329729656.53846157</v>
      </c>
      <c r="N146" s="233"/>
      <c r="O146" s="233"/>
      <c r="P146" s="230"/>
    </row>
    <row r="147" spans="2:17">
      <c r="B147" s="292">
        <v>5</v>
      </c>
      <c r="D147" s="376" t="s">
        <v>130</v>
      </c>
      <c r="E147" s="812" t="str">
        <f>"( line "&amp;B146&amp;"  /  line "&amp;B143&amp;")"</f>
        <v>( line 4  /  line 1)</v>
      </c>
      <c r="F147" s="389"/>
      <c r="G147" s="389"/>
      <c r="H147" s="387"/>
      <c r="I147" s="388"/>
      <c r="J147" s="232" t="s">
        <v>486</v>
      </c>
      <c r="K147" s="389">
        <f>IF(M143&gt;0,M146/M143,0)</f>
        <v>0.80124875802051276</v>
      </c>
      <c r="N147" s="233"/>
      <c r="O147" s="233"/>
      <c r="P147" s="230"/>
    </row>
    <row r="148" spans="2:17">
      <c r="B148" s="292"/>
      <c r="C148" s="229"/>
      <c r="D148" s="376"/>
      <c r="E148" s="372"/>
      <c r="F148" s="372"/>
      <c r="G148" s="372"/>
      <c r="H148" s="372"/>
      <c r="I148" s="372"/>
      <c r="J148" s="372"/>
      <c r="K148" s="372"/>
      <c r="L148" s="372"/>
      <c r="M148" s="314"/>
      <c r="P148" s="230"/>
    </row>
    <row r="149" spans="2:17" ht="15.75">
      <c r="B149" s="292"/>
      <c r="C149" s="229"/>
      <c r="D149" s="49" t="s">
        <v>1022</v>
      </c>
      <c r="E149" s="15"/>
      <c r="F149" s="233"/>
      <c r="G149" s="233"/>
      <c r="H149" s="304"/>
      <c r="I149" s="233"/>
      <c r="J149" s="233"/>
      <c r="K149" s="233"/>
      <c r="L149" s="233"/>
      <c r="M149" s="233"/>
      <c r="N149" s="233"/>
      <c r="O149" s="233"/>
      <c r="P149" s="230"/>
    </row>
    <row r="150" spans="2:17" ht="15.75">
      <c r="B150" s="292"/>
      <c r="C150" s="229"/>
      <c r="D150" s="233" t="s">
        <v>1019</v>
      </c>
      <c r="E150" s="27"/>
      <c r="F150" s="27"/>
      <c r="G150" s="27"/>
      <c r="H150" s="230"/>
      <c r="I150" s="230"/>
      <c r="J150" s="230"/>
      <c r="K150" s="230"/>
      <c r="L150" s="230"/>
      <c r="M150" s="230"/>
      <c r="N150" s="233"/>
      <c r="O150" s="233"/>
      <c r="P150" s="230"/>
    </row>
    <row r="151" spans="2:17">
      <c r="B151" s="307">
        <f>B147+1</f>
        <v>6</v>
      </c>
      <c r="C151" s="229"/>
      <c r="D151" s="245" t="s">
        <v>456</v>
      </c>
      <c r="E151" s="1020" t="str">
        <f>"( page 1, line "&amp;B15&amp;" )"</f>
        <v>( page 1, line 1 )</v>
      </c>
      <c r="F151" s="760">
        <f>F15</f>
        <v>5107508887</v>
      </c>
      <c r="G151" s="760"/>
      <c r="H151" s="761">
        <f>F151</f>
        <v>5107508887</v>
      </c>
      <c r="I151" s="232"/>
      <c r="J151" s="232" t="s">
        <v>457</v>
      </c>
      <c r="K151" s="244" t="s">
        <v>49</v>
      </c>
      <c r="L151" s="232"/>
      <c r="M151" s="232" t="s">
        <v>49</v>
      </c>
      <c r="N151" s="233"/>
      <c r="O151" s="233"/>
      <c r="P151" s="230"/>
    </row>
    <row r="152" spans="2:17">
      <c r="B152" s="307">
        <f>B151+1</f>
        <v>7</v>
      </c>
      <c r="C152" s="229"/>
      <c r="D152" s="233" t="s">
        <v>458</v>
      </c>
      <c r="E152" s="1020" t="str">
        <f>"( page 1, line "&amp;B16&amp;" )"</f>
        <v>( page 1, line 2 )</v>
      </c>
      <c r="F152" s="426">
        <f>F16</f>
        <v>411519710</v>
      </c>
      <c r="G152" s="426"/>
      <c r="H152" s="276">
        <f>F152</f>
        <v>411519710</v>
      </c>
      <c r="I152" s="230"/>
      <c r="J152" s="339" t="s">
        <v>1385</v>
      </c>
      <c r="K152" s="477">
        <v>1</v>
      </c>
      <c r="L152" s="230"/>
      <c r="M152" s="623">
        <f>H152*K152</f>
        <v>411519710</v>
      </c>
      <c r="N152" s="233"/>
      <c r="O152" s="233"/>
      <c r="P152" s="230"/>
    </row>
    <row r="153" spans="2:17">
      <c r="B153" s="307">
        <f>B152+1</f>
        <v>8</v>
      </c>
      <c r="C153" s="229"/>
      <c r="D153" s="245" t="s">
        <v>1418</v>
      </c>
      <c r="E153" s="1020" t="str">
        <f>"( page 1, line "&amp;B17&amp;" )"</f>
        <v>( page 1, line 3 )</v>
      </c>
      <c r="F153" s="426"/>
      <c r="G153" s="426"/>
      <c r="H153" s="276"/>
      <c r="I153" s="230"/>
      <c r="J153" s="339"/>
      <c r="K153" s="477"/>
      <c r="L153" s="230"/>
      <c r="M153" s="240">
        <f>M17</f>
        <v>81790053.461538464</v>
      </c>
      <c r="N153" s="233"/>
      <c r="O153" s="233"/>
      <c r="P153" s="230"/>
    </row>
    <row r="154" spans="2:17">
      <c r="B154" s="307">
        <f>B153+1</f>
        <v>9</v>
      </c>
      <c r="C154" s="229"/>
      <c r="D154" s="245" t="s">
        <v>1423</v>
      </c>
      <c r="E154" s="1020" t="str">
        <f>"( page 1, line "&amp;B18&amp;" )"</f>
        <v>( page 1, line 4 )</v>
      </c>
      <c r="F154" s="276">
        <f>F18</f>
        <v>1864288462</v>
      </c>
      <c r="G154" s="427"/>
      <c r="H154" s="276">
        <f>F154</f>
        <v>1864288462</v>
      </c>
      <c r="I154" s="232"/>
      <c r="J154" s="232"/>
      <c r="K154" s="244"/>
      <c r="L154" s="232"/>
      <c r="M154" s="232" t="s">
        <v>49</v>
      </c>
      <c r="N154" s="233"/>
      <c r="O154" s="233"/>
      <c r="P154" s="230"/>
    </row>
    <row r="155" spans="2:17" ht="15.75" thickBot="1">
      <c r="B155" s="307">
        <f>B154+1</f>
        <v>10</v>
      </c>
      <c r="C155" s="229"/>
      <c r="D155" s="295" t="s">
        <v>1424</v>
      </c>
      <c r="E155" s="1020" t="str">
        <f>"( page 1, line "&amp;B19&amp;" &amp; "&amp;B20&amp;" )"</f>
        <v>( page 1, line 5 &amp; 6 )</v>
      </c>
      <c r="F155" s="1690">
        <f>F19+F20</f>
        <v>506690080</v>
      </c>
      <c r="G155" s="1690"/>
      <c r="H155" s="243">
        <f>F155</f>
        <v>506690080</v>
      </c>
      <c r="I155" s="232"/>
      <c r="J155" s="232" t="s">
        <v>1425</v>
      </c>
      <c r="K155" s="244">
        <f>WS</f>
        <v>1.898472513614197E-2</v>
      </c>
      <c r="L155" s="232"/>
      <c r="M155" s="243">
        <f>ROUND((+K155*H155),0)</f>
        <v>9619372</v>
      </c>
      <c r="N155" s="233"/>
      <c r="O155" s="233"/>
      <c r="P155" s="230"/>
    </row>
    <row r="156" spans="2:17">
      <c r="B156" s="307">
        <f>B155+1</f>
        <v>11</v>
      </c>
      <c r="C156" s="229"/>
      <c r="D156" s="297" t="s">
        <v>537</v>
      </c>
      <c r="E156" s="1020" t="str">
        <f>"(sum Line "&amp;B151&amp;", "&amp;B152&amp;", "&amp;B154&amp;" &amp; "&amp;B155&amp;" less Line "&amp;B153&amp;")"</f>
        <v>(sum Line 6, 7, 9 &amp; 10 less Line 8)</v>
      </c>
      <c r="F156" s="761">
        <f>F151+F152-F153+F154+F155</f>
        <v>7890007139</v>
      </c>
      <c r="G156" s="761"/>
      <c r="H156" s="761">
        <f>H151+H152-H153+H154+H155</f>
        <v>7890007139</v>
      </c>
      <c r="I156" s="232"/>
      <c r="J156" s="232" t="s">
        <v>470</v>
      </c>
      <c r="K156" s="314">
        <f>IF(M156&gt;0,M156/(H156),0)</f>
        <v>4.3009977375187969E-2</v>
      </c>
      <c r="L156" s="232"/>
      <c r="M156" s="235">
        <f>M152-M153+M155</f>
        <v>339349028.53846157</v>
      </c>
      <c r="N156" s="233"/>
      <c r="O156" s="233"/>
      <c r="P156" s="230"/>
    </row>
    <row r="157" spans="2:17">
      <c r="B157" s="229"/>
      <c r="C157" s="229"/>
      <c r="D157" s="233"/>
      <c r="E157" s="230"/>
      <c r="F157" s="232"/>
      <c r="G157" s="232"/>
      <c r="H157" s="232"/>
      <c r="I157" s="230"/>
      <c r="J157" s="232"/>
      <c r="K157" s="298"/>
      <c r="L157" s="230"/>
      <c r="M157" s="276"/>
      <c r="N157" s="233"/>
      <c r="P157" s="230"/>
      <c r="Q157" s="1341"/>
    </row>
    <row r="158" spans="2:17">
      <c r="B158" s="229"/>
      <c r="C158" s="229"/>
      <c r="D158" s="233" t="s">
        <v>1596</v>
      </c>
      <c r="E158" s="230"/>
      <c r="F158" s="232"/>
      <c r="G158" s="232"/>
      <c r="H158" s="230"/>
      <c r="I158" s="230"/>
      <c r="J158" s="230"/>
      <c r="K158" s="230"/>
      <c r="L158" s="230"/>
      <c r="M158" s="230"/>
      <c r="N158" s="233"/>
      <c r="O158" s="233"/>
      <c r="P158" s="230"/>
    </row>
    <row r="159" spans="2:17">
      <c r="B159" s="307">
        <f>B156+1</f>
        <v>12</v>
      </c>
      <c r="C159" s="229"/>
      <c r="D159" s="245" t="str">
        <f>+D151</f>
        <v xml:space="preserve">  Production</v>
      </c>
      <c r="E159" s="1020" t="str">
        <f>"( page 1, line "&amp;B24&amp;" )"</f>
        <v>( page 1, line 8 )</v>
      </c>
      <c r="F159" s="760">
        <f>F24</f>
        <v>2218763800</v>
      </c>
      <c r="G159" s="760"/>
      <c r="H159" s="761">
        <f>F159</f>
        <v>2218763800</v>
      </c>
      <c r="I159" s="232"/>
      <c r="J159" s="232" t="str">
        <f>+J151</f>
        <v>NA</v>
      </c>
      <c r="K159" s="244" t="str">
        <f>+K151</f>
        <v xml:space="preserve"> </v>
      </c>
      <c r="L159" s="232"/>
      <c r="M159" s="232" t="s">
        <v>49</v>
      </c>
      <c r="N159" s="233"/>
      <c r="O159" s="233"/>
      <c r="P159" s="230"/>
    </row>
    <row r="160" spans="2:17">
      <c r="B160" s="307">
        <f>B159+1</f>
        <v>13</v>
      </c>
      <c r="C160" s="229"/>
      <c r="D160" s="245" t="str">
        <f>+D152</f>
        <v xml:space="preserve">  Transmission</v>
      </c>
      <c r="E160" s="1020" t="str">
        <f>"( page 1, line "&amp;B25&amp;" )"</f>
        <v>( page 1, line 9 )</v>
      </c>
      <c r="F160" s="426">
        <f>F25</f>
        <v>181225191</v>
      </c>
      <c r="G160" s="426"/>
      <c r="H160" s="276">
        <f>F160</f>
        <v>181225191</v>
      </c>
      <c r="I160" s="232"/>
      <c r="J160" s="339" t="s">
        <v>1385</v>
      </c>
      <c r="K160" s="477">
        <v>1</v>
      </c>
      <c r="L160" s="232"/>
      <c r="M160" s="579">
        <f>H160*K160</f>
        <v>181225191</v>
      </c>
      <c r="N160" s="233"/>
      <c r="O160" s="233"/>
      <c r="P160" s="230"/>
    </row>
    <row r="161" spans="2:16">
      <c r="B161" s="307">
        <f>B160+1</f>
        <v>14</v>
      </c>
      <c r="C161" s="229"/>
      <c r="D161" s="245" t="s">
        <v>1418</v>
      </c>
      <c r="E161" s="1020" t="str">
        <f>"( page 1, line "&amp;B26&amp;" )"</f>
        <v>( page 1, line 10 )</v>
      </c>
      <c r="F161" s="426"/>
      <c r="G161" s="426"/>
      <c r="H161" s="276">
        <f>F161</f>
        <v>0</v>
      </c>
      <c r="I161" s="232"/>
      <c r="J161" s="339"/>
      <c r="K161" s="477"/>
      <c r="L161" s="232"/>
      <c r="M161" s="276">
        <f>M26</f>
        <v>29476966</v>
      </c>
      <c r="N161" s="233"/>
      <c r="O161" s="233"/>
      <c r="P161" s="230"/>
    </row>
    <row r="162" spans="2:16">
      <c r="B162" s="307">
        <f>B161+1</f>
        <v>15</v>
      </c>
      <c r="C162" s="229"/>
      <c r="D162" s="245" t="str">
        <f>+D154</f>
        <v xml:space="preserve">  Distribution</v>
      </c>
      <c r="E162" s="1020" t="str">
        <f>"( page 1, line "&amp;B27&amp;" )"</f>
        <v>( page 1, line 11 )</v>
      </c>
      <c r="F162" s="426">
        <f>F27</f>
        <v>694974946</v>
      </c>
      <c r="G162" s="426"/>
      <c r="H162" s="276">
        <f>F162</f>
        <v>694974946</v>
      </c>
      <c r="I162" s="232"/>
      <c r="J162" s="232"/>
      <c r="K162" s="244"/>
      <c r="L162" s="232"/>
      <c r="M162" s="232" t="s">
        <v>49</v>
      </c>
      <c r="N162" s="233"/>
      <c r="O162" s="233"/>
      <c r="P162" s="230"/>
    </row>
    <row r="163" spans="2:16" ht="15.75" thickBot="1">
      <c r="B163" s="307">
        <f>B162+1</f>
        <v>16</v>
      </c>
      <c r="C163" s="229"/>
      <c r="D163" s="245" t="str">
        <f>+D155</f>
        <v xml:space="preserve">  General &amp; Intangible</v>
      </c>
      <c r="E163" s="1020" t="str">
        <f>"( page 1, line "&amp;B28&amp;" &amp; "&amp;B29&amp;" )"</f>
        <v>( page 1, line 12 &amp; 13 )</v>
      </c>
      <c r="F163" s="1690">
        <f>F28+F29</f>
        <v>223411369</v>
      </c>
      <c r="G163" s="1691"/>
      <c r="H163" s="243">
        <f>F163</f>
        <v>223411369</v>
      </c>
      <c r="I163" s="232"/>
      <c r="J163" s="232" t="str">
        <f>+J155</f>
        <v>W/S</v>
      </c>
      <c r="K163" s="244">
        <f>WS</f>
        <v>1.898472513614197E-2</v>
      </c>
      <c r="L163" s="232"/>
      <c r="M163" s="243">
        <f>ROUND((+K163*H163),0)</f>
        <v>4241403</v>
      </c>
      <c r="N163" s="233"/>
      <c r="O163" s="233"/>
      <c r="P163" s="230"/>
    </row>
    <row r="164" spans="2:16">
      <c r="B164" s="307">
        <f>B163+1</f>
        <v>17</v>
      </c>
      <c r="C164" s="229"/>
      <c r="D164" s="245" t="s">
        <v>536</v>
      </c>
      <c r="E164" s="1692" t="str">
        <f>"(sum Line "&amp;B159&amp;", "&amp;B160&amp;", "&amp;B162&amp;" &amp; "&amp;B163&amp;" less Line "&amp;B161&amp;")"</f>
        <v>(sum Line 12, 13, 15 &amp; 16 less Line 14)</v>
      </c>
      <c r="F164" s="761">
        <f>F159+F160-F161+F162+F163</f>
        <v>3318375306</v>
      </c>
      <c r="G164" s="761"/>
      <c r="H164" s="761">
        <f>H159+H160-H161+H162+H163</f>
        <v>3318375306</v>
      </c>
      <c r="I164" s="232"/>
      <c r="J164" s="232"/>
      <c r="K164" s="232"/>
      <c r="L164" s="232"/>
      <c r="M164" s="235">
        <f>M160-M161+M163</f>
        <v>155989628</v>
      </c>
      <c r="N164" s="233"/>
      <c r="O164" s="233"/>
      <c r="P164" s="230"/>
    </row>
    <row r="165" spans="2:16">
      <c r="B165" s="307"/>
      <c r="C165" s="229"/>
      <c r="E165" s="230" t="s">
        <v>49</v>
      </c>
      <c r="G165" s="229"/>
      <c r="I165" s="230"/>
      <c r="J165" s="232"/>
      <c r="K165" s="314"/>
      <c r="L165" s="230"/>
      <c r="N165" s="230"/>
      <c r="O165" s="230"/>
      <c r="P165" s="230"/>
    </row>
    <row r="166" spans="2:16">
      <c r="B166" s="307"/>
      <c r="C166" s="229"/>
      <c r="D166" s="233" t="s">
        <v>1020</v>
      </c>
      <c r="E166" s="230"/>
      <c r="F166" s="230"/>
      <c r="G166" s="232"/>
      <c r="H166" s="230"/>
      <c r="I166" s="230"/>
      <c r="J166" s="230"/>
      <c r="K166" s="230"/>
      <c r="L166" s="230"/>
      <c r="M166" s="230"/>
      <c r="N166" s="230"/>
      <c r="O166" s="230"/>
      <c r="P166" s="230"/>
    </row>
    <row r="167" spans="2:16">
      <c r="B167" s="307">
        <f>B164+1</f>
        <v>18</v>
      </c>
      <c r="C167" s="229"/>
      <c r="D167" s="245" t="str">
        <f>+D159</f>
        <v xml:space="preserve">  Production</v>
      </c>
      <c r="E167" s="812" t="str">
        <f>"( line "&amp;B151&amp;" less "&amp;B159&amp;")"</f>
        <v>( line 6 less 12)</v>
      </c>
      <c r="F167" s="235">
        <f>F151-F159</f>
        <v>2888745087</v>
      </c>
      <c r="G167" s="761"/>
      <c r="H167" s="235">
        <f>F167</f>
        <v>2888745087</v>
      </c>
      <c r="I167" s="232"/>
      <c r="J167" s="232"/>
      <c r="K167" s="299"/>
      <c r="L167" s="232"/>
      <c r="M167" s="232" t="s">
        <v>49</v>
      </c>
      <c r="N167" s="230"/>
      <c r="O167" s="230"/>
      <c r="P167" s="230"/>
    </row>
    <row r="168" spans="2:16">
      <c r="B168" s="307">
        <f>B167+1</f>
        <v>19</v>
      </c>
      <c r="C168" s="229"/>
      <c r="D168" s="245" t="str">
        <f>+D160</f>
        <v xml:space="preserve">  Transmission</v>
      </c>
      <c r="E168" s="812" t="str">
        <f>"( line "&amp;B152&amp;" less "&amp;B160&amp;")"</f>
        <v>( line 7 less 13)</v>
      </c>
      <c r="F168" s="276">
        <f>F152-F160</f>
        <v>230294519</v>
      </c>
      <c r="G168" s="276"/>
      <c r="H168" s="276">
        <f>F168</f>
        <v>230294519</v>
      </c>
      <c r="I168" s="232"/>
      <c r="J168" s="232"/>
      <c r="K168" s="244"/>
      <c r="L168" s="232"/>
      <c r="M168" s="579">
        <f>M152-M160</f>
        <v>230294519</v>
      </c>
      <c r="N168" s="230"/>
      <c r="O168" s="230"/>
      <c r="P168" s="230"/>
    </row>
    <row r="169" spans="2:16">
      <c r="B169" s="307">
        <f>B168+1</f>
        <v>20</v>
      </c>
      <c r="C169" s="229"/>
      <c r="D169" s="245" t="s">
        <v>1417</v>
      </c>
      <c r="E169" s="1020" t="str">
        <f>"( line "&amp;B153&amp;" less "&amp;B161&amp;")"</f>
        <v>( line 8 less 14)</v>
      </c>
      <c r="F169" s="276">
        <f>F153-F161</f>
        <v>0</v>
      </c>
      <c r="G169" s="276"/>
      <c r="H169" s="276">
        <f>F169</f>
        <v>0</v>
      </c>
      <c r="I169" s="232"/>
      <c r="J169" s="232"/>
      <c r="K169" s="244"/>
      <c r="L169" s="232"/>
      <c r="M169" s="276">
        <f>M153-M161</f>
        <v>52313087.461538464</v>
      </c>
      <c r="N169" s="230"/>
      <c r="O169" s="230"/>
      <c r="P169" s="230"/>
    </row>
    <row r="170" spans="2:16">
      <c r="B170" s="307">
        <f>B169+1</f>
        <v>21</v>
      </c>
      <c r="C170" s="229"/>
      <c r="D170" s="245" t="str">
        <f>+D162</f>
        <v xml:space="preserve">  Distribution</v>
      </c>
      <c r="E170" s="812" t="str">
        <f>"( line "&amp;B154&amp;" less "&amp;B162&amp;")"</f>
        <v>( line 9 less 15)</v>
      </c>
      <c r="F170" s="276">
        <f>F154-F162</f>
        <v>1169313516</v>
      </c>
      <c r="G170" s="276"/>
      <c r="H170" s="276">
        <f>F170</f>
        <v>1169313516</v>
      </c>
      <c r="I170" s="232"/>
      <c r="J170" s="232"/>
      <c r="K170" s="299"/>
      <c r="L170" s="232"/>
      <c r="M170" s="232" t="s">
        <v>49</v>
      </c>
      <c r="N170" s="230"/>
      <c r="O170" s="230"/>
      <c r="P170" s="230"/>
    </row>
    <row r="171" spans="2:16" ht="15.75" thickBot="1">
      <c r="B171" s="307">
        <f>B170+1</f>
        <v>22</v>
      </c>
      <c r="C171" s="229"/>
      <c r="D171" s="245" t="str">
        <f>+D163</f>
        <v xml:space="preserve">  General &amp; Intangible</v>
      </c>
      <c r="E171" s="812" t="str">
        <f>"( line "&amp;B155&amp;" less "&amp;B163&amp;")"</f>
        <v>( line 10 less 16)</v>
      </c>
      <c r="F171" s="243">
        <f>F155-F163</f>
        <v>283278711</v>
      </c>
      <c r="G171" s="243"/>
      <c r="H171" s="243">
        <f>F171</f>
        <v>283278711</v>
      </c>
      <c r="I171" s="232"/>
      <c r="J171" s="232"/>
      <c r="K171" s="299"/>
      <c r="L171" s="232"/>
      <c r="M171" s="232">
        <f>M155-M163</f>
        <v>5377969</v>
      </c>
      <c r="N171" s="230"/>
      <c r="O171" s="230"/>
      <c r="P171" s="230"/>
    </row>
    <row r="172" spans="2:16" ht="15.75" thickBot="1">
      <c r="B172" s="307">
        <f>B171+1</f>
        <v>23</v>
      </c>
      <c r="C172" s="229"/>
      <c r="D172" s="245" t="s">
        <v>655</v>
      </c>
      <c r="E172" s="1692" t="str">
        <f>"(sum Line "&amp;B167&amp;", "&amp;B168&amp;", "&amp;B170&amp;" &amp; "&amp;B171&amp;" less Line "&amp;B169&amp;")"</f>
        <v>(sum Line 18, 19, 21 &amp; 22 less Line 20)</v>
      </c>
      <c r="F172" s="1680">
        <f>F167+F168-F169+F170+F171</f>
        <v>4571631833</v>
      </c>
      <c r="G172" s="1342"/>
      <c r="H172" s="1680">
        <f>H167+H168-H169+H170+H171</f>
        <v>4571631833</v>
      </c>
      <c r="I172" s="232"/>
      <c r="J172" s="232" t="s">
        <v>471</v>
      </c>
      <c r="K172" s="314">
        <f>IF(M172&gt;0,M172/(H172),0)</f>
        <v>4.0108085523181181E-2</v>
      </c>
      <c r="L172" s="232"/>
      <c r="M172" s="1680">
        <f>M168-M169+M171</f>
        <v>183359400.53846154</v>
      </c>
      <c r="N172" s="230"/>
      <c r="O172" s="230"/>
      <c r="P172" s="230"/>
    </row>
    <row r="173" spans="2:16">
      <c r="B173" s="317"/>
      <c r="C173" s="229"/>
      <c r="D173" s="229"/>
      <c r="E173" s="229"/>
      <c r="F173" s="229"/>
      <c r="G173" s="229"/>
      <c r="H173" s="229"/>
      <c r="I173" s="337"/>
      <c r="J173" s="229"/>
      <c r="K173" s="265"/>
      <c r="L173" s="229"/>
      <c r="M173" s="229"/>
      <c r="N173" s="230"/>
      <c r="O173" s="230"/>
      <c r="P173" s="230"/>
    </row>
    <row r="174" spans="2:16" ht="15.75">
      <c r="B174" s="317"/>
      <c r="D174" s="233"/>
      <c r="E174" s="2153" t="str">
        <f>+E1</f>
        <v xml:space="preserve">     Rate Formula Template</v>
      </c>
      <c r="F174" s="2153"/>
      <c r="G174" s="2153"/>
      <c r="H174" s="2153"/>
      <c r="I174" s="2153"/>
      <c r="K174" s="1098"/>
      <c r="M174" s="302"/>
      <c r="P174" s="230"/>
    </row>
    <row r="175" spans="2:16" ht="15.75">
      <c r="B175" s="292"/>
      <c r="D175" s="233"/>
      <c r="E175" s="2153" t="str">
        <f>+E2</f>
        <v xml:space="preserve"> Utilizing FERC Form 1 Data</v>
      </c>
      <c r="F175" s="2153"/>
      <c r="G175" s="2153"/>
      <c r="H175" s="2154"/>
      <c r="I175" s="2154"/>
      <c r="K175" s="1099"/>
      <c r="P175" s="230"/>
    </row>
    <row r="176" spans="2:16" ht="15.75">
      <c r="B176" s="292"/>
      <c r="D176" s="233"/>
      <c r="E176" s="2153" t="str">
        <f>+E3</f>
        <v>Actual Gross Revenue Requirements</v>
      </c>
      <c r="F176" s="2153"/>
      <c r="G176" s="2153"/>
      <c r="H176" s="2154"/>
      <c r="I176" s="2154"/>
      <c r="M176" s="1952" t="s">
        <v>155</v>
      </c>
      <c r="N176" s="230"/>
      <c r="O176" s="302"/>
      <c r="P176" s="230"/>
    </row>
    <row r="177" spans="2:16">
      <c r="B177" s="292"/>
      <c r="E177" s="2153" t="str">
        <f>+E4</f>
        <v>For the 12 months ended - December 31, 2012</v>
      </c>
      <c r="F177" s="2153"/>
      <c r="G177" s="2153"/>
      <c r="H177" s="2154"/>
      <c r="I177" s="2154"/>
      <c r="N177" s="230"/>
      <c r="P177" s="230"/>
    </row>
    <row r="178" spans="2:16">
      <c r="B178" s="292"/>
      <c r="H178" s="304"/>
      <c r="N178" s="230"/>
      <c r="O178" s="230"/>
      <c r="P178" s="230"/>
    </row>
    <row r="179" spans="2:16">
      <c r="B179" s="292"/>
      <c r="E179" s="2155" t="str">
        <f>+E$6</f>
        <v>KANSAS CITY POWER &amp; LIGHT COMPANY. (KCP&amp;L)</v>
      </c>
      <c r="F179" s="2155"/>
      <c r="G179" s="2155"/>
      <c r="H179" s="2156"/>
      <c r="I179" s="2156"/>
      <c r="L179" s="230"/>
      <c r="M179" s="302" t="str">
        <f>M6</f>
        <v>Actual Gross Rev</v>
      </c>
      <c r="O179" s="230"/>
      <c r="P179" s="230"/>
    </row>
    <row r="180" spans="2:16">
      <c r="B180" s="292"/>
      <c r="E180" s="2155" t="str">
        <f>+E$7</f>
        <v>(KCP&amp;L)</v>
      </c>
      <c r="F180" s="2155"/>
      <c r="G180" s="2155"/>
      <c r="H180" s="2156"/>
      <c r="I180" s="2156"/>
      <c r="J180" s="233"/>
      <c r="K180" s="233"/>
      <c r="L180" s="230"/>
      <c r="M180" s="302" t="s">
        <v>1123</v>
      </c>
      <c r="O180" s="233"/>
      <c r="P180" s="230"/>
    </row>
    <row r="181" spans="2:16">
      <c r="B181" s="292"/>
      <c r="E181" s="290"/>
      <c r="F181" s="290"/>
      <c r="G181" s="290"/>
      <c r="H181" s="291"/>
      <c r="I181" s="291"/>
      <c r="J181" s="233"/>
      <c r="K181" s="233"/>
      <c r="L181" s="233"/>
      <c r="M181" s="233"/>
      <c r="N181" s="233"/>
      <c r="O181" s="233"/>
      <c r="P181" s="230"/>
    </row>
    <row r="182" spans="2:16" ht="15.75">
      <c r="B182" s="292"/>
      <c r="E182" s="2157" t="s">
        <v>473</v>
      </c>
      <c r="F182" s="2157"/>
      <c r="G182" s="2157"/>
      <c r="H182" s="2153"/>
      <c r="I182" s="2153"/>
      <c r="J182" s="382"/>
      <c r="K182" s="238"/>
      <c r="L182" s="238"/>
      <c r="M182" s="238"/>
      <c r="N182" s="230"/>
      <c r="O182" s="230"/>
      <c r="P182" s="230"/>
    </row>
    <row r="183" spans="2:16">
      <c r="B183" s="292"/>
      <c r="D183" s="293" t="s">
        <v>916</v>
      </c>
      <c r="E183" s="293" t="s">
        <v>917</v>
      </c>
      <c r="F183" s="293" t="s">
        <v>924</v>
      </c>
      <c r="H183" s="1642" t="s">
        <v>925</v>
      </c>
      <c r="I183" s="1642" t="s">
        <v>926</v>
      </c>
      <c r="J183" s="230"/>
      <c r="K183" s="306" t="s">
        <v>694</v>
      </c>
      <c r="L183" s="230"/>
      <c r="M183" s="306" t="s">
        <v>695</v>
      </c>
      <c r="N183" s="230"/>
      <c r="O183" s="230"/>
      <c r="P183" s="230"/>
    </row>
    <row r="184" spans="2:16" ht="15.75">
      <c r="B184" s="292"/>
      <c r="D184" s="293"/>
      <c r="E184" s="262"/>
      <c r="G184" s="12"/>
      <c r="H184" s="230"/>
      <c r="I184" s="230"/>
      <c r="J184" s="230"/>
      <c r="K184" s="292"/>
      <c r="L184" s="230"/>
      <c r="N184" s="262"/>
      <c r="O184" s="14"/>
      <c r="P184" s="230"/>
    </row>
    <row r="185" spans="2:16" ht="15.75">
      <c r="B185" s="292" t="s">
        <v>50</v>
      </c>
      <c r="D185" s="233"/>
      <c r="E185" s="12" t="s">
        <v>927</v>
      </c>
      <c r="F185" s="12" t="str">
        <f>F138</f>
        <v>KCP&amp;L</v>
      </c>
      <c r="G185" s="17"/>
      <c r="H185" s="12" t="str">
        <f>H138</f>
        <v>KCP&amp;L  Total</v>
      </c>
      <c r="I185" s="18"/>
      <c r="J185" s="14"/>
      <c r="L185" s="18"/>
      <c r="M185" s="14" t="s">
        <v>452</v>
      </c>
      <c r="N185" s="230"/>
      <c r="O185" s="14"/>
      <c r="P185" s="230"/>
    </row>
    <row r="186" spans="2:16" ht="16.5" thickBot="1">
      <c r="B186" s="264" t="s">
        <v>51</v>
      </c>
      <c r="C186" s="294"/>
      <c r="D186" s="379"/>
      <c r="E186" s="159" t="s">
        <v>453</v>
      </c>
      <c r="F186" s="67"/>
      <c r="G186" s="159"/>
      <c r="H186" s="162"/>
      <c r="I186" s="258"/>
      <c r="J186" s="162" t="s">
        <v>454</v>
      </c>
      <c r="K186" s="258"/>
      <c r="L186" s="258"/>
      <c r="M186" s="582" t="str">
        <f>M$12</f>
        <v>(Col 4 times Col 6)</v>
      </c>
      <c r="N186" s="258"/>
      <c r="O186" s="162"/>
      <c r="P186" s="230"/>
    </row>
    <row r="187" spans="2:16">
      <c r="B187" s="292"/>
      <c r="P187" s="230"/>
    </row>
    <row r="188" spans="2:16" ht="16.5" thickBot="1">
      <c r="B188" s="292" t="s">
        <v>49</v>
      </c>
      <c r="D188" s="11" t="s">
        <v>487</v>
      </c>
      <c r="E188" s="381"/>
      <c r="F188" s="254" t="s">
        <v>488</v>
      </c>
      <c r="G188" s="254"/>
      <c r="H188" s="254" t="s">
        <v>488</v>
      </c>
      <c r="I188" s="254" t="s">
        <v>55</v>
      </c>
      <c r="J188" s="230"/>
      <c r="K188" s="254" t="s">
        <v>489</v>
      </c>
      <c r="L188" s="230"/>
      <c r="M188" s="230"/>
      <c r="N188" s="230"/>
      <c r="O188" s="230"/>
      <c r="P188" s="230"/>
    </row>
    <row r="189" spans="2:16">
      <c r="B189" s="292">
        <v>1</v>
      </c>
      <c r="D189" s="233" t="s">
        <v>456</v>
      </c>
      <c r="E189" s="790" t="s">
        <v>975</v>
      </c>
      <c r="F189" s="2055">
        <v>104941079</v>
      </c>
      <c r="G189" s="760"/>
      <c r="H189" s="761">
        <f>F189</f>
        <v>104941079</v>
      </c>
      <c r="I189" s="313"/>
      <c r="J189" s="291"/>
      <c r="K189" s="240">
        <f>H189*I189</f>
        <v>0</v>
      </c>
      <c r="L189" s="230"/>
      <c r="M189" s="230"/>
      <c r="N189" s="230"/>
      <c r="O189" s="230"/>
      <c r="P189" s="230"/>
    </row>
    <row r="190" spans="2:16">
      <c r="B190" s="292">
        <v>2</v>
      </c>
      <c r="D190" s="233" t="s">
        <v>458</v>
      </c>
      <c r="E190" s="790" t="s">
        <v>620</v>
      </c>
      <c r="F190" s="2056">
        <v>3302373</v>
      </c>
      <c r="G190" s="276"/>
      <c r="H190" s="380">
        <f>F190</f>
        <v>3302373</v>
      </c>
      <c r="I190" s="313">
        <f>K147</f>
        <v>0.80124875802051276</v>
      </c>
      <c r="J190" s="291"/>
      <c r="K190" s="240">
        <f>H190*I190</f>
        <v>2646022.2647704748</v>
      </c>
      <c r="L190" s="230"/>
      <c r="M190" s="230"/>
      <c r="N190" s="230"/>
      <c r="O190" s="230"/>
      <c r="P190" s="230"/>
    </row>
    <row r="191" spans="2:16">
      <c r="B191" s="292">
        <v>3</v>
      </c>
      <c r="D191" s="233" t="s">
        <v>1423</v>
      </c>
      <c r="E191" s="790" t="s">
        <v>621</v>
      </c>
      <c r="F191" s="2056">
        <v>20345799</v>
      </c>
      <c r="G191" s="276"/>
      <c r="H191" s="380">
        <f>F191</f>
        <v>20345799</v>
      </c>
      <c r="I191" s="313"/>
      <c r="J191" s="291"/>
      <c r="K191" s="240">
        <f>H191*I191</f>
        <v>0</v>
      </c>
      <c r="L191" s="230"/>
      <c r="M191" s="255" t="s">
        <v>976</v>
      </c>
      <c r="N191" s="230"/>
      <c r="O191" s="230"/>
      <c r="P191" s="230" t="s">
        <v>49</v>
      </c>
    </row>
    <row r="192" spans="2:16" ht="15.75" thickBot="1">
      <c r="B192" s="292">
        <v>4</v>
      </c>
      <c r="D192" s="233" t="s">
        <v>977</v>
      </c>
      <c r="E192" s="790" t="s">
        <v>622</v>
      </c>
      <c r="F192" s="2057">
        <v>10787129</v>
      </c>
      <c r="G192" s="243"/>
      <c r="H192" s="234">
        <f>F192</f>
        <v>10787129</v>
      </c>
      <c r="I192" s="313"/>
      <c r="J192" s="291"/>
      <c r="K192" s="309">
        <f>H192*I192</f>
        <v>0</v>
      </c>
      <c r="L192" s="230"/>
      <c r="M192" s="264" t="s">
        <v>978</v>
      </c>
      <c r="N192" s="230"/>
      <c r="O192" s="230"/>
      <c r="P192" s="230"/>
    </row>
    <row r="193" spans="2:16">
      <c r="B193" s="292">
        <v>5</v>
      </c>
      <c r="D193" s="233" t="s">
        <v>1092</v>
      </c>
      <c r="E193" s="812" t="str">
        <f>"(sum line "&amp;B189&amp;" thru line "&amp;B192&amp;")"</f>
        <v>(sum line 1 thru line 4)</v>
      </c>
      <c r="F193" s="579">
        <f>SUM(F189:F192)</f>
        <v>139376380</v>
      </c>
      <c r="G193" s="761"/>
      <c r="H193" s="751">
        <f>SUM(H189:H192)</f>
        <v>139376380</v>
      </c>
      <c r="I193" s="230"/>
      <c r="J193" s="230"/>
      <c r="K193" s="230">
        <f>SUM(K189:K192)</f>
        <v>2646022.2647704748</v>
      </c>
      <c r="L193" s="293"/>
      <c r="N193" s="263"/>
      <c r="P193" s="230"/>
    </row>
    <row r="194" spans="2:16" outlineLevel="1">
      <c r="B194" s="307" t="s">
        <v>1641</v>
      </c>
      <c r="C194" s="229"/>
      <c r="D194" s="245" t="s">
        <v>1660</v>
      </c>
      <c r="E194" s="1020" t="str">
        <f>"(Col 6,  Line "&amp;B193&amp;" divided by Col 4, Line "&amp;B193&amp;")"</f>
        <v>(Col 6,  Line 5 divided by Col 4, Line 5)</v>
      </c>
      <c r="F194" s="232"/>
      <c r="G194" s="230"/>
      <c r="H194" s="230"/>
      <c r="I194" s="230"/>
      <c r="J194" s="230"/>
      <c r="K194" s="312" t="s">
        <v>1662</v>
      </c>
      <c r="L194" s="229"/>
      <c r="M194" s="244">
        <f>IF(K193&gt;0,K193/H193,0)</f>
        <v>1.898472513614197E-2</v>
      </c>
      <c r="O194" s="230"/>
      <c r="P194" s="230"/>
    </row>
    <row r="195" spans="2:16">
      <c r="B195" s="292"/>
      <c r="D195" s="631"/>
      <c r="E195" s="1104"/>
      <c r="F195" s="284"/>
      <c r="G195" s="246"/>
      <c r="H195" s="246"/>
      <c r="I195" s="381"/>
      <c r="J195" s="381"/>
      <c r="K195" s="230"/>
      <c r="L195" s="230"/>
      <c r="M195" s="381"/>
      <c r="N195" s="230"/>
      <c r="O195" s="230"/>
      <c r="P195" s="230"/>
    </row>
    <row r="196" spans="2:16" ht="15.75">
      <c r="B196" s="307"/>
      <c r="C196" s="262"/>
      <c r="D196" s="69" t="s">
        <v>979</v>
      </c>
      <c r="E196" s="4" t="s">
        <v>125</v>
      </c>
      <c r="F196" s="624"/>
      <c r="G196" s="230"/>
      <c r="H196" s="27"/>
      <c r="I196" s="230"/>
      <c r="J196" s="230"/>
      <c r="K196" s="230"/>
      <c r="L196" s="230"/>
      <c r="M196" s="425"/>
      <c r="N196" s="230"/>
      <c r="O196" s="230"/>
      <c r="P196" s="230"/>
    </row>
    <row r="197" spans="2:16">
      <c r="B197" s="307">
        <f>B193+1</f>
        <v>6</v>
      </c>
      <c r="C197" s="262"/>
      <c r="D197" s="231" t="s">
        <v>696</v>
      </c>
      <c r="E197" s="4" t="s">
        <v>126</v>
      </c>
      <c r="F197" s="2058">
        <v>229522490</v>
      </c>
      <c r="G197" s="760"/>
      <c r="H197" s="237">
        <f>+F197</f>
        <v>229522490</v>
      </c>
      <c r="I197" s="230"/>
      <c r="J197" s="230"/>
      <c r="K197" s="230"/>
      <c r="L197" s="230"/>
      <c r="M197" s="757">
        <f>H197</f>
        <v>229522490</v>
      </c>
      <c r="N197" s="230"/>
      <c r="O197" s="230"/>
      <c r="P197" s="230"/>
    </row>
    <row r="198" spans="2:16">
      <c r="B198" s="307">
        <f>B197+1</f>
        <v>7</v>
      </c>
      <c r="C198" s="262"/>
      <c r="D198" s="231" t="s">
        <v>1568</v>
      </c>
      <c r="E198" s="4" t="s">
        <v>126</v>
      </c>
      <c r="F198" s="489">
        <v>4152236</v>
      </c>
      <c r="G198" s="276"/>
      <c r="H198" s="256">
        <f>F198</f>
        <v>4152236</v>
      </c>
      <c r="I198" s="230"/>
      <c r="J198" s="230"/>
      <c r="K198" s="230"/>
      <c r="L198" s="230"/>
      <c r="M198" s="769">
        <f>H198</f>
        <v>4152236</v>
      </c>
      <c r="N198" s="230"/>
      <c r="O198" s="230"/>
      <c r="P198" s="230"/>
    </row>
    <row r="199" spans="2:16">
      <c r="B199" s="307">
        <f>B198+1</f>
        <v>8</v>
      </c>
      <c r="C199" s="262"/>
      <c r="D199" s="231" t="s">
        <v>1510</v>
      </c>
      <c r="E199" s="4" t="s">
        <v>126</v>
      </c>
      <c r="F199" s="489">
        <v>1727732</v>
      </c>
      <c r="G199" s="276"/>
      <c r="H199" s="256">
        <f>F199</f>
        <v>1727732</v>
      </c>
      <c r="I199" s="230"/>
      <c r="J199" s="230"/>
      <c r="K199" s="230"/>
      <c r="L199" s="230"/>
      <c r="M199" s="769">
        <f>H199</f>
        <v>1727732</v>
      </c>
      <c r="N199" s="230"/>
      <c r="O199" s="230"/>
      <c r="P199" s="230"/>
    </row>
    <row r="200" spans="2:16">
      <c r="B200" s="307">
        <f>B199+1</f>
        <v>9</v>
      </c>
      <c r="C200" s="262"/>
      <c r="D200" s="231" t="s">
        <v>1569</v>
      </c>
      <c r="E200" s="4" t="s">
        <v>126</v>
      </c>
      <c r="F200" s="1059">
        <v>0</v>
      </c>
      <c r="G200" s="1343"/>
      <c r="H200" s="256">
        <f>+F200</f>
        <v>0</v>
      </c>
      <c r="I200" s="230"/>
      <c r="J200" s="230"/>
      <c r="K200" s="230"/>
      <c r="L200" s="230"/>
      <c r="M200" s="770">
        <f>H200</f>
        <v>0</v>
      </c>
      <c r="N200" s="230"/>
      <c r="O200" s="230"/>
      <c r="P200" s="230"/>
    </row>
    <row r="201" spans="2:16" ht="15.75" thickBot="1">
      <c r="B201" s="307">
        <f>B200+1</f>
        <v>10</v>
      </c>
      <c r="C201" s="262"/>
      <c r="D201" s="231" t="s">
        <v>1458</v>
      </c>
      <c r="E201" s="946" t="s">
        <v>126</v>
      </c>
      <c r="F201" s="1060">
        <v>0</v>
      </c>
      <c r="G201" s="1344"/>
      <c r="H201" s="257">
        <f>+F201</f>
        <v>0</v>
      </c>
      <c r="I201" s="258"/>
      <c r="J201" s="230"/>
      <c r="K201" s="230"/>
      <c r="L201" s="230"/>
      <c r="M201" s="771">
        <f>H201</f>
        <v>0</v>
      </c>
      <c r="N201" s="230"/>
      <c r="O201" s="230"/>
      <c r="P201" s="230"/>
    </row>
    <row r="202" spans="2:16">
      <c r="B202" s="307">
        <f>B201+1</f>
        <v>11</v>
      </c>
      <c r="C202" s="262"/>
      <c r="D202" s="319" t="s">
        <v>92</v>
      </c>
      <c r="E202" s="812" t="str">
        <f>"(sum line "&amp;B197&amp;" to "&amp;B199&amp;", less "&amp;B200&amp;" &amp; "&amp;B201&amp;")"</f>
        <v>(sum line 6 to 8, less 9 &amp; 10)</v>
      </c>
      <c r="F202" s="235">
        <f>SUM(F197:F199)-F200-F201</f>
        <v>235402458</v>
      </c>
      <c r="G202" s="761"/>
      <c r="H202" s="235">
        <f>SUM(H197:H199)-H200-H201</f>
        <v>235402458</v>
      </c>
      <c r="I202" s="230"/>
      <c r="J202" s="230"/>
      <c r="K202" s="259"/>
      <c r="L202" s="230"/>
      <c r="M202" s="235">
        <f>SUM(M197:M199)-M200-M201</f>
        <v>235402458</v>
      </c>
      <c r="N202" s="230"/>
      <c r="O202" s="230"/>
      <c r="P202" s="230"/>
    </row>
    <row r="203" spans="2:16">
      <c r="B203" s="307"/>
      <c r="D203" s="233"/>
      <c r="E203" s="230"/>
      <c r="F203" s="232"/>
      <c r="G203" s="230"/>
      <c r="H203" s="230"/>
      <c r="I203" s="230"/>
      <c r="J203" s="230"/>
      <c r="K203" s="230"/>
      <c r="L203" s="230"/>
      <c r="M203" s="230"/>
      <c r="N203" s="230"/>
      <c r="O203" s="230"/>
      <c r="P203" s="230"/>
    </row>
    <row r="204" spans="2:16" ht="15.75">
      <c r="B204" s="307">
        <f>B202+1</f>
        <v>12</v>
      </c>
      <c r="C204" s="262"/>
      <c r="D204" s="1018" t="s">
        <v>959</v>
      </c>
      <c r="E204" s="4" t="s">
        <v>126</v>
      </c>
      <c r="F204" s="2058">
        <v>1646000</v>
      </c>
      <c r="G204" s="760"/>
      <c r="H204" s="767">
        <f>F204</f>
        <v>1646000</v>
      </c>
      <c r="I204" s="4"/>
      <c r="J204" s="4"/>
      <c r="K204" s="15"/>
      <c r="L204" s="10"/>
      <c r="M204" s="767">
        <f>H204</f>
        <v>1646000</v>
      </c>
      <c r="N204" s="230"/>
      <c r="O204" s="230"/>
      <c r="P204" s="230"/>
    </row>
    <row r="205" spans="2:16">
      <c r="B205" s="307"/>
      <c r="C205" s="262"/>
      <c r="D205" s="766"/>
      <c r="E205" s="766"/>
      <c r="F205" s="510"/>
      <c r="G205" s="10"/>
      <c r="H205" s="767"/>
      <c r="I205" s="4"/>
      <c r="J205" s="4"/>
      <c r="K205" s="15"/>
      <c r="L205" s="10"/>
      <c r="M205" s="767"/>
      <c r="N205" s="230"/>
      <c r="O205" s="230"/>
      <c r="P205" s="230"/>
    </row>
    <row r="206" spans="2:16" ht="15.75">
      <c r="B206" s="307"/>
      <c r="C206" s="262"/>
      <c r="D206" s="69" t="s">
        <v>1254</v>
      </c>
      <c r="E206" s="4" t="s">
        <v>125</v>
      </c>
      <c r="F206" s="232"/>
      <c r="G206" s="230"/>
      <c r="H206" s="230"/>
      <c r="I206" s="230"/>
      <c r="J206" s="230"/>
      <c r="K206" s="230"/>
      <c r="L206" s="230"/>
      <c r="M206" s="230"/>
      <c r="N206" s="230"/>
      <c r="O206" s="230"/>
      <c r="P206" s="230"/>
    </row>
    <row r="207" spans="2:16">
      <c r="B207" s="307">
        <f>B204+1</f>
        <v>13</v>
      </c>
      <c r="C207" s="262"/>
      <c r="D207" s="232" t="s">
        <v>1255</v>
      </c>
      <c r="E207" s="4" t="s">
        <v>126</v>
      </c>
      <c r="F207" s="2054">
        <v>3198666507</v>
      </c>
      <c r="G207" s="760"/>
      <c r="H207" s="237">
        <f>+F207</f>
        <v>3198666507</v>
      </c>
      <c r="I207" s="230"/>
      <c r="J207" s="230"/>
      <c r="K207" s="230"/>
      <c r="L207" s="230"/>
      <c r="M207" s="235">
        <f>H207</f>
        <v>3198666507</v>
      </c>
      <c r="N207" s="230"/>
      <c r="O207" s="230"/>
      <c r="P207" s="230"/>
    </row>
    <row r="208" spans="2:16">
      <c r="B208" s="307">
        <f>B207+1</f>
        <v>14</v>
      </c>
      <c r="C208" s="262"/>
      <c r="D208" s="230" t="s">
        <v>1256</v>
      </c>
      <c r="E208" s="4" t="s">
        <v>126</v>
      </c>
      <c r="F208" s="2056">
        <v>39000000</v>
      </c>
      <c r="G208" s="276"/>
      <c r="H208" s="256">
        <f>+F208</f>
        <v>39000000</v>
      </c>
      <c r="I208" s="230"/>
      <c r="J208" s="230"/>
      <c r="K208" s="230"/>
      <c r="L208" s="230"/>
      <c r="M208" s="310">
        <f>F208</f>
        <v>39000000</v>
      </c>
      <c r="N208" s="230"/>
      <c r="O208" s="230"/>
      <c r="P208" s="230"/>
    </row>
    <row r="209" spans="2:17">
      <c r="B209" s="307">
        <f>B208+1</f>
        <v>15</v>
      </c>
      <c r="C209" s="262"/>
      <c r="D209" s="230" t="s">
        <v>1701</v>
      </c>
      <c r="E209" s="15" t="s">
        <v>1690</v>
      </c>
      <c r="F209" s="2056">
        <v>301298</v>
      </c>
      <c r="G209" s="276"/>
      <c r="H209" s="256">
        <f>F209</f>
        <v>301298</v>
      </c>
      <c r="I209" s="230"/>
      <c r="J209" s="230"/>
      <c r="K209" s="230"/>
      <c r="L209" s="230"/>
      <c r="M209" s="310">
        <f>H209</f>
        <v>301298</v>
      </c>
      <c r="N209" s="230"/>
      <c r="O209" s="230"/>
      <c r="P209" s="230"/>
    </row>
    <row r="210" spans="2:17" ht="15.75" thickBot="1">
      <c r="B210" s="307">
        <f>B209+1</f>
        <v>16</v>
      </c>
      <c r="C210" s="262"/>
      <c r="D210" s="232" t="s">
        <v>1257</v>
      </c>
      <c r="E210" s="4" t="s">
        <v>126</v>
      </c>
      <c r="F210" s="2052">
        <v>-43571746</v>
      </c>
      <c r="G210" s="1344"/>
      <c r="H210" s="257">
        <f>+F210</f>
        <v>-43571746</v>
      </c>
      <c r="I210" s="232"/>
      <c r="J210" s="232"/>
      <c r="K210" s="232"/>
      <c r="L210" s="230"/>
      <c r="M210" s="243">
        <f>F210</f>
        <v>-43571746</v>
      </c>
      <c r="N210" s="230"/>
      <c r="O210" s="230"/>
      <c r="P210" s="230"/>
    </row>
    <row r="211" spans="2:17">
      <c r="B211" s="307">
        <f>B210+1</f>
        <v>17</v>
      </c>
      <c r="C211" s="262"/>
      <c r="D211" s="230" t="s">
        <v>1041</v>
      </c>
      <c r="E211" s="812" t="str">
        <f>" ( line "&amp;B207&amp;" Less  "&amp;B208&amp;", "&amp;B209&amp;" &amp; "&amp;B210&amp;")"</f>
        <v xml:space="preserve"> ( line 13 Less  14, 15 &amp; 16)</v>
      </c>
      <c r="F211" s="1950">
        <f>F207-(SUM(F208:F210))</f>
        <v>3202936955</v>
      </c>
      <c r="G211" s="761"/>
      <c r="H211" s="756">
        <f>H207-(SUM(H208:H210))</f>
        <v>3202936955</v>
      </c>
      <c r="I211" s="262"/>
      <c r="J211" s="262"/>
      <c r="K211" s="262"/>
      <c r="L211" s="262"/>
      <c r="M211" s="756">
        <f>M207-(SUM(M208:M210))</f>
        <v>3202936955</v>
      </c>
      <c r="N211" s="230"/>
      <c r="O211" s="230"/>
      <c r="P211" s="230"/>
    </row>
    <row r="212" spans="2:17">
      <c r="B212" s="307"/>
      <c r="D212" s="233"/>
      <c r="E212" s="230"/>
      <c r="F212" s="232"/>
      <c r="G212" s="230"/>
      <c r="H212" s="230"/>
      <c r="I212" s="230"/>
      <c r="J212" s="230"/>
      <c r="K212" s="263" t="s">
        <v>980</v>
      </c>
      <c r="L212" s="230"/>
      <c r="M212" s="230"/>
      <c r="N212" s="230"/>
      <c r="O212" s="230"/>
      <c r="P212" s="230"/>
    </row>
    <row r="213" spans="2:17" ht="16.5" thickBot="1">
      <c r="B213" s="307"/>
      <c r="D213" s="233"/>
      <c r="E213" s="27"/>
      <c r="F213" s="582" t="s">
        <v>488</v>
      </c>
      <c r="G213" s="67"/>
      <c r="H213" s="264" t="s">
        <v>488</v>
      </c>
      <c r="I213" s="264" t="s">
        <v>981</v>
      </c>
      <c r="J213" s="230"/>
      <c r="K213" s="264" t="s">
        <v>1508</v>
      </c>
      <c r="L213" s="230"/>
      <c r="M213" s="264" t="s">
        <v>982</v>
      </c>
      <c r="N213" s="230"/>
      <c r="O213" s="230"/>
      <c r="P213" s="230"/>
    </row>
    <row r="214" spans="2:17">
      <c r="B214" s="307">
        <f>B211+1</f>
        <v>18</v>
      </c>
      <c r="C214" s="262"/>
      <c r="D214" s="297" t="s">
        <v>1258</v>
      </c>
      <c r="E214" s="15" t="s">
        <v>126</v>
      </c>
      <c r="F214" s="2058">
        <v>3289173263</v>
      </c>
      <c r="G214" s="1693"/>
      <c r="H214" s="260">
        <f>F214</f>
        <v>3289173263</v>
      </c>
      <c r="I214" s="531">
        <f>IF($H$217&gt;0,H214/$H$217,0)</f>
        <v>0.50361625408416899</v>
      </c>
      <c r="J214" s="520"/>
      <c r="K214" s="559">
        <f>IF(H214&gt;0,M202/H214,0)</f>
        <v>7.1568883478425618E-2</v>
      </c>
      <c r="L214" s="269" t="s">
        <v>1001</v>
      </c>
      <c r="M214" s="266">
        <f>K214*I214</f>
        <v>3.6043253006391079E-2</v>
      </c>
      <c r="N214" s="269"/>
      <c r="P214" s="230"/>
      <c r="Q214" s="1102"/>
    </row>
    <row r="215" spans="2:17">
      <c r="B215" s="307">
        <f>B214+1</f>
        <v>19</v>
      </c>
      <c r="C215" s="262"/>
      <c r="D215" s="297" t="s">
        <v>1260</v>
      </c>
      <c r="E215" s="4" t="s">
        <v>126</v>
      </c>
      <c r="F215" s="68">
        <f>F208</f>
        <v>39000000</v>
      </c>
      <c r="G215" s="270"/>
      <c r="H215" s="276">
        <f>F215</f>
        <v>39000000</v>
      </c>
      <c r="I215" s="532">
        <f>IF($H$217&gt;0,H215/$H$217,0)</f>
        <v>5.9714196665238391E-3</v>
      </c>
      <c r="J215" s="520"/>
      <c r="K215" s="559">
        <f>IF(H215&gt;0,M204/H215,0)</f>
        <v>4.2205128205128208E-2</v>
      </c>
      <c r="L215" s="230"/>
      <c r="M215" s="268">
        <f>K215*I215</f>
        <v>2.5202453259226255E-4</v>
      </c>
      <c r="N215" s="230"/>
      <c r="P215" s="230"/>
      <c r="Q215" s="1103"/>
    </row>
    <row r="216" spans="2:17" ht="15.75" thickBot="1">
      <c r="B216" s="307">
        <f>B215+1</f>
        <v>20</v>
      </c>
      <c r="C216" s="262"/>
      <c r="D216" s="297" t="s">
        <v>1261</v>
      </c>
      <c r="E216" s="4" t="s">
        <v>126</v>
      </c>
      <c r="F216" s="234">
        <f>+M211</f>
        <v>3202936955</v>
      </c>
      <c r="G216" s="768"/>
      <c r="H216" s="243">
        <f>F216</f>
        <v>3202936955</v>
      </c>
      <c r="I216" s="533">
        <f>IF($H$217&gt;0,H216/$H$217,0)</f>
        <v>0.4904123262493072</v>
      </c>
      <c r="J216" s="520"/>
      <c r="K216" s="1694">
        <v>0.111</v>
      </c>
      <c r="L216" s="230"/>
      <c r="M216" s="275">
        <f>K216*I216</f>
        <v>5.4435768213673102E-2</v>
      </c>
      <c r="N216" s="230"/>
      <c r="P216" s="230"/>
      <c r="Q216" s="1103"/>
    </row>
    <row r="217" spans="2:17">
      <c r="B217" s="307">
        <f>B216+1</f>
        <v>21</v>
      </c>
      <c r="C217" s="262"/>
      <c r="D217" s="245" t="s">
        <v>1042</v>
      </c>
      <c r="E217" s="812" t="str">
        <f>"(sum line "&amp;B214&amp;" thru line "&amp;B216&amp;")"</f>
        <v>(sum line 18 thru line 20)</v>
      </c>
      <c r="F217" s="235">
        <f>F216+F215+F214</f>
        <v>6531110218</v>
      </c>
      <c r="G217" s="751"/>
      <c r="H217" s="237">
        <f>H216+H215+H214</f>
        <v>6531110218</v>
      </c>
      <c r="I217" s="531">
        <f>SUM(I214:I216)</f>
        <v>1</v>
      </c>
      <c r="J217" s="519"/>
      <c r="K217" s="519"/>
      <c r="L217" s="1904" t="s">
        <v>1000</v>
      </c>
      <c r="M217" s="534">
        <f>SUM(M214:M216)</f>
        <v>9.0731045752656447E-2</v>
      </c>
      <c r="N217" s="269"/>
      <c r="P217" s="230"/>
      <c r="Q217" s="1103"/>
    </row>
    <row r="218" spans="2:17">
      <c r="B218" s="307"/>
      <c r="C218" s="262"/>
      <c r="E218" s="812"/>
      <c r="F218" s="235"/>
      <c r="G218" s="237"/>
      <c r="H218" s="237"/>
      <c r="I218" s="531"/>
      <c r="J218" s="519"/>
      <c r="K218" s="519"/>
      <c r="L218" s="230"/>
      <c r="M218" s="534"/>
      <c r="N218" s="269"/>
      <c r="P218" s="230"/>
    </row>
    <row r="219" spans="2:17" ht="15.75">
      <c r="B219" s="307"/>
      <c r="D219" s="950" t="s">
        <v>1691</v>
      </c>
      <c r="F219" s="229"/>
      <c r="H219" s="230"/>
      <c r="I219" s="230"/>
      <c r="J219" s="230"/>
      <c r="K219" s="230"/>
      <c r="L219" s="230"/>
      <c r="M219" s="268"/>
      <c r="N219" s="269"/>
      <c r="P219" s="230"/>
    </row>
    <row r="220" spans="2:17" ht="15.75">
      <c r="B220" s="307"/>
      <c r="C220" s="229"/>
      <c r="D220" s="23" t="s">
        <v>1149</v>
      </c>
      <c r="E220" s="229"/>
      <c r="F220" s="229"/>
      <c r="G220" s="229"/>
      <c r="H220" s="232"/>
      <c r="I220" s="232"/>
      <c r="J220" s="232"/>
      <c r="K220" s="232"/>
      <c r="L220" s="230"/>
      <c r="M220" s="268"/>
      <c r="N220" s="269"/>
      <c r="P220" s="230"/>
    </row>
    <row r="221" spans="2:17">
      <c r="B221" s="307">
        <f>B217+1</f>
        <v>22</v>
      </c>
      <c r="C221" s="307"/>
      <c r="D221" s="245" t="s">
        <v>651</v>
      </c>
      <c r="E221" s="1020" t="str">
        <f>" ( Wksht A-9, line "&amp;'A-9 (Act. Incentive Projects)'!A71&amp;")"</f>
        <v xml:space="preserve"> ( Wksht A-9, line 22)</v>
      </c>
      <c r="F221" s="1695">
        <f>'A-9 (Act. Incentive Projects)'!D71+'A-9 (Act. Incentive Projects)'!D119+'A-9 (Act. Incentive Projects)'!D214+'A-9 (Act. Incentive Projects)'!D264+'A-9 (Act. Incentive Projects)'!D313+'A-9 (Act. Incentive Projects)'!D167</f>
        <v>0</v>
      </c>
      <c r="G221" s="760"/>
      <c r="H221" s="235">
        <f>F221</f>
        <v>0</v>
      </c>
      <c r="I221" s="232"/>
      <c r="J221" s="232"/>
      <c r="K221" s="232"/>
      <c r="L221" s="232"/>
      <c r="M221" s="229"/>
      <c r="N221" s="269"/>
      <c r="P221" s="230"/>
    </row>
    <row r="222" spans="2:17">
      <c r="B222" s="307">
        <f>B221+1</f>
        <v>23</v>
      </c>
      <c r="C222" s="307"/>
      <c r="D222" s="245" t="s">
        <v>652</v>
      </c>
      <c r="E222" s="1020" t="str">
        <f>" ( Wksht A-9, line "&amp;'A-9 (Act. Incentive Projects)'!A71&amp;")"</f>
        <v xml:space="preserve"> ( Wksht A-9, line 22)</v>
      </c>
      <c r="F222" s="479">
        <f>'A-9 (Act. Incentive Projects)'!E71+'A-9 (Act. Incentive Projects)'!E119+'A-9 (Act. Incentive Projects)'!E214+'A-9 (Act. Incentive Projects)'!E264+'A-9 (Act. Incentive Projects)'!E313+'A-9 (Act. Incentive Projects)'!E167</f>
        <v>0</v>
      </c>
      <c r="G222" s="478"/>
      <c r="H222" s="479">
        <f>F222</f>
        <v>0</v>
      </c>
      <c r="I222" s="232"/>
      <c r="J222" s="232"/>
      <c r="K222" s="232"/>
      <c r="L222" s="232"/>
      <c r="M222" s="229"/>
      <c r="N222" s="269"/>
      <c r="P222" s="230"/>
    </row>
    <row r="223" spans="2:17">
      <c r="B223" s="307">
        <f>B222+1</f>
        <v>24</v>
      </c>
      <c r="C223" s="307"/>
      <c r="D223" s="24" t="s">
        <v>1444</v>
      </c>
      <c r="E223" s="1020" t="str">
        <f>"( line "&amp;B221&amp;" less line "&amp;B222&amp;")"</f>
        <v>( line 22 less line 23)</v>
      </c>
      <c r="F223" s="968">
        <f>F221-F222</f>
        <v>0</v>
      </c>
      <c r="G223" s="1035"/>
      <c r="H223" s="968">
        <f>H221-H222</f>
        <v>0</v>
      </c>
      <c r="I223" s="232"/>
      <c r="J223" s="232"/>
      <c r="K223" s="232"/>
      <c r="L223" s="232"/>
      <c r="M223" s="229"/>
      <c r="N223" s="269"/>
      <c r="P223" s="230"/>
    </row>
    <row r="224" spans="2:17" ht="15.75" thickBot="1">
      <c r="B224" s="307">
        <f>B223+1</f>
        <v>25</v>
      </c>
      <c r="C224" s="307"/>
      <c r="D224" s="24" t="s">
        <v>945</v>
      </c>
      <c r="E224" s="1020" t="str">
        <f>" ( Wksht A-9, p. 1, line "&amp;'A-9 (Act. Incentive Projects)'!A47&amp;")"</f>
        <v xml:space="preserve"> ( Wksht A-9, p. 1, line 28)</v>
      </c>
      <c r="F224" s="284"/>
      <c r="G224" s="284"/>
      <c r="I224" s="232"/>
      <c r="J224" s="232"/>
      <c r="K224" s="300">
        <f>'A-9 (Act. Incentive Projects)'!N47</f>
        <v>0</v>
      </c>
      <c r="L224" s="232"/>
      <c r="M224" s="229"/>
      <c r="N224" s="269"/>
      <c r="P224" s="230"/>
    </row>
    <row r="225" spans="2:16">
      <c r="B225" s="59">
        <f>B224+1</f>
        <v>26</v>
      </c>
      <c r="C225" s="59"/>
      <c r="D225" s="24" t="s">
        <v>937</v>
      </c>
      <c r="E225" s="1020" t="str">
        <f>"( line "&amp;B224&amp;" *( page 2, line "&amp;B109&amp;")"</f>
        <v>( line 25 *( page 2, line 19)</v>
      </c>
      <c r="F225" s="1252"/>
      <c r="G225" s="113"/>
      <c r="H225" s="70">
        <f>H109*K224</f>
        <v>0</v>
      </c>
      <c r="I225" s="232"/>
      <c r="J225" s="232"/>
      <c r="K225" s="232"/>
      <c r="L225" s="232"/>
      <c r="M225" s="229"/>
      <c r="N225" s="269"/>
      <c r="P225" s="230"/>
    </row>
    <row r="226" spans="2:16">
      <c r="B226" s="59"/>
      <c r="C226" s="59"/>
      <c r="D226" s="24"/>
      <c r="E226" s="1250"/>
      <c r="F226" s="1252"/>
      <c r="G226" s="113"/>
      <c r="H226" s="70"/>
      <c r="I226" s="232"/>
      <c r="J226" s="232"/>
      <c r="K226" s="232"/>
      <c r="L226" s="232"/>
      <c r="M226" s="229"/>
      <c r="N226" s="269"/>
      <c r="P226" s="230"/>
    </row>
    <row r="227" spans="2:16" ht="15.75">
      <c r="B227" s="59">
        <f>B225+1</f>
        <v>27</v>
      </c>
      <c r="C227" s="59"/>
      <c r="D227" s="23" t="s">
        <v>1150</v>
      </c>
      <c r="E227" s="22"/>
      <c r="F227" s="22"/>
      <c r="G227" s="22"/>
      <c r="H227" s="15"/>
      <c r="I227" s="15"/>
      <c r="J227" s="15"/>
      <c r="K227" s="113"/>
      <c r="L227" s="232"/>
      <c r="M227" s="967"/>
      <c r="N227" s="269"/>
      <c r="P227" s="262"/>
    </row>
    <row r="228" spans="2:16">
      <c r="B228" s="59">
        <f>B227+1</f>
        <v>28</v>
      </c>
      <c r="C228" s="59"/>
      <c r="D228" s="24" t="s">
        <v>1151</v>
      </c>
      <c r="E228" s="1020" t="str">
        <f>" ( Wksht A-9, p. 1,  line "&amp;'A-9 (Act. Incentive Projects)'!A47&amp;"     Note T)"</f>
        <v xml:space="preserve"> ( Wksht A-9, p. 1,  line 28     Note T)</v>
      </c>
      <c r="F228" s="968">
        <f>'A-9 (Act. Incentive Projects)'!I47</f>
        <v>0</v>
      </c>
      <c r="G228" s="1345"/>
      <c r="H228" s="968">
        <f>F228</f>
        <v>0</v>
      </c>
      <c r="I228" s="15"/>
      <c r="J228" s="15"/>
      <c r="K228" s="22"/>
      <c r="L228" s="232"/>
      <c r="M228" s="967"/>
      <c r="N228" s="269"/>
      <c r="P228" s="262"/>
    </row>
    <row r="229" spans="2:16" ht="15.75" thickBot="1">
      <c r="B229" s="59">
        <f>B228+1</f>
        <v>29</v>
      </c>
      <c r="C229" s="59"/>
      <c r="D229" s="24" t="s">
        <v>671</v>
      </c>
      <c r="E229" s="1020" t="str">
        <f>" ( Wksht A-9, p. 1,  line "&amp;'A-9 (Act. Incentive Projects)'!A47&amp;" )"</f>
        <v xml:space="preserve"> ( Wksht A-9, p. 1,  line 28 )</v>
      </c>
      <c r="F229" s="22"/>
      <c r="G229" s="22"/>
      <c r="H229" s="15"/>
      <c r="I229" s="15"/>
      <c r="J229" s="15"/>
      <c r="K229" s="970">
        <f>'A-9 (Act. Incentive Projects)'!J47</f>
        <v>0</v>
      </c>
      <c r="L229" s="232"/>
      <c r="M229" s="967"/>
      <c r="N229" s="269"/>
      <c r="P229" s="262"/>
    </row>
    <row r="230" spans="2:16">
      <c r="B230" s="59"/>
      <c r="C230" s="59"/>
      <c r="D230" s="24"/>
      <c r="E230" s="22"/>
      <c r="F230" s="22"/>
      <c r="G230" s="22"/>
      <c r="H230" s="15"/>
      <c r="I230" s="15"/>
      <c r="J230" s="15"/>
      <c r="K230" s="113"/>
      <c r="L230" s="232"/>
      <c r="M230" s="967"/>
      <c r="N230" s="269"/>
      <c r="P230" s="262"/>
    </row>
    <row r="231" spans="2:16" ht="15.75">
      <c r="B231" s="59">
        <f>B229+1</f>
        <v>30</v>
      </c>
      <c r="C231" s="59"/>
      <c r="D231" s="23" t="s">
        <v>672</v>
      </c>
      <c r="E231" s="22"/>
      <c r="F231" s="22"/>
      <c r="G231" s="22"/>
      <c r="H231" s="15"/>
      <c r="I231" s="15"/>
      <c r="J231" s="15"/>
      <c r="K231" s="113"/>
      <c r="L231" s="232"/>
      <c r="M231" s="967"/>
      <c r="N231" s="308"/>
      <c r="O231" s="229"/>
      <c r="P231" s="262"/>
    </row>
    <row r="232" spans="2:16">
      <c r="B232" s="59">
        <f>B231+1</f>
        <v>31</v>
      </c>
      <c r="C232" s="59"/>
      <c r="D232" s="24" t="s">
        <v>1052</v>
      </c>
      <c r="E232" s="1020" t="str">
        <f>"( line "&amp;B44&amp;" of  page 2)    (Note S)"</f>
        <v>( line 24 of  page 2)    (Note S)</v>
      </c>
      <c r="F232" s="70">
        <f>H44</f>
        <v>0</v>
      </c>
      <c r="G232" s="22"/>
      <c r="H232" s="70"/>
      <c r="I232" s="15"/>
      <c r="J232" s="15"/>
      <c r="K232" s="113"/>
      <c r="L232" s="232"/>
      <c r="M232" s="967"/>
      <c r="N232" s="308"/>
      <c r="O232" s="229"/>
      <c r="P232" s="262"/>
    </row>
    <row r="233" spans="2:16">
      <c r="B233" s="59">
        <f>B232+1</f>
        <v>32</v>
      </c>
      <c r="C233" s="59"/>
      <c r="D233" s="22" t="s">
        <v>1537</v>
      </c>
      <c r="E233" s="1020" t="str">
        <f>"( line "&amp;B217&amp;"  X  line "&amp;B232&amp;"   X ( 1 +EIT)"</f>
        <v>( line 21  X  line 31   X ( 1 +EIT)</v>
      </c>
      <c r="F233" s="22"/>
      <c r="G233" s="22"/>
      <c r="H233" s="70">
        <f>F232*M217*(1+H114)</f>
        <v>0</v>
      </c>
      <c r="I233" s="15"/>
      <c r="J233" s="15"/>
      <c r="K233" s="113"/>
      <c r="L233" s="232"/>
      <c r="M233" s="967"/>
      <c r="N233" s="308"/>
      <c r="O233" s="229"/>
      <c r="P233" s="262"/>
    </row>
    <row r="234" spans="2:16">
      <c r="B234" s="59">
        <f>B233+1</f>
        <v>33</v>
      </c>
      <c r="C234" s="59"/>
      <c r="D234" s="24" t="s">
        <v>943</v>
      </c>
      <c r="E234" s="1020" t="str">
        <f>"(Line "&amp;B95&amp;" of page 2)"</f>
        <v>(Line 11 of page 2)</v>
      </c>
      <c r="F234" s="22"/>
      <c r="G234" s="22"/>
      <c r="H234" s="837">
        <f>H95</f>
        <v>0</v>
      </c>
      <c r="I234" s="15"/>
      <c r="J234" s="15"/>
      <c r="K234" s="113"/>
      <c r="L234" s="232"/>
      <c r="M234" s="967"/>
      <c r="N234" s="308"/>
      <c r="O234" s="229"/>
      <c r="P234" s="262"/>
    </row>
    <row r="235" spans="2:16" ht="15.75" thickBot="1">
      <c r="B235" s="59">
        <f>B234+1</f>
        <v>34</v>
      </c>
      <c r="C235" s="59"/>
      <c r="D235" s="24" t="s">
        <v>944</v>
      </c>
      <c r="E235" s="1020" t="str">
        <f>"(sum line "&amp;B233&amp;" thru line "&amp;B234&amp;")"</f>
        <v>(sum line 32 thru line 33)</v>
      </c>
      <c r="F235" s="22"/>
      <c r="G235" s="22"/>
      <c r="H235" s="15"/>
      <c r="I235" s="15"/>
      <c r="J235" s="15"/>
      <c r="K235" s="970">
        <f>H233+H234</f>
        <v>0</v>
      </c>
      <c r="L235" s="232"/>
      <c r="M235" s="967"/>
      <c r="N235" s="308"/>
      <c r="O235" s="229"/>
      <c r="P235" s="262"/>
    </row>
    <row r="236" spans="2:16" ht="15.75" thickBot="1">
      <c r="B236" s="59">
        <f>B235+1</f>
        <v>35</v>
      </c>
      <c r="C236" s="59"/>
      <c r="D236" s="24" t="s">
        <v>768</v>
      </c>
      <c r="E236" s="1020" t="str">
        <f>"(sum line "&amp;B224&amp;" , "&amp;B229&amp;" &amp; "&amp;B235&amp;")"</f>
        <v>(sum line 25 , 29 &amp; 34)</v>
      </c>
      <c r="F236" s="22"/>
      <c r="G236" s="22"/>
      <c r="H236" s="15"/>
      <c r="I236" s="15"/>
      <c r="J236" s="15"/>
      <c r="K236" s="113"/>
      <c r="L236" s="232"/>
      <c r="M236" s="1021">
        <f>K224+K229+K235</f>
        <v>0</v>
      </c>
      <c r="N236" s="308"/>
      <c r="O236" s="229"/>
      <c r="P236" s="262"/>
    </row>
    <row r="237" spans="2:16" ht="15.75" thickTop="1">
      <c r="B237" s="307"/>
      <c r="C237" s="307"/>
      <c r="D237" s="245"/>
      <c r="E237" s="229"/>
      <c r="F237" s="229"/>
      <c r="G237" s="229"/>
      <c r="H237" s="229"/>
      <c r="I237" s="232"/>
      <c r="J237" s="232"/>
      <c r="K237" s="235"/>
      <c r="L237" s="230"/>
      <c r="M237" s="268"/>
      <c r="N237" s="269"/>
      <c r="P237" s="262"/>
    </row>
    <row r="238" spans="2:16" ht="15.75">
      <c r="B238" s="292"/>
      <c r="C238" s="262"/>
      <c r="D238" s="391"/>
      <c r="E238" s="2161" t="str">
        <f>+E1</f>
        <v xml:space="preserve">     Rate Formula Template</v>
      </c>
      <c r="F238" s="2161"/>
      <c r="G238" s="2161"/>
      <c r="H238" s="2154"/>
      <c r="I238" s="2154"/>
      <c r="J238" s="230"/>
      <c r="K238" s="1098"/>
      <c r="M238" s="1952" t="s">
        <v>156</v>
      </c>
      <c r="P238" s="262"/>
    </row>
    <row r="239" spans="2:16" ht="15.75">
      <c r="B239" s="292"/>
      <c r="C239" s="262"/>
      <c r="D239" s="391"/>
      <c r="E239" s="2161" t="str">
        <f>+E2</f>
        <v xml:space="preserve"> Utilizing FERC Form 1 Data</v>
      </c>
      <c r="F239" s="2161"/>
      <c r="G239" s="2161"/>
      <c r="H239" s="2154"/>
      <c r="I239" s="2154"/>
      <c r="J239" s="230"/>
      <c r="K239" s="1099"/>
      <c r="P239" s="262"/>
    </row>
    <row r="240" spans="2:16">
      <c r="B240" s="292"/>
      <c r="C240" s="262"/>
      <c r="D240" s="391"/>
      <c r="E240" s="2161" t="str">
        <f>+E3</f>
        <v>Actual Gross Revenue Requirements</v>
      </c>
      <c r="F240" s="2161"/>
      <c r="G240" s="2161"/>
      <c r="H240" s="2154"/>
      <c r="I240" s="2154"/>
      <c r="J240" s="230"/>
      <c r="K240" s="230"/>
      <c r="N240" s="392"/>
      <c r="O240" s="393"/>
      <c r="P240" s="262"/>
    </row>
    <row r="241" spans="2:16">
      <c r="B241" s="292"/>
      <c r="C241" s="262"/>
      <c r="D241" s="391"/>
      <c r="E241" s="2161" t="str">
        <f>+E4</f>
        <v>For the 12 months ended - December 31, 2012</v>
      </c>
      <c r="F241" s="2161"/>
      <c r="G241" s="2161"/>
      <c r="H241" s="2154"/>
      <c r="I241" s="2154"/>
      <c r="J241" s="230"/>
      <c r="K241" s="230"/>
      <c r="L241" s="394"/>
      <c r="N241" s="392"/>
      <c r="P241" s="262"/>
    </row>
    <row r="242" spans="2:16" ht="6" customHeight="1">
      <c r="B242" s="292"/>
      <c r="C242" s="262"/>
      <c r="D242" s="391"/>
      <c r="E242" s="292"/>
      <c r="F242" s="292"/>
      <c r="G242" s="292"/>
      <c r="H242" s="230"/>
      <c r="I242" s="230"/>
      <c r="J242" s="230"/>
      <c r="K242" s="230"/>
      <c r="L242" s="394"/>
      <c r="N242" s="392"/>
      <c r="O242" s="395"/>
      <c r="P242" s="262"/>
    </row>
    <row r="243" spans="2:16">
      <c r="B243" s="292"/>
      <c r="C243" s="262"/>
      <c r="D243" s="391"/>
      <c r="E243" s="2155" t="str">
        <f>+E$6</f>
        <v>KANSAS CITY POWER &amp; LIGHT COMPANY. (KCP&amp;L)</v>
      </c>
      <c r="F243" s="2155"/>
      <c r="G243" s="2155"/>
      <c r="H243" s="2156"/>
      <c r="I243" s="2156"/>
      <c r="J243" s="230"/>
      <c r="K243" s="230"/>
      <c r="L243" s="392"/>
      <c r="M243" s="302" t="str">
        <f>+M6</f>
        <v>Actual Gross Rev</v>
      </c>
      <c r="N243" s="392"/>
      <c r="O243" s="395"/>
      <c r="P243" s="262"/>
    </row>
    <row r="244" spans="2:16">
      <c r="B244" s="292"/>
      <c r="C244" s="262"/>
      <c r="D244" s="391"/>
      <c r="E244" s="2155" t="str">
        <f>+E$7</f>
        <v>(KCP&amp;L)</v>
      </c>
      <c r="F244" s="2155"/>
      <c r="G244" s="2155"/>
      <c r="H244" s="2156"/>
      <c r="I244" s="2156"/>
      <c r="J244" s="230"/>
      <c r="K244" s="230"/>
      <c r="L244" s="392"/>
      <c r="M244" s="393" t="s">
        <v>1124</v>
      </c>
      <c r="N244" s="392"/>
      <c r="O244" s="395"/>
      <c r="P244" s="262"/>
    </row>
    <row r="245" spans="2:16" ht="15.75">
      <c r="B245" s="231" t="s">
        <v>677</v>
      </c>
      <c r="C245" s="262"/>
      <c r="D245" s="391"/>
      <c r="E245" s="292"/>
      <c r="F245" s="292"/>
      <c r="G245" s="292"/>
      <c r="H245" s="12"/>
      <c r="I245" s="230"/>
      <c r="J245" s="230"/>
      <c r="K245" s="230"/>
      <c r="L245" s="262"/>
      <c r="M245" s="394"/>
      <c r="N245" s="392"/>
      <c r="O245" s="395"/>
      <c r="P245" s="262"/>
    </row>
    <row r="246" spans="2:16">
      <c r="B246" s="231" t="s">
        <v>967</v>
      </c>
      <c r="C246" s="262"/>
      <c r="D246" s="231"/>
      <c r="E246" s="292"/>
      <c r="F246" s="292"/>
      <c r="G246" s="292"/>
      <c r="H246" s="230"/>
      <c r="I246" s="230"/>
      <c r="J246" s="230"/>
      <c r="K246" s="230"/>
      <c r="L246" s="262"/>
      <c r="M246" s="230"/>
      <c r="N246" s="262"/>
      <c r="O246" s="230"/>
      <c r="P246" s="376"/>
    </row>
    <row r="247" spans="2:16">
      <c r="B247" s="292" t="s">
        <v>983</v>
      </c>
      <c r="C247" s="262"/>
      <c r="E247" s="292"/>
      <c r="F247" s="292"/>
      <c r="G247" s="292"/>
      <c r="H247" s="232"/>
      <c r="I247" s="230"/>
      <c r="J247" s="230"/>
      <c r="K247" s="230"/>
      <c r="L247" s="262"/>
      <c r="M247" s="230"/>
      <c r="N247" s="262"/>
      <c r="O247" s="230"/>
      <c r="P247" s="376"/>
    </row>
    <row r="248" spans="2:16" ht="15.75" thickBot="1">
      <c r="B248" s="264" t="s">
        <v>984</v>
      </c>
      <c r="C248" s="262"/>
      <c r="D248" s="231"/>
      <c r="E248" s="262"/>
      <c r="F248" s="262"/>
      <c r="G248" s="262"/>
      <c r="H248" s="230"/>
      <c r="I248" s="230"/>
      <c r="J248" s="230"/>
      <c r="K248" s="230"/>
      <c r="L248" s="262"/>
      <c r="M248" s="230"/>
      <c r="N248" s="262"/>
      <c r="O248" s="230"/>
      <c r="P248" s="376"/>
    </row>
    <row r="249" spans="2:16" ht="15.75">
      <c r="B249" s="1337" t="s">
        <v>1393</v>
      </c>
      <c r="C249" s="376"/>
      <c r="D249" s="376" t="s">
        <v>1544</v>
      </c>
      <c r="E249" s="376"/>
      <c r="F249" s="376"/>
      <c r="G249" s="376"/>
      <c r="H249" s="376"/>
      <c r="I249" s="376"/>
      <c r="J249" s="376"/>
      <c r="K249" s="376"/>
      <c r="L249" s="376"/>
      <c r="M249" s="376"/>
      <c r="N249" s="376"/>
      <c r="O249" s="376"/>
      <c r="P249" s="376"/>
    </row>
    <row r="250" spans="2:16" ht="15.75">
      <c r="B250" s="14" t="s">
        <v>1387</v>
      </c>
      <c r="C250" s="262"/>
      <c r="D250" s="376" t="s">
        <v>1283</v>
      </c>
      <c r="E250" s="376"/>
      <c r="F250" s="376"/>
      <c r="G250" s="376"/>
      <c r="H250" s="376"/>
      <c r="I250" s="376"/>
      <c r="J250" s="376"/>
      <c r="K250" s="376"/>
      <c r="L250" s="376"/>
      <c r="M250" s="376"/>
      <c r="N250" s="376"/>
      <c r="O250" s="376"/>
      <c r="P250" s="376"/>
    </row>
    <row r="251" spans="2:16" ht="15.75">
      <c r="B251" s="14" t="s">
        <v>700</v>
      </c>
      <c r="C251" s="262"/>
      <c r="D251" s="376" t="s">
        <v>504</v>
      </c>
      <c r="E251" s="376"/>
      <c r="F251" s="376"/>
      <c r="G251" s="376"/>
      <c r="H251" s="376"/>
      <c r="I251" s="376"/>
      <c r="J251" s="376"/>
      <c r="K251" s="376"/>
      <c r="L251" s="376"/>
      <c r="M251" s="376"/>
      <c r="N251" s="376"/>
      <c r="O251" s="376"/>
      <c r="P251" s="376"/>
    </row>
    <row r="252" spans="2:16" ht="15.75">
      <c r="B252" s="14"/>
      <c r="C252" s="262"/>
      <c r="D252" s="376" t="s">
        <v>398</v>
      </c>
      <c r="E252" s="376"/>
      <c r="F252" s="376"/>
      <c r="G252" s="376"/>
      <c r="H252" s="376"/>
      <c r="I252" s="376"/>
      <c r="J252" s="376"/>
      <c r="K252" s="376"/>
      <c r="L252" s="376"/>
      <c r="M252" s="376"/>
      <c r="N252" s="376"/>
      <c r="O252" s="376"/>
      <c r="P252" s="376"/>
    </row>
    <row r="253" spans="2:16" ht="15.75">
      <c r="B253" s="17" t="s">
        <v>1771</v>
      </c>
      <c r="C253" s="262"/>
      <c r="D253" s="22" t="s">
        <v>107</v>
      </c>
      <c r="E253" s="376"/>
      <c r="F253" s="376"/>
      <c r="G253" s="376"/>
      <c r="H253" s="376"/>
      <c r="I253" s="376"/>
      <c r="J253" s="376"/>
      <c r="K253" s="376"/>
      <c r="L253" s="376"/>
      <c r="M253" s="376"/>
      <c r="N253" s="376"/>
      <c r="O253" s="376"/>
      <c r="P253" s="376"/>
    </row>
    <row r="254" spans="2:16" ht="17.25" customHeight="1">
      <c r="B254" s="1340" t="s">
        <v>1769</v>
      </c>
      <c r="D254" s="2166" t="s">
        <v>755</v>
      </c>
      <c r="E254" s="2167"/>
      <c r="F254" s="2167"/>
      <c r="G254" s="2167"/>
      <c r="H254" s="2167"/>
      <c r="I254" s="2167"/>
      <c r="J254" s="2167"/>
      <c r="K254" s="2167"/>
      <c r="L254" s="2167"/>
      <c r="M254" s="2167"/>
      <c r="N254" s="372"/>
      <c r="O254" s="376"/>
      <c r="P254" s="376"/>
    </row>
    <row r="255" spans="2:16" ht="18" customHeight="1">
      <c r="B255" s="1338" t="s">
        <v>1770</v>
      </c>
      <c r="C255" s="262"/>
      <c r="D255" s="372" t="s">
        <v>505</v>
      </c>
      <c r="E255" s="229"/>
      <c r="F255" s="229"/>
      <c r="G255" s="229"/>
      <c r="H255" s="229"/>
      <c r="I255" s="229"/>
      <c r="J255" s="229"/>
      <c r="K255" s="229"/>
      <c r="L255" s="229"/>
      <c r="M255" s="229"/>
      <c r="N255" s="376"/>
      <c r="O255" s="376"/>
      <c r="P255" s="376"/>
    </row>
    <row r="256" spans="2:16" ht="15.75">
      <c r="B256" s="14" t="s">
        <v>985</v>
      </c>
      <c r="C256" s="262"/>
      <c r="D256" s="376" t="s">
        <v>1378</v>
      </c>
      <c r="E256" s="376"/>
      <c r="F256" s="376"/>
      <c r="G256" s="376"/>
      <c r="H256" s="376"/>
      <c r="I256" s="376"/>
      <c r="J256" s="376"/>
      <c r="K256" s="376"/>
      <c r="L256" s="376"/>
      <c r="M256" s="376"/>
      <c r="N256" s="376"/>
      <c r="O256" s="376"/>
      <c r="P256" s="376"/>
    </row>
    <row r="257" spans="2:16" ht="15.75">
      <c r="B257" s="14"/>
      <c r="C257" s="262"/>
      <c r="D257" s="376" t="s">
        <v>1622</v>
      </c>
      <c r="E257" s="376"/>
      <c r="F257" s="376"/>
      <c r="G257" s="376"/>
      <c r="H257" s="376"/>
      <c r="I257" s="376"/>
      <c r="J257" s="376"/>
      <c r="K257" s="376"/>
      <c r="L257" s="376"/>
      <c r="M257" s="376"/>
      <c r="N257" s="376"/>
      <c r="O257" s="376"/>
      <c r="P257" s="376"/>
    </row>
    <row r="258" spans="2:16" ht="79.5" customHeight="1">
      <c r="B258" s="1339" t="s">
        <v>986</v>
      </c>
      <c r="C258" s="262"/>
      <c r="D258" s="2168" t="s">
        <v>906</v>
      </c>
      <c r="E258" s="2133"/>
      <c r="F258" s="2133"/>
      <c r="G258" s="2133"/>
      <c r="H258" s="2133"/>
      <c r="I258" s="2133"/>
      <c r="J258" s="2133"/>
      <c r="K258" s="2133"/>
      <c r="L258" s="2133"/>
      <c r="M258" s="2133"/>
      <c r="N258"/>
      <c r="O258"/>
      <c r="P258" s="376"/>
    </row>
    <row r="259" spans="2:16" s="10" customFormat="1" ht="15.75">
      <c r="B259" s="14" t="s">
        <v>49</v>
      </c>
      <c r="C259" s="452"/>
      <c r="D259" s="20" t="s">
        <v>1159</v>
      </c>
      <c r="E259" s="453" t="s">
        <v>1198</v>
      </c>
      <c r="F259" s="772">
        <v>0.35</v>
      </c>
      <c r="G259" s="20" t="s">
        <v>369</v>
      </c>
      <c r="H259" s="20"/>
      <c r="I259" s="20"/>
      <c r="L259" s="20"/>
      <c r="M259" s="20"/>
      <c r="N259" s="20"/>
      <c r="O259" s="20"/>
      <c r="P259" s="20"/>
    </row>
    <row r="260" spans="2:16" s="10" customFormat="1" ht="15.75">
      <c r="B260" s="14"/>
      <c r="C260" s="452"/>
      <c r="D260" s="20"/>
      <c r="E260" s="453" t="s">
        <v>1199</v>
      </c>
      <c r="F260" s="772">
        <v>6.5600000000000006E-2</v>
      </c>
      <c r="G260" s="20" t="s">
        <v>370</v>
      </c>
      <c r="H260" s="20"/>
      <c r="I260" s="20"/>
      <c r="J260" s="22"/>
      <c r="L260" s="20"/>
      <c r="M260" s="20"/>
      <c r="N260" s="20"/>
      <c r="O260" s="20"/>
      <c r="P260" s="20"/>
    </row>
    <row r="261" spans="2:16" s="10" customFormat="1" ht="15.75">
      <c r="B261" s="14"/>
      <c r="C261" s="452"/>
      <c r="D261" s="20"/>
      <c r="E261" s="453" t="s">
        <v>1158</v>
      </c>
      <c r="F261" s="772">
        <v>0.3266</v>
      </c>
      <c r="G261" s="20" t="s">
        <v>410</v>
      </c>
      <c r="H261" s="20"/>
      <c r="I261" s="20"/>
      <c r="J261" s="22"/>
      <c r="L261" s="20"/>
      <c r="M261" s="20"/>
      <c r="N261" s="20"/>
      <c r="O261" s="20"/>
      <c r="P261" s="20"/>
    </row>
    <row r="262" spans="2:16" s="10" customFormat="1" ht="15.75">
      <c r="B262" s="14"/>
      <c r="C262" s="452"/>
      <c r="D262" s="20" t="s">
        <v>907</v>
      </c>
      <c r="E262" s="453"/>
      <c r="F262" s="772"/>
      <c r="G262" s="20"/>
      <c r="H262" s="20"/>
      <c r="I262" s="20"/>
      <c r="J262" s="22"/>
      <c r="K262" s="22"/>
      <c r="L262" s="20"/>
      <c r="M262" s="20"/>
      <c r="N262" s="20"/>
      <c r="O262" s="20"/>
      <c r="P262" s="20"/>
    </row>
    <row r="263" spans="2:16" s="10" customFormat="1" ht="15.75">
      <c r="B263" s="14"/>
      <c r="C263" s="452"/>
      <c r="D263" s="20"/>
      <c r="E263" s="453"/>
      <c r="F263" s="772"/>
      <c r="G263" s="20"/>
      <c r="H263" s="20"/>
      <c r="I263" s="20" t="s">
        <v>1497</v>
      </c>
      <c r="J263" s="1250"/>
      <c r="K263" s="1250" t="s">
        <v>356</v>
      </c>
      <c r="L263" s="20"/>
      <c r="M263" s="20"/>
      <c r="N263" s="20"/>
      <c r="O263" s="20"/>
      <c r="P263" s="20"/>
    </row>
    <row r="264" spans="2:16" s="10" customFormat="1" ht="15.75">
      <c r="B264" s="14"/>
      <c r="C264" s="452"/>
      <c r="D264" s="20"/>
      <c r="E264" s="453"/>
      <c r="F264" s="1696" t="s">
        <v>235</v>
      </c>
      <c r="G264" s="59" t="s">
        <v>1181</v>
      </c>
      <c r="H264" s="59" t="s">
        <v>1193</v>
      </c>
      <c r="I264" s="1697" t="s">
        <v>1498</v>
      </c>
      <c r="J264" s="1250"/>
      <c r="K264" s="1698" t="s">
        <v>357</v>
      </c>
      <c r="L264" s="20"/>
      <c r="M264" s="20"/>
      <c r="N264" s="20"/>
      <c r="O264" s="20"/>
      <c r="P264" s="20"/>
    </row>
    <row r="265" spans="2:16" s="10" customFormat="1" ht="15.75">
      <c r="B265" s="14"/>
      <c r="C265" s="452"/>
      <c r="D265" s="20"/>
      <c r="E265" s="453" t="s">
        <v>709</v>
      </c>
      <c r="F265" s="772">
        <v>0.65320999999999996</v>
      </c>
      <c r="G265" s="772">
        <v>6.25E-2</v>
      </c>
      <c r="H265" s="1699">
        <f>F265*G265</f>
        <v>4.0825624999999997E-2</v>
      </c>
      <c r="I265" s="772">
        <v>0.5</v>
      </c>
      <c r="J265" s="22"/>
      <c r="K265" s="1700">
        <f>F265*I265</f>
        <v>0.32660499999999998</v>
      </c>
      <c r="L265" s="20"/>
      <c r="M265" s="20"/>
      <c r="N265" s="20"/>
      <c r="O265" s="20"/>
      <c r="P265" s="20"/>
    </row>
    <row r="266" spans="2:16" s="10" customFormat="1" ht="15.75">
      <c r="B266" s="14"/>
      <c r="C266" s="452"/>
      <c r="D266" s="20"/>
      <c r="E266" s="453" t="s">
        <v>710</v>
      </c>
      <c r="F266" s="2059">
        <v>0.353578</v>
      </c>
      <c r="G266" s="2059">
        <v>7.0000000000000007E-2</v>
      </c>
      <c r="H266" s="1701">
        <f>F266*G266</f>
        <v>2.4750460000000002E-2</v>
      </c>
      <c r="I266" s="772">
        <v>0</v>
      </c>
      <c r="J266" s="22"/>
      <c r="K266" s="1700">
        <f>F266*I266</f>
        <v>0</v>
      </c>
      <c r="L266" s="20"/>
      <c r="M266" s="20"/>
      <c r="N266" s="20"/>
      <c r="O266" s="20"/>
      <c r="P266" s="20"/>
    </row>
    <row r="267" spans="2:16" s="10" customFormat="1" ht="15.75">
      <c r="B267" s="14"/>
      <c r="C267" s="452"/>
      <c r="D267" s="20"/>
      <c r="E267" s="453" t="s">
        <v>1496</v>
      </c>
      <c r="F267" s="1702">
        <v>0</v>
      </c>
      <c r="G267" s="1702">
        <v>0.01</v>
      </c>
      <c r="H267" s="1703">
        <f>F267*G267</f>
        <v>0</v>
      </c>
      <c r="I267" s="1702">
        <v>0</v>
      </c>
      <c r="J267" s="1704"/>
      <c r="K267" s="1705">
        <f>F267*I267</f>
        <v>0</v>
      </c>
      <c r="L267" s="20"/>
      <c r="M267" s="20"/>
      <c r="N267" s="20"/>
      <c r="O267" s="20"/>
      <c r="P267" s="20"/>
    </row>
    <row r="268" spans="2:16" s="10" customFormat="1" ht="16.5" thickBot="1">
      <c r="B268" s="14"/>
      <c r="C268" s="452"/>
      <c r="D268" s="20"/>
      <c r="E268" s="2169" t="s">
        <v>1194</v>
      </c>
      <c r="F268" s="2169"/>
      <c r="G268" s="2169"/>
      <c r="H268" s="1706">
        <f>SUM(H265:H266)</f>
        <v>6.5576085000000006E-2</v>
      </c>
      <c r="I268" s="20"/>
      <c r="J268" s="22"/>
      <c r="K268" s="22"/>
      <c r="L268" s="20"/>
      <c r="M268" s="20"/>
      <c r="N268" s="20"/>
      <c r="O268" s="20"/>
      <c r="P268" s="20"/>
    </row>
    <row r="269" spans="2:16" s="10" customFormat="1" ht="16.5" thickBot="1">
      <c r="B269" s="14"/>
      <c r="C269" s="452"/>
      <c r="D269" s="20"/>
      <c r="E269" s="2170" t="s">
        <v>1499</v>
      </c>
      <c r="F269" s="2170"/>
      <c r="G269" s="2170"/>
      <c r="H269" s="2170"/>
      <c r="I269" s="1689"/>
      <c r="J269" s="1645"/>
      <c r="K269" s="1707">
        <f>SUM(K265:K268)</f>
        <v>0.32660499999999998</v>
      </c>
      <c r="L269" s="20"/>
      <c r="M269" s="20"/>
      <c r="N269" s="20"/>
      <c r="O269" s="20"/>
      <c r="P269" s="20"/>
    </row>
    <row r="270" spans="2:16" s="10" customFormat="1" ht="15.75">
      <c r="B270" s="14" t="s">
        <v>987</v>
      </c>
      <c r="C270" s="452"/>
      <c r="D270" s="20" t="s">
        <v>0</v>
      </c>
      <c r="E270" s="453"/>
      <c r="F270" s="772"/>
      <c r="G270" s="20"/>
      <c r="H270" s="20"/>
      <c r="I270" s="20"/>
      <c r="J270" s="22"/>
      <c r="K270" s="22"/>
      <c r="L270" s="20"/>
      <c r="M270" s="20"/>
      <c r="N270" s="20"/>
      <c r="O270" s="20"/>
      <c r="P270" s="20"/>
    </row>
    <row r="271" spans="2:16" s="10" customFormat="1" ht="15.75">
      <c r="B271" s="17" t="s">
        <v>988</v>
      </c>
      <c r="C271" s="452"/>
      <c r="D271" s="455" t="s">
        <v>368</v>
      </c>
      <c r="E271" s="20"/>
      <c r="F271" s="20"/>
      <c r="G271" s="20"/>
      <c r="H271" s="20"/>
      <c r="I271" s="20"/>
      <c r="J271" s="20"/>
      <c r="K271" s="20"/>
      <c r="L271" s="20"/>
      <c r="M271" s="20"/>
      <c r="N271" s="20"/>
      <c r="O271" s="20"/>
      <c r="P271" s="20"/>
    </row>
    <row r="272" spans="2:16" s="10" customFormat="1" ht="33" customHeight="1">
      <c r="B272" s="62" t="s">
        <v>1379</v>
      </c>
      <c r="C272" s="20"/>
      <c r="D272" s="2166" t="s">
        <v>367</v>
      </c>
      <c r="E272" s="2133"/>
      <c r="F272" s="2133"/>
      <c r="G272" s="2133"/>
      <c r="H272" s="2133"/>
      <c r="I272" s="2133"/>
      <c r="J272" s="2133"/>
      <c r="K272" s="2133"/>
      <c r="L272" s="2133"/>
      <c r="M272" s="2133"/>
      <c r="N272" s="20"/>
      <c r="O272" s="20"/>
      <c r="P272" s="20"/>
    </row>
    <row r="273" spans="1:16" s="10" customFormat="1" ht="15.75">
      <c r="B273" s="62" t="s">
        <v>1380</v>
      </c>
      <c r="C273" s="20"/>
      <c r="D273" s="376" t="s">
        <v>1544</v>
      </c>
      <c r="E273" s="20"/>
      <c r="F273" s="20"/>
      <c r="G273" s="20"/>
      <c r="H273" s="20"/>
      <c r="I273" s="20"/>
      <c r="J273" s="20"/>
      <c r="K273" s="20"/>
      <c r="L273" s="20"/>
      <c r="M273" s="20"/>
      <c r="N273" s="20"/>
      <c r="O273" s="20"/>
      <c r="P273" s="20"/>
    </row>
    <row r="274" spans="1:16" s="10" customFormat="1" ht="32.25" customHeight="1">
      <c r="B274" s="1710" t="s">
        <v>1381</v>
      </c>
      <c r="C274" s="20"/>
      <c r="D274" s="2166" t="s">
        <v>833</v>
      </c>
      <c r="E274" s="2166"/>
      <c r="F274" s="2166"/>
      <c r="G274" s="2166"/>
      <c r="H274" s="2166"/>
      <c r="I274" s="2166"/>
      <c r="J274" s="2166"/>
      <c r="K274" s="2166"/>
      <c r="L274" s="2166"/>
      <c r="M274" s="2166"/>
      <c r="N274" s="1414"/>
      <c r="O274" s="1414"/>
      <c r="P274" s="20"/>
    </row>
    <row r="275" spans="1:16" s="10" customFormat="1" ht="31.5" customHeight="1">
      <c r="B275" s="1710" t="s">
        <v>1382</v>
      </c>
      <c r="C275" s="20"/>
      <c r="D275" s="2168" t="s">
        <v>422</v>
      </c>
      <c r="E275" s="2133"/>
      <c r="F275" s="2133"/>
      <c r="G275" s="2133"/>
      <c r="H275" s="2133"/>
      <c r="I275" s="2133"/>
      <c r="J275" s="2133"/>
      <c r="K275" s="2133"/>
      <c r="L275" s="2133"/>
      <c r="M275" s="2133"/>
      <c r="N275"/>
      <c r="O275"/>
      <c r="P275" s="20"/>
    </row>
    <row r="276" spans="1:16" s="10" customFormat="1" ht="30" customHeight="1">
      <c r="A276" s="22"/>
      <c r="B276" s="1711" t="s">
        <v>699</v>
      </c>
      <c r="C276" s="22"/>
      <c r="D276" s="2173" t="s">
        <v>1</v>
      </c>
      <c r="E276" s="2133"/>
      <c r="F276" s="2133"/>
      <c r="G276" s="2133"/>
      <c r="H276" s="2133"/>
      <c r="I276" s="2133"/>
      <c r="J276" s="2133"/>
      <c r="K276" s="2133"/>
      <c r="L276" s="2133"/>
      <c r="M276" s="2133"/>
      <c r="N276" s="143"/>
      <c r="O276" s="143"/>
      <c r="P276" s="1"/>
    </row>
    <row r="277" spans="1:16" s="10" customFormat="1" ht="15.75">
      <c r="B277" s="62" t="s">
        <v>1032</v>
      </c>
      <c r="C277" s="20"/>
      <c r="D277" s="20" t="s">
        <v>932</v>
      </c>
      <c r="E277" s="20"/>
      <c r="F277" s="20"/>
      <c r="G277" s="20"/>
      <c r="H277" s="20"/>
      <c r="I277" s="20"/>
      <c r="J277" s="20"/>
      <c r="K277" s="22"/>
      <c r="L277" s="20"/>
      <c r="M277" s="20"/>
      <c r="N277" s="20"/>
      <c r="O277" s="20"/>
      <c r="P277" s="1"/>
    </row>
    <row r="278" spans="1:16" s="10" customFormat="1" ht="15.75">
      <c r="B278" s="62" t="s">
        <v>1017</v>
      </c>
      <c r="C278" s="20"/>
      <c r="D278" s="47" t="s">
        <v>56</v>
      </c>
      <c r="E278" s="20"/>
      <c r="F278" s="20"/>
      <c r="G278" s="20"/>
      <c r="H278" s="20"/>
      <c r="I278" s="20"/>
      <c r="J278" s="20"/>
      <c r="K278" s="20"/>
      <c r="L278" s="20"/>
      <c r="M278" s="20"/>
      <c r="N278" s="20"/>
      <c r="O278" s="20"/>
    </row>
    <row r="279" spans="1:16" s="10" customFormat="1" ht="31.5" customHeight="1">
      <c r="B279" s="62" t="s">
        <v>837</v>
      </c>
      <c r="C279" s="22"/>
      <c r="D279" s="2174" t="s">
        <v>1687</v>
      </c>
      <c r="E279" s="2133"/>
      <c r="F279" s="2133"/>
      <c r="G279" s="2133"/>
      <c r="H279" s="2133"/>
      <c r="I279" s="2133"/>
      <c r="J279" s="2133"/>
      <c r="K279" s="2133"/>
      <c r="L279" s="2133"/>
      <c r="M279" s="2133"/>
      <c r="N279" s="22"/>
      <c r="O279" s="22"/>
    </row>
    <row r="280" spans="1:16" ht="15.75">
      <c r="B280" s="46"/>
      <c r="C280" s="229"/>
      <c r="D280" s="402" t="s">
        <v>399</v>
      </c>
      <c r="E280" s="229"/>
      <c r="F280" s="1712">
        <v>8598615</v>
      </c>
      <c r="G280" s="564"/>
      <c r="H280" s="229"/>
      <c r="I280" s="46"/>
      <c r="J280" s="229"/>
      <c r="K280" s="229"/>
      <c r="L280" s="229"/>
      <c r="M280" s="229"/>
      <c r="N280" s="229"/>
      <c r="O280" s="229"/>
    </row>
    <row r="281" spans="1:16" ht="15.75">
      <c r="B281" s="62" t="s">
        <v>1642</v>
      </c>
      <c r="C281" s="22"/>
      <c r="D281" s="1713" t="s">
        <v>1009</v>
      </c>
      <c r="E281" s="58"/>
      <c r="F281" s="1712"/>
      <c r="G281" s="564"/>
      <c r="H281" s="229"/>
      <c r="I281" s="46"/>
      <c r="J281" s="229"/>
      <c r="K281" s="229"/>
      <c r="L281" s="229"/>
      <c r="M281" s="229"/>
      <c r="N281" s="229"/>
      <c r="O281" s="229"/>
    </row>
    <row r="282" spans="1:16" ht="15.75">
      <c r="B282" s="62" t="s">
        <v>1142</v>
      </c>
      <c r="C282" s="22"/>
      <c r="D282" s="58" t="s">
        <v>908</v>
      </c>
      <c r="E282" s="66"/>
      <c r="F282" s="66"/>
      <c r="G282" s="66"/>
      <c r="H282" s="66"/>
      <c r="I282" s="66"/>
      <c r="J282" s="229"/>
      <c r="K282" s="229"/>
      <c r="L282" s="229"/>
      <c r="M282" s="229"/>
      <c r="N282" s="229"/>
      <c r="O282" s="229"/>
    </row>
    <row r="283" spans="1:16" ht="22.5" customHeight="1">
      <c r="B283" s="62" t="s">
        <v>1702</v>
      </c>
      <c r="C283" s="229"/>
      <c r="D283" s="376" t="s">
        <v>1544</v>
      </c>
      <c r="E283" s="229"/>
      <c r="F283" s="229"/>
      <c r="G283" s="229"/>
      <c r="H283" s="229"/>
      <c r="I283" s="229"/>
      <c r="J283" s="229"/>
      <c r="K283" s="229"/>
      <c r="L283" s="229"/>
      <c r="M283" s="229"/>
    </row>
    <row r="284" spans="1:16">
      <c r="B284" s="307" t="s">
        <v>50</v>
      </c>
      <c r="C284" s="22"/>
      <c r="D284" s="2171" t="s">
        <v>1233</v>
      </c>
      <c r="E284" s="2171"/>
      <c r="F284" s="2171"/>
      <c r="G284" s="2171"/>
      <c r="H284" s="2171"/>
      <c r="I284" s="2171"/>
      <c r="J284" s="2171"/>
      <c r="K284" s="2171"/>
      <c r="L284" s="337"/>
      <c r="M284" s="337"/>
      <c r="N284" s="425"/>
    </row>
    <row r="285" spans="1:16" ht="15.75" thickBot="1">
      <c r="B285" s="582" t="s">
        <v>51</v>
      </c>
      <c r="C285" s="1645"/>
      <c r="D285" s="1714" t="s">
        <v>1234</v>
      </c>
      <c r="E285" s="2172" t="s">
        <v>1633</v>
      </c>
      <c r="F285" s="2172"/>
      <c r="G285" s="2172"/>
      <c r="H285" s="2172" t="s">
        <v>1235</v>
      </c>
      <c r="I285" s="2172"/>
      <c r="J285" s="2172"/>
      <c r="K285" s="2172"/>
      <c r="L285" s="337"/>
      <c r="M285" s="337"/>
      <c r="N285" s="425"/>
    </row>
    <row r="286" spans="1:16" ht="15.75">
      <c r="B286" s="22"/>
      <c r="C286" s="22"/>
      <c r="D286" s="93"/>
      <c r="E286" s="93"/>
      <c r="F286" s="66"/>
      <c r="G286" s="66"/>
      <c r="H286" s="66"/>
      <c r="I286" s="66"/>
      <c r="J286" s="22"/>
      <c r="K286" s="22"/>
      <c r="L286" s="337"/>
      <c r="M286" s="337"/>
      <c r="N286" s="425"/>
    </row>
    <row r="287" spans="1:16" ht="15.75">
      <c r="B287" s="59">
        <v>1</v>
      </c>
      <c r="C287" s="22"/>
      <c r="D287" s="62" t="s">
        <v>55</v>
      </c>
      <c r="E287" s="20" t="s">
        <v>1112</v>
      </c>
      <c r="F287" s="22"/>
      <c r="G287" s="22"/>
      <c r="H287" s="229"/>
      <c r="I287" s="66" t="s">
        <v>1661</v>
      </c>
      <c r="J287" s="22"/>
      <c r="K287" s="22"/>
      <c r="L287" s="229"/>
      <c r="M287" s="229"/>
    </row>
    <row r="288" spans="1:16" ht="15.75">
      <c r="B288" s="59">
        <f>B287+1</f>
        <v>2</v>
      </c>
      <c r="C288" s="22"/>
      <c r="D288" s="62" t="s">
        <v>1425</v>
      </c>
      <c r="E288" s="66" t="s">
        <v>1236</v>
      </c>
      <c r="F288" s="66"/>
      <c r="G288" s="22"/>
      <c r="H288" s="229"/>
      <c r="I288" s="66" t="s">
        <v>382</v>
      </c>
      <c r="J288" s="22"/>
      <c r="K288" s="22"/>
      <c r="L288" s="229"/>
      <c r="M288" s="229"/>
    </row>
    <row r="289" spans="2:13" ht="15.75">
      <c r="B289" s="59">
        <f>B288+1</f>
        <v>3</v>
      </c>
      <c r="C289" s="22"/>
      <c r="D289" s="62" t="s">
        <v>1385</v>
      </c>
      <c r="E289" s="22" t="s">
        <v>1237</v>
      </c>
      <c r="F289" s="22"/>
      <c r="G289" s="22"/>
      <c r="H289" s="229"/>
      <c r="I289" s="22" t="s">
        <v>1722</v>
      </c>
      <c r="J289" s="22"/>
      <c r="K289" s="22"/>
      <c r="L289" s="229"/>
      <c r="M289" s="229"/>
    </row>
    <row r="290" spans="2:13" ht="15.75">
      <c r="B290" s="59">
        <f>B289+1</f>
        <v>4</v>
      </c>
      <c r="C290" s="22"/>
      <c r="D290" s="62" t="s">
        <v>476</v>
      </c>
      <c r="E290" s="22" t="s">
        <v>1657</v>
      </c>
      <c r="F290" s="22"/>
      <c r="G290" s="22"/>
      <c r="H290" s="229"/>
      <c r="I290" s="66" t="s">
        <v>1101</v>
      </c>
      <c r="J290" s="22"/>
      <c r="K290" s="22"/>
      <c r="L290" s="229"/>
      <c r="M290" s="229"/>
    </row>
    <row r="291" spans="2:13" ht="15.75">
      <c r="B291" s="59">
        <f>B290+1</f>
        <v>5</v>
      </c>
      <c r="C291" s="22"/>
      <c r="D291" s="62" t="s">
        <v>457</v>
      </c>
      <c r="E291" s="22" t="s">
        <v>737</v>
      </c>
      <c r="F291" s="22"/>
      <c r="G291" s="22"/>
      <c r="H291" s="229"/>
      <c r="I291" s="22" t="s">
        <v>500</v>
      </c>
      <c r="J291" s="22"/>
      <c r="K291" s="22"/>
      <c r="L291" s="229"/>
      <c r="M291" s="229"/>
    </row>
    <row r="292" spans="2:13" ht="15.75">
      <c r="B292" s="59">
        <f>B291+1</f>
        <v>6</v>
      </c>
      <c r="C292" s="22"/>
      <c r="D292" s="62" t="s">
        <v>738</v>
      </c>
      <c r="E292" s="22" t="s">
        <v>1658</v>
      </c>
      <c r="F292" s="22"/>
      <c r="G292" s="22"/>
      <c r="H292" s="229"/>
      <c r="I292" s="66" t="s">
        <v>1102</v>
      </c>
      <c r="J292" s="22"/>
      <c r="K292" s="22"/>
      <c r="L292" s="229"/>
      <c r="M292" s="229"/>
    </row>
  </sheetData>
  <customSheetViews>
    <customSheetView guid="{FAA8FFD9-C96B-4A1B-8B9E-B863FD90DDBA}" scale="75" showRuler="0" topLeftCell="A223">
      <rowBreaks count="4" manualBreakCount="4">
        <brk id="60" max="16383" man="1"/>
        <brk id="128" max="16383" man="1"/>
        <brk id="183" max="16383" man="1"/>
        <brk id="252" max="16383" man="1"/>
      </rowBreaks>
      <pageMargins left="0.32" right="0.21" top="0.59" bottom="0.28000000000000003" header="0.36" footer="0.31"/>
      <printOptions gridLines="1"/>
      <pageSetup scale="48" fitToHeight="26" orientation="landscape" r:id="rId1"/>
      <headerFooter alignWithMargins="0"/>
    </customSheetView>
  </customSheetViews>
  <mergeCells count="44">
    <mergeCell ref="E268:G268"/>
    <mergeCell ref="E269:H269"/>
    <mergeCell ref="D284:K284"/>
    <mergeCell ref="E285:G285"/>
    <mergeCell ref="H285:K285"/>
    <mergeCell ref="D272:M272"/>
    <mergeCell ref="D274:M274"/>
    <mergeCell ref="D275:M275"/>
    <mergeCell ref="D276:M276"/>
    <mergeCell ref="D279:M279"/>
    <mergeCell ref="D254:M254"/>
    <mergeCell ref="D258:M258"/>
    <mergeCell ref="E177:I177"/>
    <mergeCell ref="E179:I179"/>
    <mergeCell ref="E244:I244"/>
    <mergeCell ref="E243:I243"/>
    <mergeCell ref="E180:I180"/>
    <mergeCell ref="E182:I182"/>
    <mergeCell ref="E238:I238"/>
    <mergeCell ref="E239:I239"/>
    <mergeCell ref="E241:I241"/>
    <mergeCell ref="E240:I240"/>
    <mergeCell ref="E1:I1"/>
    <mergeCell ref="E2:I2"/>
    <mergeCell ref="E4:I4"/>
    <mergeCell ref="E64:I64"/>
    <mergeCell ref="E6:I6"/>
    <mergeCell ref="E61:I61"/>
    <mergeCell ref="E62:I62"/>
    <mergeCell ref="E7:I7"/>
    <mergeCell ref="E3:I3"/>
    <mergeCell ref="E63:I63"/>
    <mergeCell ref="E133:I133"/>
    <mergeCell ref="E129:I129"/>
    <mergeCell ref="E176:I176"/>
    <mergeCell ref="E174:I174"/>
    <mergeCell ref="E175:I175"/>
    <mergeCell ref="E135:I135"/>
    <mergeCell ref="E66:I66"/>
    <mergeCell ref="E67:I67"/>
    <mergeCell ref="E127:I127"/>
    <mergeCell ref="E132:I132"/>
    <mergeCell ref="E130:I130"/>
    <mergeCell ref="E128:I128"/>
  </mergeCells>
  <phoneticPr fontId="0" type="noConversion"/>
  <printOptions horizontalCentered="1" gridLines="1"/>
  <pageMargins left="0.5" right="0.5" top="0.5" bottom="0.35" header="0" footer="0"/>
  <pageSetup scale="55" fitToHeight="26" orientation="landscape" r:id="rId2"/>
  <headerFooter alignWithMargins="0"/>
  <rowBreaks count="4" manualBreakCount="4">
    <brk id="60" max="16383" man="1"/>
    <brk id="124" min="1" max="13" man="1"/>
    <brk id="173" max="16383" man="1"/>
    <brk id="237" min="1"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pageSetUpPr fitToPage="1"/>
  </sheetPr>
  <dimension ref="A1:T962"/>
  <sheetViews>
    <sheetView view="pageBreakPreview" zoomScale="75" zoomScaleNormal="75" zoomScaleSheetLayoutView="75" workbookViewId="0">
      <selection activeCell="B56" sqref="B56"/>
    </sheetView>
  </sheetViews>
  <sheetFormatPr defaultRowHeight="15"/>
  <cols>
    <col min="1" max="1" width="2.5546875" style="551" customWidth="1"/>
    <col min="2" max="2" width="4.5546875" style="556" bestFit="1" customWidth="1"/>
    <col min="3" max="3" width="1.5546875" style="551" customWidth="1"/>
    <col min="4" max="4" width="47.5546875" style="551" customWidth="1"/>
    <col min="5" max="5" width="20" style="551" customWidth="1"/>
    <col min="6" max="6" width="2" style="551" customWidth="1"/>
    <col min="7" max="7" width="7" style="551" customWidth="1"/>
    <col min="8" max="8" width="2.21875" style="551" customWidth="1"/>
    <col min="9" max="9" width="13.5546875" style="551" customWidth="1"/>
    <col min="10" max="10" width="4.109375" style="551" bestFit="1" customWidth="1"/>
    <col min="11" max="13" width="8.88671875" style="551" customWidth="1"/>
    <col min="14" max="14" width="12.109375" style="551" customWidth="1"/>
    <col min="15" max="16384" width="8.88671875" style="551"/>
  </cols>
  <sheetData>
    <row r="1" spans="1:10" ht="15.75">
      <c r="I1" s="1098"/>
    </row>
    <row r="2" spans="1:10" ht="15.75">
      <c r="I2" s="1952" t="s">
        <v>157</v>
      </c>
    </row>
    <row r="3" spans="1:10" ht="18">
      <c r="A3" s="485"/>
      <c r="B3" s="485"/>
      <c r="C3" s="485"/>
      <c r="D3" s="2151" t="s">
        <v>469</v>
      </c>
      <c r="E3" s="2152"/>
      <c r="F3" s="2152"/>
      <c r="G3" s="2152"/>
      <c r="H3" s="2152"/>
      <c r="I3" s="801"/>
      <c r="J3" s="802"/>
    </row>
    <row r="4" spans="1:10" ht="18">
      <c r="B4" s="803"/>
      <c r="C4" s="804"/>
      <c r="D4" s="2151" t="s">
        <v>1457</v>
      </c>
      <c r="E4" s="2152"/>
      <c r="F4" s="2152"/>
      <c r="G4" s="2152"/>
      <c r="H4" s="2152"/>
      <c r="I4" s="801" t="s">
        <v>1119</v>
      </c>
    </row>
    <row r="5" spans="1:10" ht="18">
      <c r="B5" s="803"/>
      <c r="C5" s="804"/>
      <c r="D5" s="2151" t="s">
        <v>142</v>
      </c>
      <c r="E5" s="2151"/>
      <c r="F5" s="2151"/>
      <c r="G5" s="2151"/>
      <c r="H5" s="2151"/>
    </row>
    <row r="6" spans="1:10" ht="18">
      <c r="B6" s="803"/>
      <c r="C6" s="804"/>
      <c r="D6" s="2140" t="s">
        <v>1824</v>
      </c>
      <c r="E6" s="2142"/>
      <c r="F6" s="2142"/>
      <c r="G6" s="2142"/>
      <c r="H6" s="2142"/>
    </row>
    <row r="7" spans="1:10" ht="18">
      <c r="B7" s="803"/>
      <c r="C7" s="804"/>
      <c r="D7" s="2149"/>
      <c r="E7" s="2150"/>
      <c r="F7" s="2150"/>
      <c r="G7" s="2150"/>
      <c r="H7" s="2150"/>
      <c r="I7" s="805"/>
    </row>
    <row r="8" spans="1:10" ht="18">
      <c r="B8" s="552"/>
      <c r="C8" s="806"/>
      <c r="D8" s="2147" t="s">
        <v>71</v>
      </c>
      <c r="E8" s="2148"/>
      <c r="F8" s="2148"/>
      <c r="G8" s="2148"/>
      <c r="H8" s="2148"/>
      <c r="I8" s="805"/>
    </row>
    <row r="9" spans="1:10" ht="18">
      <c r="B9" s="552"/>
      <c r="C9" s="806"/>
      <c r="D9" s="2147" t="s">
        <v>68</v>
      </c>
      <c r="E9" s="2148"/>
      <c r="F9" s="2148"/>
      <c r="G9" s="2148"/>
      <c r="H9" s="2148"/>
    </row>
    <row r="10" spans="1:10" ht="18">
      <c r="B10" s="552"/>
      <c r="C10" s="806"/>
      <c r="D10" s="800"/>
      <c r="E10" s="278"/>
      <c r="F10" s="278"/>
      <c r="G10" s="278"/>
      <c r="H10" s="278"/>
    </row>
    <row r="11" spans="1:10" ht="15.75">
      <c r="B11" s="552"/>
      <c r="C11" s="806"/>
      <c r="D11" s="63" t="s">
        <v>916</v>
      </c>
      <c r="E11" s="63" t="s">
        <v>917</v>
      </c>
      <c r="G11" s="64" t="s">
        <v>924</v>
      </c>
      <c r="H11" s="807"/>
      <c r="I11" s="64" t="s">
        <v>925</v>
      </c>
    </row>
    <row r="12" spans="1:10" ht="15.75">
      <c r="B12" s="552" t="s">
        <v>50</v>
      </c>
      <c r="C12" s="806"/>
      <c r="D12" s="805"/>
      <c r="E12" s="12"/>
      <c r="F12" s="805"/>
      <c r="G12" s="553"/>
      <c r="H12" s="807"/>
      <c r="I12" s="807"/>
    </row>
    <row r="13" spans="1:10" ht="16.5" thickBot="1">
      <c r="B13" s="808" t="s">
        <v>51</v>
      </c>
      <c r="C13" s="1036"/>
      <c r="D13" s="1037"/>
      <c r="E13" s="159" t="s">
        <v>1053</v>
      </c>
      <c r="F13" s="1037"/>
      <c r="G13" s="1038"/>
      <c r="H13" s="1039"/>
      <c r="I13" s="1038" t="s">
        <v>52</v>
      </c>
    </row>
    <row r="14" spans="1:10">
      <c r="B14" s="1715"/>
      <c r="C14" s="1716"/>
      <c r="D14" s="817"/>
      <c r="E14" s="814"/>
      <c r="F14" s="817"/>
      <c r="G14" s="814"/>
      <c r="H14" s="817"/>
      <c r="I14" s="814"/>
    </row>
    <row r="15" spans="1:10">
      <c r="B15" s="1715"/>
      <c r="C15" s="1716"/>
      <c r="D15" s="817"/>
      <c r="E15" s="1716"/>
      <c r="F15" s="817"/>
      <c r="G15" s="814"/>
      <c r="H15" s="817"/>
      <c r="I15" s="814"/>
    </row>
    <row r="16" spans="1:10" ht="15.75">
      <c r="A16" s="553" t="s">
        <v>397</v>
      </c>
      <c r="B16" s="1649" t="s">
        <v>127</v>
      </c>
      <c r="C16" s="1716"/>
      <c r="D16" s="817"/>
      <c r="E16" s="21"/>
      <c r="F16" s="817"/>
      <c r="G16" s="1071"/>
      <c r="H16" s="817"/>
      <c r="I16" s="814"/>
    </row>
    <row r="17" spans="1:14">
      <c r="B17" s="555">
        <v>1</v>
      </c>
      <c r="C17" s="1717"/>
      <c r="D17" s="21" t="s">
        <v>128</v>
      </c>
      <c r="E17" s="1420" t="str">
        <f>"(Act. Gross Rev Req, p.2,ln "&amp;'Actual Gross Rev Req'!B76&amp;")"</f>
        <v>(Act. Gross Rev Req, p.2,ln 2)</v>
      </c>
      <c r="F17" s="1653"/>
      <c r="G17" s="937"/>
      <c r="H17" s="1072"/>
      <c r="I17" s="937">
        <f>'Actual Gross Rev Req'!$F$76</f>
        <v>6810279</v>
      </c>
    </row>
    <row r="18" spans="1:14">
      <c r="B18" s="555">
        <f>+B17+1</f>
        <v>2</v>
      </c>
      <c r="C18" s="1717"/>
      <c r="D18" s="21" t="s">
        <v>1369</v>
      </c>
      <c r="E18" s="814"/>
      <c r="F18" s="1653"/>
      <c r="G18" s="605"/>
      <c r="H18" s="1718"/>
      <c r="I18" s="605">
        <v>4779857</v>
      </c>
    </row>
    <row r="19" spans="1:14">
      <c r="B19" s="555">
        <f>B18+1</f>
        <v>3</v>
      </c>
      <c r="C19" s="1717"/>
      <c r="D19" s="21" t="s">
        <v>1445</v>
      </c>
      <c r="E19" s="21" t="s">
        <v>1446</v>
      </c>
      <c r="F19" s="1653"/>
      <c r="G19" s="605"/>
      <c r="H19" s="1718"/>
      <c r="I19" s="605">
        <v>72482</v>
      </c>
      <c r="N19" s="1070"/>
    </row>
    <row r="20" spans="1:14" ht="15.75" thickBot="1">
      <c r="B20" s="555">
        <f>B19+1</f>
        <v>4</v>
      </c>
      <c r="C20" s="1717"/>
      <c r="D20" s="21" t="s">
        <v>909</v>
      </c>
      <c r="E20" s="21" t="s">
        <v>964</v>
      </c>
      <c r="F20" s="1653"/>
      <c r="G20" s="605"/>
      <c r="H20" s="1718"/>
      <c r="I20" s="2060">
        <v>1253094</v>
      </c>
      <c r="N20" s="1070"/>
    </row>
    <row r="21" spans="1:14">
      <c r="B21" s="555">
        <f>+B20+1</f>
        <v>5</v>
      </c>
      <c r="C21" s="1717"/>
      <c r="D21" s="21" t="s">
        <v>54</v>
      </c>
      <c r="E21" s="1420" t="str">
        <f>"(Line "&amp;B17&amp;" Less Line "&amp;B18&amp;" thru Line "&amp;B20&amp;")"</f>
        <v>(Line 1 Less Line 2 thru Line 4)</v>
      </c>
      <c r="F21" s="1653"/>
      <c r="G21" s="937"/>
      <c r="H21" s="1072"/>
      <c r="I21" s="937">
        <f>I17-(SUM(I18:I20))</f>
        <v>704846</v>
      </c>
      <c r="L21" s="1300"/>
      <c r="N21" s="1070"/>
    </row>
    <row r="22" spans="1:14">
      <c r="B22" s="814"/>
      <c r="C22" s="1717"/>
      <c r="D22" s="21"/>
      <c r="E22" s="1420"/>
      <c r="F22" s="1653"/>
      <c r="G22" s="937"/>
      <c r="H22" s="1072"/>
      <c r="I22" s="937"/>
      <c r="N22" s="1070"/>
    </row>
    <row r="23" spans="1:14">
      <c r="B23" s="555">
        <f>+B21+1</f>
        <v>6</v>
      </c>
      <c r="C23" s="1717"/>
      <c r="D23" s="21" t="s">
        <v>1047</v>
      </c>
      <c r="E23" s="1420" t="str">
        <f>"(Wksht A-1, Page 1, Line "&amp;'A-1 (Act. Rev Credit) '!A29&amp;")"</f>
        <v>(Wksht A-1, Page 1, Line 26)</v>
      </c>
      <c r="F23" s="1653"/>
      <c r="G23" s="831"/>
      <c r="H23" s="1719"/>
      <c r="I23" s="938">
        <f>'A-1 (Act. Rev Credit) '!K29</f>
        <v>138809</v>
      </c>
      <c r="N23" s="1070"/>
    </row>
    <row r="24" spans="1:14">
      <c r="B24" s="555"/>
      <c r="C24" s="1717"/>
      <c r="D24" s="21"/>
      <c r="E24" s="1717"/>
      <c r="F24" s="1653"/>
      <c r="G24" s="937"/>
      <c r="H24" s="1072"/>
      <c r="I24" s="937"/>
      <c r="N24" s="1070"/>
    </row>
    <row r="25" spans="1:14" ht="15.75" thickBot="1">
      <c r="B25" s="555">
        <f>+B23+1</f>
        <v>7</v>
      </c>
      <c r="C25" s="1717"/>
      <c r="D25" s="1652" t="s">
        <v>1048</v>
      </c>
      <c r="E25" s="1020" t="str">
        <f>"(Line "&amp;B21&amp;" - Line "&amp;B23&amp;")"</f>
        <v>(Line 5 - Line 6)</v>
      </c>
      <c r="F25" s="941"/>
      <c r="G25" s="1063"/>
      <c r="H25" s="941"/>
      <c r="I25" s="1720">
        <f>I21-I23</f>
        <v>566037</v>
      </c>
      <c r="N25" s="1070"/>
    </row>
    <row r="26" spans="1:14" ht="15.75" thickTop="1">
      <c r="B26" s="819"/>
      <c r="C26" s="814"/>
      <c r="D26" s="814"/>
      <c r="E26" s="814"/>
      <c r="F26" s="814"/>
      <c r="G26" s="1069"/>
      <c r="H26" s="814"/>
      <c r="I26" s="814"/>
      <c r="N26" s="1070"/>
    </row>
    <row r="27" spans="1:14" ht="15.75">
      <c r="A27" s="553" t="s">
        <v>226</v>
      </c>
      <c r="B27" s="1649" t="s">
        <v>946</v>
      </c>
      <c r="C27" s="1716"/>
      <c r="D27" s="817"/>
      <c r="E27" s="1420"/>
      <c r="F27" s="817"/>
      <c r="G27" s="814"/>
      <c r="H27" s="817"/>
      <c r="I27" s="814"/>
      <c r="N27" s="1070"/>
    </row>
    <row r="28" spans="1:14" ht="15.75">
      <c r="B28" s="555">
        <f>B25+1</f>
        <v>8</v>
      </c>
      <c r="C28" s="1717"/>
      <c r="D28" s="21" t="s">
        <v>69</v>
      </c>
      <c r="E28" s="1420" t="str">
        <f>"(Wksht A-2, Line "&amp;'A-2 (Act. Divisor) '!A24&amp;")"</f>
        <v>(Wksht A-2, Line 14)</v>
      </c>
      <c r="F28" s="1653"/>
      <c r="G28" s="814"/>
      <c r="H28" s="814"/>
      <c r="I28" s="1654">
        <f>'A-2 (Act. Divisor) '!M24</f>
        <v>2859.0833333333335</v>
      </c>
      <c r="J28" s="805" t="s">
        <v>1530</v>
      </c>
      <c r="K28" s="813"/>
      <c r="N28" s="1070"/>
    </row>
    <row r="29" spans="1:14">
      <c r="B29" s="555"/>
      <c r="C29" s="1717"/>
      <c r="D29" s="21"/>
      <c r="E29" s="817"/>
      <c r="F29" s="1653"/>
      <c r="G29" s="1721"/>
      <c r="H29" s="817"/>
      <c r="I29" s="1655"/>
      <c r="N29" s="1070"/>
    </row>
    <row r="30" spans="1:14">
      <c r="A30" s="814"/>
      <c r="B30" s="555">
        <f>+B28+1</f>
        <v>9</v>
      </c>
      <c r="C30" s="47"/>
      <c r="D30" s="21" t="str">
        <f>"Annual Point-to-Point Rate in $/MW - Year"</f>
        <v>Annual Point-to-Point Rate in $/MW - Year</v>
      </c>
      <c r="E30" s="47" t="str">
        <f>"(Line "&amp;B25&amp;" / Line "&amp;B28&amp;")"</f>
        <v>(Line 7 / Line 8)</v>
      </c>
      <c r="F30" s="47"/>
      <c r="G30" s="814"/>
      <c r="H30" s="47"/>
      <c r="I30" s="1650">
        <f>ROUND((I25/I28),1)</f>
        <v>198</v>
      </c>
      <c r="N30" s="1070"/>
    </row>
    <row r="31" spans="1:14">
      <c r="A31" s="814"/>
      <c r="B31" s="555">
        <f>+B30+1</f>
        <v>10</v>
      </c>
      <c r="C31" s="47"/>
      <c r="D31" s="21" t="str">
        <f>"Monthly Point-to-Point Rate in  $/MW - Month"</f>
        <v>Monthly Point-to-Point Rate in  $/MW - Month</v>
      </c>
      <c r="E31" s="47" t="str">
        <f>"(Line "&amp;B30&amp;" / 12)"</f>
        <v>(Line 9 / 12)</v>
      </c>
      <c r="F31" s="47"/>
      <c r="G31" s="814"/>
      <c r="H31" s="47"/>
      <c r="I31" s="1650">
        <f>ROUND((I30/12),1)</f>
        <v>16.5</v>
      </c>
      <c r="N31" s="1070"/>
    </row>
    <row r="32" spans="1:14">
      <c r="A32" s="814"/>
      <c r="B32" s="555">
        <f>+B31+1</f>
        <v>11</v>
      </c>
      <c r="C32" s="47"/>
      <c r="D32" s="21" t="str">
        <f>"Weekly Point-to-Point Rate in  $/MW - Week"</f>
        <v>Weekly Point-to-Point Rate in  $/MW - Week</v>
      </c>
      <c r="E32" s="47" t="str">
        <f>"(Line "&amp;B30&amp;" / 52)"</f>
        <v>(Line 9 / 52)</v>
      </c>
      <c r="F32" s="47"/>
      <c r="G32" s="814"/>
      <c r="H32" s="47"/>
      <c r="I32" s="1650">
        <f>ROUND((I30/52),2)</f>
        <v>3.81</v>
      </c>
      <c r="N32" s="1070"/>
    </row>
    <row r="33" spans="2:20">
      <c r="B33" s="555">
        <f>+B32+1</f>
        <v>12</v>
      </c>
      <c r="C33" s="47"/>
      <c r="D33" s="21" t="str">
        <f>"Daily Point-to-Point Rate in  $/MW - Day"</f>
        <v>Daily Point-to-Point Rate in  $/MW - Day</v>
      </c>
      <c r="E33" s="47" t="str">
        <f>"(Line "&amp;B30&amp;" / 365)"</f>
        <v>(Line 9 / 365)</v>
      </c>
      <c r="F33" s="47"/>
      <c r="G33" s="814"/>
      <c r="H33" s="47"/>
      <c r="I33" s="1650">
        <f>ROUND((I30/365),3)</f>
        <v>0.54200000000000004</v>
      </c>
      <c r="J33" s="815"/>
      <c r="K33" s="815"/>
      <c r="L33" s="815"/>
      <c r="M33" s="815"/>
      <c r="N33" s="815"/>
      <c r="O33" s="815"/>
      <c r="P33" s="815"/>
      <c r="Q33" s="815"/>
      <c r="R33" s="815"/>
      <c r="S33" s="815"/>
      <c r="T33" s="815"/>
    </row>
    <row r="34" spans="2:20">
      <c r="B34" s="555">
        <f>+B33+1</f>
        <v>13</v>
      </c>
      <c r="C34" s="47"/>
      <c r="D34" s="21" t="str">
        <f>"Hourly Point-to-Point Rate in  $/MW - Hour"</f>
        <v>Hourly Point-to-Point Rate in  $/MW - Hour</v>
      </c>
      <c r="E34" s="47" t="str">
        <f>"(Line "&amp;B30&amp;" / 8760)"</f>
        <v>(Line 9 / 8760)</v>
      </c>
      <c r="F34" s="47"/>
      <c r="G34" s="814"/>
      <c r="H34" s="47"/>
      <c r="I34" s="1650">
        <f>ROUND((I30/8760),3)</f>
        <v>2.3E-2</v>
      </c>
      <c r="J34" s="815"/>
      <c r="K34" s="815"/>
      <c r="L34" s="815"/>
      <c r="M34" s="815"/>
      <c r="N34" s="815"/>
      <c r="O34" s="815"/>
      <c r="P34" s="815"/>
      <c r="Q34" s="815"/>
      <c r="R34" s="815"/>
      <c r="S34" s="815"/>
      <c r="T34" s="815"/>
    </row>
    <row r="35" spans="2:20">
      <c r="B35" s="481"/>
      <c r="C35" s="39"/>
      <c r="D35" s="39"/>
      <c r="E35" s="39"/>
      <c r="F35" s="39"/>
      <c r="G35" s="815"/>
      <c r="H35" s="39"/>
      <c r="I35" s="39"/>
      <c r="J35" s="815"/>
      <c r="K35" s="815"/>
      <c r="L35" s="815"/>
      <c r="M35" s="815"/>
      <c r="N35" s="815"/>
      <c r="O35" s="815"/>
      <c r="P35" s="815"/>
      <c r="Q35" s="815"/>
      <c r="R35" s="815"/>
      <c r="S35" s="815"/>
      <c r="T35" s="815"/>
    </row>
    <row r="36" spans="2:20">
      <c r="B36" s="481"/>
      <c r="C36" s="39"/>
      <c r="D36" s="39"/>
      <c r="E36" s="39"/>
      <c r="F36" s="39"/>
      <c r="G36" s="815"/>
      <c r="H36" s="39"/>
      <c r="I36" s="39"/>
      <c r="J36" s="815"/>
      <c r="K36" s="815"/>
      <c r="L36" s="815"/>
      <c r="M36" s="815"/>
      <c r="N36" s="815"/>
      <c r="O36" s="815"/>
      <c r="P36" s="815"/>
      <c r="Q36" s="815"/>
      <c r="R36" s="815"/>
      <c r="S36" s="815"/>
      <c r="T36" s="815"/>
    </row>
    <row r="37" spans="2:20">
      <c r="B37" s="481"/>
      <c r="C37" s="39"/>
      <c r="D37" s="39"/>
      <c r="E37" s="39"/>
      <c r="F37" s="39"/>
      <c r="G37" s="815"/>
      <c r="H37" s="39"/>
      <c r="I37" s="39"/>
      <c r="J37" s="815"/>
      <c r="K37" s="815"/>
      <c r="L37" s="815"/>
      <c r="M37" s="815"/>
      <c r="N37" s="815"/>
      <c r="O37" s="815"/>
      <c r="P37" s="815"/>
      <c r="Q37" s="815"/>
      <c r="R37" s="815"/>
      <c r="S37" s="815"/>
      <c r="T37" s="815"/>
    </row>
    <row r="38" spans="2:20">
      <c r="B38" s="816"/>
      <c r="C38" s="817"/>
      <c r="D38" s="485"/>
      <c r="E38" s="485"/>
      <c r="F38" s="485"/>
      <c r="G38" s="485" t="s">
        <v>49</v>
      </c>
      <c r="I38" s="485"/>
      <c r="J38" s="485"/>
      <c r="K38" s="485"/>
      <c r="L38" s="485"/>
      <c r="M38" s="485"/>
      <c r="N38" s="485"/>
      <c r="O38" s="485"/>
      <c r="P38" s="485"/>
      <c r="Q38" s="815"/>
      <c r="R38" s="815"/>
      <c r="S38" s="815"/>
      <c r="T38" s="815"/>
    </row>
    <row r="39" spans="2:20">
      <c r="B39" s="816"/>
      <c r="C39" s="817"/>
      <c r="D39" s="485"/>
      <c r="E39" s="485"/>
      <c r="F39" s="485"/>
      <c r="G39" s="485"/>
      <c r="H39" s="485"/>
      <c r="I39" s="485"/>
      <c r="J39" s="485"/>
      <c r="K39" s="485"/>
      <c r="L39" s="485"/>
      <c r="M39" s="485"/>
      <c r="N39" s="485"/>
      <c r="O39" s="485"/>
      <c r="P39" s="485"/>
      <c r="Q39" s="815"/>
      <c r="R39" s="815"/>
      <c r="S39" s="815"/>
      <c r="T39" s="815"/>
    </row>
    <row r="40" spans="2:20">
      <c r="B40" s="816"/>
      <c r="C40" s="817"/>
      <c r="D40" s="485"/>
      <c r="E40" s="485"/>
      <c r="F40" s="485"/>
      <c r="G40" s="485"/>
      <c r="H40" s="485"/>
      <c r="I40" s="485"/>
      <c r="J40" s="485"/>
      <c r="K40" s="485"/>
      <c r="L40" s="485"/>
      <c r="M40" s="485"/>
      <c r="N40" s="485"/>
      <c r="O40" s="485"/>
      <c r="P40" s="485"/>
      <c r="Q40" s="815"/>
      <c r="R40" s="815"/>
      <c r="S40" s="815"/>
      <c r="T40" s="815"/>
    </row>
    <row r="41" spans="2:20">
      <c r="B41" s="816"/>
      <c r="C41" s="817"/>
      <c r="D41" s="485"/>
      <c r="E41" s="485"/>
      <c r="F41" s="485"/>
      <c r="G41" s="485"/>
      <c r="H41" s="485"/>
      <c r="I41" s="485"/>
      <c r="J41" s="485"/>
      <c r="K41" s="485"/>
      <c r="L41" s="485"/>
      <c r="M41" s="485"/>
      <c r="N41" s="485"/>
      <c r="O41" s="485"/>
      <c r="P41" s="485"/>
      <c r="Q41" s="815"/>
      <c r="R41" s="815"/>
      <c r="S41" s="815"/>
      <c r="T41" s="815"/>
    </row>
    <row r="42" spans="2:20">
      <c r="B42" s="816"/>
      <c r="C42" s="817"/>
      <c r="D42" s="485"/>
      <c r="E42" s="485"/>
      <c r="F42" s="485"/>
      <c r="G42" s="485"/>
      <c r="H42" s="485"/>
      <c r="I42" s="485"/>
      <c r="J42" s="485"/>
      <c r="K42" s="485"/>
      <c r="L42" s="485"/>
      <c r="M42" s="485"/>
      <c r="N42" s="485"/>
      <c r="O42" s="485"/>
      <c r="P42" s="485"/>
      <c r="Q42" s="815"/>
      <c r="R42" s="815"/>
      <c r="S42" s="815"/>
      <c r="T42" s="815"/>
    </row>
    <row r="43" spans="2:20">
      <c r="B43" s="816"/>
      <c r="C43" s="817"/>
      <c r="D43" s="485"/>
      <c r="E43" s="485"/>
      <c r="F43" s="485"/>
      <c r="G43" s="485"/>
      <c r="H43" s="485"/>
      <c r="I43" s="485"/>
      <c r="J43" s="485"/>
      <c r="K43" s="485"/>
      <c r="L43" s="485"/>
      <c r="M43" s="485"/>
      <c r="N43" s="485"/>
      <c r="O43" s="485"/>
      <c r="P43" s="485"/>
      <c r="Q43" s="815"/>
      <c r="R43" s="815"/>
      <c r="S43" s="815"/>
      <c r="T43" s="815"/>
    </row>
    <row r="44" spans="2:20">
      <c r="B44" s="816"/>
      <c r="C44" s="817"/>
      <c r="D44" s="485"/>
      <c r="E44" s="485"/>
      <c r="F44" s="485"/>
      <c r="G44" s="485"/>
      <c r="H44" s="485"/>
      <c r="I44" s="485"/>
      <c r="J44" s="485"/>
      <c r="K44" s="485"/>
      <c r="L44" s="485"/>
      <c r="M44" s="485"/>
      <c r="N44" s="485"/>
      <c r="O44" s="485"/>
      <c r="P44" s="485"/>
      <c r="Q44" s="815"/>
      <c r="R44" s="815"/>
      <c r="S44" s="815"/>
      <c r="T44" s="815"/>
    </row>
    <row r="45" spans="2:20">
      <c r="B45" s="818"/>
      <c r="C45" s="815"/>
      <c r="D45" s="485"/>
      <c r="E45" s="485"/>
      <c r="F45" s="485"/>
      <c r="G45" s="485"/>
      <c r="H45" s="485"/>
      <c r="I45" s="485"/>
      <c r="J45" s="485"/>
      <c r="K45" s="485"/>
      <c r="L45" s="485"/>
      <c r="M45" s="485"/>
      <c r="N45" s="485"/>
      <c r="O45" s="485"/>
      <c r="P45" s="485"/>
      <c r="Q45" s="815"/>
      <c r="R45" s="815"/>
      <c r="S45" s="815"/>
      <c r="T45" s="815"/>
    </row>
    <row r="46" spans="2:20">
      <c r="B46" s="818"/>
      <c r="C46" s="815"/>
      <c r="D46" s="485"/>
      <c r="E46" s="485"/>
      <c r="F46" s="485"/>
      <c r="G46" s="485"/>
      <c r="H46" s="485"/>
      <c r="I46" s="485"/>
      <c r="J46" s="485"/>
      <c r="K46" s="485"/>
      <c r="L46" s="485"/>
      <c r="M46" s="485"/>
      <c r="N46" s="485"/>
      <c r="O46" s="485"/>
      <c r="P46" s="485"/>
      <c r="Q46" s="815"/>
      <c r="R46" s="815"/>
      <c r="S46" s="815"/>
      <c r="T46" s="815"/>
    </row>
    <row r="47" spans="2:20">
      <c r="B47" s="818"/>
      <c r="C47" s="815"/>
      <c r="D47" s="485"/>
      <c r="E47" s="485"/>
      <c r="F47" s="485"/>
      <c r="G47" s="485"/>
      <c r="H47" s="485"/>
      <c r="I47" s="485"/>
      <c r="J47" s="485"/>
      <c r="K47" s="485"/>
      <c r="L47" s="485"/>
      <c r="M47" s="485"/>
      <c r="N47" s="485"/>
      <c r="O47" s="485"/>
      <c r="P47" s="485"/>
      <c r="Q47" s="815"/>
      <c r="R47" s="815"/>
      <c r="S47" s="815"/>
      <c r="T47" s="815"/>
    </row>
    <row r="48" spans="2:20">
      <c r="B48" s="818"/>
      <c r="C48" s="815"/>
      <c r="D48" s="485"/>
      <c r="E48" s="485"/>
      <c r="F48" s="485"/>
      <c r="G48" s="485"/>
      <c r="H48" s="485"/>
      <c r="I48" s="485"/>
      <c r="J48" s="485"/>
      <c r="K48" s="485"/>
      <c r="L48" s="485"/>
      <c r="M48" s="485"/>
      <c r="N48" s="485"/>
      <c r="O48" s="485"/>
      <c r="P48" s="485"/>
      <c r="Q48" s="815"/>
      <c r="R48" s="815"/>
      <c r="S48" s="815"/>
      <c r="T48" s="815"/>
    </row>
    <row r="49" spans="2:20">
      <c r="B49" s="818"/>
      <c r="C49" s="815"/>
      <c r="D49" s="485"/>
      <c r="E49" s="485"/>
      <c r="F49" s="485"/>
      <c r="G49" s="485"/>
      <c r="H49" s="485"/>
      <c r="I49" s="485"/>
      <c r="J49" s="485"/>
      <c r="K49" s="485"/>
      <c r="L49" s="485"/>
      <c r="M49" s="485"/>
      <c r="N49" s="485"/>
      <c r="O49" s="485"/>
      <c r="P49" s="485"/>
      <c r="Q49" s="815"/>
      <c r="R49" s="815"/>
      <c r="S49" s="815"/>
      <c r="T49" s="815"/>
    </row>
    <row r="50" spans="2:20">
      <c r="B50" s="818"/>
      <c r="C50" s="815"/>
      <c r="D50" s="485"/>
      <c r="E50" s="485"/>
      <c r="F50" s="485"/>
      <c r="G50" s="485"/>
      <c r="H50" s="485"/>
      <c r="I50" s="485"/>
      <c r="J50" s="485"/>
      <c r="K50" s="485"/>
      <c r="L50" s="485"/>
      <c r="M50" s="485"/>
      <c r="N50" s="485"/>
      <c r="O50" s="485"/>
      <c r="P50" s="485"/>
      <c r="Q50" s="815"/>
      <c r="R50" s="815"/>
      <c r="S50" s="815"/>
      <c r="T50" s="815"/>
    </row>
    <row r="51" spans="2:20">
      <c r="B51" s="818"/>
      <c r="C51" s="815"/>
      <c r="D51" s="485"/>
      <c r="E51" s="485"/>
      <c r="F51" s="485"/>
      <c r="G51" s="485"/>
      <c r="H51" s="485"/>
      <c r="I51" s="485"/>
      <c r="J51" s="485"/>
      <c r="K51" s="485"/>
      <c r="L51" s="485"/>
      <c r="M51" s="485"/>
      <c r="N51" s="485"/>
      <c r="O51" s="485"/>
      <c r="P51" s="485"/>
      <c r="Q51" s="815"/>
      <c r="R51" s="815"/>
      <c r="S51" s="815"/>
      <c r="T51" s="815"/>
    </row>
    <row r="52" spans="2:20">
      <c r="B52" s="818"/>
      <c r="C52" s="815"/>
      <c r="D52" s="485"/>
      <c r="E52" s="485"/>
      <c r="F52" s="485"/>
      <c r="G52" s="485"/>
      <c r="H52" s="485"/>
      <c r="I52" s="485"/>
      <c r="J52" s="485"/>
      <c r="K52" s="485"/>
      <c r="L52" s="485"/>
      <c r="M52" s="485"/>
      <c r="N52" s="485"/>
      <c r="O52" s="485"/>
      <c r="P52" s="485"/>
      <c r="Q52" s="815"/>
      <c r="R52" s="815"/>
      <c r="S52" s="815"/>
      <c r="T52" s="815"/>
    </row>
    <row r="53" spans="2:20">
      <c r="B53" s="818"/>
      <c r="C53" s="815"/>
      <c r="D53" s="485"/>
      <c r="E53" s="485"/>
      <c r="F53" s="485"/>
      <c r="G53" s="485"/>
      <c r="H53" s="485"/>
      <c r="I53" s="485"/>
      <c r="J53" s="485"/>
      <c r="K53" s="485"/>
      <c r="L53" s="485"/>
      <c r="M53" s="485"/>
      <c r="N53" s="485"/>
      <c r="O53" s="485"/>
      <c r="P53" s="485"/>
      <c r="Q53" s="815"/>
      <c r="R53" s="815"/>
      <c r="S53" s="815"/>
      <c r="T53" s="815"/>
    </row>
    <row r="54" spans="2:20">
      <c r="B54" s="818"/>
      <c r="C54" s="815"/>
      <c r="D54" s="485"/>
      <c r="E54" s="485"/>
      <c r="F54" s="485"/>
      <c r="G54" s="485"/>
      <c r="H54" s="485"/>
      <c r="I54" s="485"/>
      <c r="J54" s="485"/>
      <c r="K54" s="485"/>
      <c r="L54" s="485"/>
      <c r="M54" s="485"/>
      <c r="N54" s="485"/>
      <c r="O54" s="485"/>
      <c r="P54" s="485"/>
      <c r="Q54" s="815"/>
      <c r="R54" s="815"/>
      <c r="S54" s="815"/>
      <c r="T54" s="815"/>
    </row>
    <row r="55" spans="2:20">
      <c r="B55" s="818"/>
      <c r="C55" s="815"/>
      <c r="D55" s="815"/>
      <c r="E55" s="815"/>
      <c r="F55" s="815"/>
      <c r="G55" s="815"/>
      <c r="H55" s="815"/>
      <c r="I55" s="815"/>
      <c r="J55" s="815"/>
      <c r="K55" s="815"/>
      <c r="L55" s="815"/>
      <c r="M55" s="815"/>
      <c r="N55" s="815"/>
      <c r="O55" s="815"/>
      <c r="P55" s="815"/>
      <c r="Q55" s="815"/>
      <c r="R55" s="815"/>
      <c r="S55" s="815"/>
      <c r="T55" s="815"/>
    </row>
    <row r="56" spans="2:20">
      <c r="B56" s="818"/>
      <c r="C56" s="815"/>
      <c r="D56" s="815"/>
      <c r="E56" s="815"/>
      <c r="F56" s="815"/>
      <c r="G56" s="815"/>
      <c r="H56" s="815"/>
      <c r="I56" s="815"/>
      <c r="J56" s="815"/>
      <c r="K56" s="815"/>
      <c r="L56" s="815"/>
      <c r="M56" s="815"/>
      <c r="N56" s="815"/>
      <c r="O56" s="815"/>
      <c r="P56" s="815"/>
      <c r="Q56" s="815"/>
      <c r="R56" s="815"/>
      <c r="S56" s="815"/>
      <c r="T56" s="815"/>
    </row>
    <row r="57" spans="2:20">
      <c r="B57" s="818"/>
      <c r="C57" s="815"/>
      <c r="D57" s="815"/>
      <c r="E57" s="815"/>
      <c r="F57" s="815"/>
      <c r="G57" s="815"/>
      <c r="H57" s="815"/>
      <c r="I57" s="815"/>
      <c r="J57" s="815"/>
      <c r="K57" s="815"/>
      <c r="L57" s="815"/>
      <c r="M57" s="815"/>
      <c r="N57" s="815"/>
      <c r="O57" s="815"/>
      <c r="P57" s="815"/>
      <c r="Q57" s="815"/>
      <c r="R57" s="815"/>
      <c r="S57" s="815"/>
      <c r="T57" s="815"/>
    </row>
    <row r="58" spans="2:20">
      <c r="B58" s="818"/>
      <c r="C58" s="815"/>
      <c r="D58" s="815"/>
      <c r="E58" s="815"/>
      <c r="F58" s="815"/>
      <c r="G58" s="815"/>
      <c r="H58" s="815"/>
      <c r="I58" s="815"/>
      <c r="J58" s="815"/>
      <c r="K58" s="815"/>
      <c r="L58" s="815"/>
      <c r="M58" s="815"/>
      <c r="N58" s="815"/>
      <c r="O58" s="815"/>
      <c r="P58" s="815"/>
      <c r="Q58" s="815"/>
      <c r="R58" s="815"/>
      <c r="S58" s="815"/>
      <c r="T58" s="815"/>
    </row>
    <row r="59" spans="2:20">
      <c r="B59" s="818"/>
      <c r="C59" s="815"/>
      <c r="D59" s="815"/>
      <c r="E59" s="815"/>
      <c r="F59" s="815"/>
      <c r="G59" s="815"/>
      <c r="H59" s="815"/>
      <c r="I59" s="815"/>
      <c r="J59" s="815"/>
      <c r="K59" s="815"/>
      <c r="L59" s="815"/>
      <c r="M59" s="815"/>
      <c r="N59" s="815"/>
      <c r="O59" s="815"/>
      <c r="P59" s="815"/>
      <c r="Q59" s="815"/>
      <c r="R59" s="815"/>
      <c r="S59" s="815"/>
      <c r="T59" s="815"/>
    </row>
    <row r="60" spans="2:20">
      <c r="B60" s="818"/>
      <c r="C60" s="815"/>
      <c r="D60" s="815"/>
      <c r="E60" s="815"/>
      <c r="F60" s="815"/>
      <c r="G60" s="815"/>
      <c r="H60" s="815"/>
      <c r="I60" s="815"/>
      <c r="J60" s="815"/>
      <c r="K60" s="815"/>
      <c r="L60" s="815"/>
      <c r="M60" s="815"/>
      <c r="N60" s="815"/>
      <c r="O60" s="815"/>
      <c r="P60" s="815"/>
      <c r="Q60" s="815"/>
      <c r="R60" s="815"/>
      <c r="S60" s="815"/>
      <c r="T60" s="815"/>
    </row>
    <row r="61" spans="2:20">
      <c r="B61" s="818"/>
      <c r="C61" s="815"/>
      <c r="D61" s="815"/>
      <c r="E61" s="815"/>
      <c r="F61" s="815"/>
      <c r="G61" s="815"/>
      <c r="H61" s="815"/>
      <c r="I61" s="815"/>
      <c r="J61" s="815"/>
      <c r="K61" s="815"/>
      <c r="L61" s="815"/>
      <c r="M61" s="815"/>
      <c r="N61" s="815"/>
      <c r="O61" s="815"/>
      <c r="P61" s="815"/>
      <c r="Q61" s="815"/>
      <c r="R61" s="815"/>
      <c r="S61" s="815"/>
      <c r="T61" s="815"/>
    </row>
    <row r="62" spans="2:20">
      <c r="B62" s="818"/>
      <c r="C62" s="815"/>
      <c r="D62" s="815"/>
      <c r="E62" s="815"/>
      <c r="F62" s="815"/>
      <c r="G62" s="815"/>
      <c r="H62" s="815"/>
      <c r="I62" s="815"/>
      <c r="J62" s="815"/>
      <c r="K62" s="815"/>
      <c r="L62" s="815"/>
      <c r="M62" s="815"/>
      <c r="N62" s="815"/>
      <c r="O62" s="815"/>
      <c r="P62" s="815"/>
      <c r="Q62" s="815"/>
      <c r="R62" s="815"/>
      <c r="S62" s="815"/>
      <c r="T62" s="815"/>
    </row>
    <row r="63" spans="2:20">
      <c r="B63" s="818"/>
      <c r="C63" s="815"/>
      <c r="D63" s="815"/>
      <c r="E63" s="815"/>
      <c r="F63" s="815"/>
      <c r="G63" s="815"/>
      <c r="H63" s="815"/>
      <c r="I63" s="815"/>
      <c r="J63" s="815"/>
      <c r="K63" s="815"/>
      <c r="L63" s="815"/>
      <c r="M63" s="815"/>
      <c r="N63" s="815"/>
      <c r="O63" s="815"/>
      <c r="P63" s="815"/>
      <c r="Q63" s="815"/>
      <c r="R63" s="815"/>
      <c r="S63" s="815"/>
      <c r="T63" s="815"/>
    </row>
    <row r="64" spans="2:20">
      <c r="B64" s="818"/>
      <c r="C64" s="815"/>
      <c r="D64" s="815"/>
      <c r="E64" s="815"/>
      <c r="F64" s="815"/>
      <c r="G64" s="815"/>
      <c r="H64" s="815"/>
      <c r="I64" s="815"/>
      <c r="J64" s="815"/>
      <c r="K64" s="815"/>
      <c r="L64" s="815"/>
      <c r="M64" s="815"/>
      <c r="N64" s="815"/>
      <c r="O64" s="815"/>
      <c r="P64" s="815"/>
      <c r="Q64" s="815"/>
      <c r="R64" s="815"/>
      <c r="S64" s="815"/>
      <c r="T64" s="815"/>
    </row>
    <row r="65" spans="2:20">
      <c r="B65" s="818"/>
      <c r="C65" s="815"/>
      <c r="D65" s="815"/>
      <c r="E65" s="815"/>
      <c r="F65" s="815"/>
      <c r="G65" s="815"/>
      <c r="H65" s="815"/>
      <c r="I65" s="815"/>
      <c r="J65" s="815"/>
      <c r="K65" s="815"/>
      <c r="L65" s="815"/>
      <c r="M65" s="815"/>
      <c r="N65" s="815"/>
      <c r="O65" s="815"/>
      <c r="P65" s="815"/>
      <c r="Q65" s="815"/>
      <c r="R65" s="815"/>
      <c r="S65" s="815"/>
      <c r="T65" s="815"/>
    </row>
    <row r="66" spans="2:20">
      <c r="B66" s="818"/>
      <c r="C66" s="815"/>
      <c r="D66" s="815"/>
      <c r="E66" s="815"/>
      <c r="F66" s="815"/>
      <c r="G66" s="815"/>
      <c r="H66" s="815"/>
      <c r="I66" s="815"/>
      <c r="J66" s="815"/>
      <c r="K66" s="815"/>
      <c r="L66" s="815"/>
      <c r="M66" s="815"/>
      <c r="N66" s="815"/>
      <c r="O66" s="815"/>
      <c r="P66" s="815"/>
      <c r="Q66" s="815"/>
      <c r="R66" s="815"/>
      <c r="S66" s="815"/>
      <c r="T66" s="815"/>
    </row>
    <row r="67" spans="2:20">
      <c r="B67" s="818"/>
      <c r="C67" s="815"/>
      <c r="D67" s="815"/>
      <c r="E67" s="815"/>
      <c r="F67" s="815"/>
      <c r="G67" s="815"/>
      <c r="H67" s="815"/>
      <c r="I67" s="815"/>
      <c r="J67" s="815"/>
      <c r="K67" s="815"/>
      <c r="L67" s="815"/>
      <c r="M67" s="815"/>
      <c r="N67" s="815"/>
      <c r="O67" s="815"/>
      <c r="P67" s="815"/>
      <c r="Q67" s="815"/>
      <c r="R67" s="815"/>
      <c r="S67" s="815"/>
      <c r="T67" s="815"/>
    </row>
    <row r="68" spans="2:20">
      <c r="B68" s="818"/>
      <c r="C68" s="815"/>
      <c r="D68" s="815"/>
      <c r="E68" s="815"/>
      <c r="F68" s="815"/>
      <c r="G68" s="815"/>
      <c r="H68" s="815"/>
      <c r="I68" s="815"/>
      <c r="J68" s="815"/>
      <c r="K68" s="815"/>
      <c r="L68" s="815"/>
      <c r="M68" s="815"/>
      <c r="N68" s="815"/>
      <c r="O68" s="815"/>
      <c r="P68" s="815"/>
      <c r="Q68" s="815"/>
      <c r="R68" s="815"/>
      <c r="S68" s="815"/>
      <c r="T68" s="815"/>
    </row>
    <row r="69" spans="2:20">
      <c r="B69" s="818"/>
      <c r="C69" s="815"/>
      <c r="D69" s="815"/>
      <c r="E69" s="815"/>
      <c r="F69" s="815"/>
      <c r="G69" s="815"/>
      <c r="H69" s="815"/>
      <c r="I69" s="815"/>
      <c r="J69" s="815"/>
      <c r="K69" s="815"/>
      <c r="L69" s="815"/>
      <c r="M69" s="815"/>
      <c r="N69" s="815"/>
      <c r="O69" s="815"/>
      <c r="P69" s="815"/>
      <c r="Q69" s="815"/>
      <c r="R69" s="815"/>
      <c r="S69" s="815"/>
      <c r="T69" s="815"/>
    </row>
    <row r="70" spans="2:20">
      <c r="B70" s="818"/>
      <c r="C70" s="815"/>
      <c r="D70" s="815"/>
      <c r="E70" s="815"/>
      <c r="F70" s="815"/>
      <c r="G70" s="815"/>
      <c r="H70" s="815"/>
      <c r="I70" s="815"/>
      <c r="J70" s="815"/>
      <c r="K70" s="815"/>
      <c r="L70" s="815"/>
      <c r="M70" s="815"/>
      <c r="N70" s="815"/>
      <c r="O70" s="815"/>
      <c r="P70" s="815"/>
      <c r="Q70" s="815"/>
      <c r="R70" s="815"/>
      <c r="S70" s="815"/>
      <c r="T70" s="815"/>
    </row>
    <row r="71" spans="2:20">
      <c r="B71" s="818"/>
      <c r="C71" s="815"/>
      <c r="D71" s="815"/>
      <c r="E71" s="815"/>
      <c r="F71" s="815"/>
      <c r="G71" s="815"/>
      <c r="H71" s="815"/>
      <c r="I71" s="815"/>
      <c r="J71" s="815"/>
      <c r="K71" s="815"/>
      <c r="L71" s="815"/>
      <c r="M71" s="815"/>
      <c r="N71" s="815"/>
      <c r="O71" s="815"/>
      <c r="P71" s="815"/>
      <c r="Q71" s="815"/>
      <c r="R71" s="815"/>
      <c r="S71" s="815"/>
      <c r="T71" s="815"/>
    </row>
    <row r="72" spans="2:20">
      <c r="B72" s="818"/>
      <c r="C72" s="815"/>
      <c r="D72" s="815"/>
      <c r="E72" s="815"/>
      <c r="F72" s="815"/>
      <c r="G72" s="815"/>
      <c r="H72" s="815"/>
      <c r="I72" s="815"/>
      <c r="J72" s="815"/>
      <c r="K72" s="815"/>
      <c r="L72" s="815"/>
      <c r="M72" s="815"/>
      <c r="N72" s="815"/>
      <c r="O72" s="815"/>
      <c r="P72" s="815"/>
      <c r="Q72" s="815"/>
      <c r="R72" s="815"/>
      <c r="S72" s="815"/>
      <c r="T72" s="815"/>
    </row>
    <row r="73" spans="2:20">
      <c r="B73" s="818"/>
      <c r="C73" s="815"/>
      <c r="D73" s="815"/>
      <c r="E73" s="815"/>
      <c r="F73" s="815"/>
      <c r="G73" s="815"/>
      <c r="H73" s="815"/>
      <c r="I73" s="815"/>
      <c r="J73" s="815"/>
      <c r="K73" s="815"/>
      <c r="L73" s="815"/>
      <c r="M73" s="815"/>
      <c r="N73" s="815"/>
      <c r="O73" s="815"/>
      <c r="P73" s="815"/>
      <c r="Q73" s="815"/>
      <c r="R73" s="815"/>
      <c r="S73" s="815"/>
      <c r="T73" s="815"/>
    </row>
    <row r="74" spans="2:20">
      <c r="B74" s="818"/>
      <c r="C74" s="815"/>
      <c r="D74" s="815"/>
      <c r="E74" s="815"/>
      <c r="F74" s="815"/>
      <c r="G74" s="815"/>
      <c r="H74" s="815"/>
      <c r="I74" s="815"/>
      <c r="J74" s="815"/>
      <c r="K74" s="815"/>
      <c r="L74" s="815"/>
      <c r="M74" s="815"/>
      <c r="N74" s="815"/>
      <c r="O74" s="815"/>
      <c r="P74" s="815"/>
      <c r="Q74" s="815"/>
      <c r="R74" s="815"/>
      <c r="S74" s="815"/>
      <c r="T74" s="815"/>
    </row>
    <row r="75" spans="2:20">
      <c r="B75" s="818"/>
      <c r="C75" s="815"/>
      <c r="D75" s="815"/>
      <c r="E75" s="815"/>
      <c r="F75" s="815"/>
      <c r="G75" s="815"/>
      <c r="H75" s="815"/>
      <c r="I75" s="815"/>
      <c r="J75" s="815"/>
      <c r="K75" s="815"/>
      <c r="L75" s="815"/>
      <c r="M75" s="815"/>
      <c r="N75" s="815"/>
      <c r="O75" s="815"/>
      <c r="P75" s="815"/>
      <c r="Q75" s="815"/>
      <c r="R75" s="815"/>
      <c r="S75" s="815"/>
      <c r="T75" s="815"/>
    </row>
    <row r="76" spans="2:20">
      <c r="B76" s="818"/>
      <c r="C76" s="815"/>
      <c r="D76" s="815"/>
      <c r="E76" s="815"/>
      <c r="F76" s="815"/>
      <c r="G76" s="815"/>
      <c r="H76" s="815"/>
      <c r="I76" s="815"/>
      <c r="J76" s="815"/>
      <c r="K76" s="815"/>
      <c r="L76" s="815"/>
      <c r="M76" s="815"/>
      <c r="N76" s="815"/>
      <c r="O76" s="815"/>
      <c r="P76" s="815"/>
      <c r="Q76" s="815"/>
      <c r="R76" s="815"/>
      <c r="S76" s="815"/>
      <c r="T76" s="815"/>
    </row>
    <row r="77" spans="2:20">
      <c r="B77" s="818"/>
      <c r="C77" s="815"/>
      <c r="D77" s="815"/>
      <c r="E77" s="815"/>
      <c r="F77" s="815"/>
      <c r="G77" s="815"/>
      <c r="H77" s="815"/>
      <c r="I77" s="815"/>
      <c r="J77" s="815"/>
      <c r="K77" s="815"/>
      <c r="L77" s="815"/>
      <c r="M77" s="815"/>
      <c r="N77" s="815"/>
      <c r="O77" s="815"/>
      <c r="P77" s="815"/>
      <c r="Q77" s="815"/>
      <c r="R77" s="815"/>
      <c r="S77" s="815"/>
      <c r="T77" s="815"/>
    </row>
    <row r="78" spans="2:20">
      <c r="B78" s="818"/>
      <c r="C78" s="815"/>
      <c r="D78" s="815"/>
      <c r="E78" s="815"/>
      <c r="F78" s="815"/>
      <c r="G78" s="815"/>
      <c r="H78" s="815"/>
      <c r="I78" s="815"/>
      <c r="J78" s="815"/>
      <c r="K78" s="815"/>
      <c r="L78" s="815"/>
      <c r="M78" s="815"/>
      <c r="N78" s="815"/>
      <c r="O78" s="815"/>
      <c r="P78" s="815"/>
      <c r="Q78" s="815"/>
      <c r="R78" s="815"/>
      <c r="S78" s="815"/>
      <c r="T78" s="815"/>
    </row>
    <row r="79" spans="2:20">
      <c r="B79" s="818"/>
      <c r="C79" s="815"/>
      <c r="D79" s="815"/>
      <c r="E79" s="815"/>
      <c r="F79" s="815"/>
      <c r="G79" s="815"/>
      <c r="H79" s="815"/>
      <c r="I79" s="815"/>
      <c r="J79" s="815"/>
      <c r="K79" s="815"/>
      <c r="L79" s="815"/>
      <c r="M79" s="815"/>
      <c r="N79" s="815"/>
      <c r="O79" s="815"/>
      <c r="P79" s="815"/>
      <c r="Q79" s="815"/>
      <c r="R79" s="815"/>
      <c r="S79" s="815"/>
      <c r="T79" s="815"/>
    </row>
    <row r="80" spans="2:20">
      <c r="B80" s="818"/>
      <c r="C80" s="815"/>
      <c r="D80" s="815"/>
      <c r="E80" s="815"/>
      <c r="F80" s="815"/>
      <c r="G80" s="815"/>
      <c r="H80" s="815"/>
      <c r="I80" s="815"/>
      <c r="J80" s="815"/>
      <c r="K80" s="815"/>
      <c r="L80" s="815"/>
      <c r="M80" s="815"/>
      <c r="N80" s="815"/>
      <c r="O80" s="815"/>
      <c r="P80" s="815"/>
      <c r="Q80" s="815"/>
      <c r="R80" s="815"/>
      <c r="S80" s="815"/>
      <c r="T80" s="815"/>
    </row>
    <row r="81" spans="2:20">
      <c r="B81" s="818"/>
      <c r="C81" s="815"/>
      <c r="D81" s="815"/>
      <c r="E81" s="815"/>
      <c r="F81" s="815"/>
      <c r="G81" s="815"/>
      <c r="H81" s="815"/>
      <c r="I81" s="815"/>
      <c r="J81" s="815"/>
      <c r="K81" s="815"/>
      <c r="L81" s="815"/>
      <c r="M81" s="815"/>
      <c r="N81" s="815"/>
      <c r="O81" s="815"/>
      <c r="P81" s="815"/>
      <c r="Q81" s="815"/>
      <c r="R81" s="815"/>
      <c r="S81" s="815"/>
      <c r="T81" s="815"/>
    </row>
    <row r="82" spans="2:20">
      <c r="B82" s="818"/>
      <c r="C82" s="815"/>
      <c r="D82" s="815"/>
      <c r="E82" s="815"/>
      <c r="F82" s="815"/>
      <c r="G82" s="815"/>
      <c r="H82" s="815"/>
      <c r="I82" s="815"/>
      <c r="J82" s="815"/>
      <c r="K82" s="815"/>
      <c r="L82" s="815"/>
      <c r="M82" s="815"/>
      <c r="N82" s="815"/>
      <c r="O82" s="815"/>
      <c r="P82" s="815"/>
      <c r="Q82" s="815"/>
      <c r="R82" s="815"/>
      <c r="S82" s="815"/>
      <c r="T82" s="815"/>
    </row>
    <row r="83" spans="2:20">
      <c r="B83" s="818"/>
      <c r="C83" s="815"/>
      <c r="D83" s="815"/>
      <c r="E83" s="815"/>
      <c r="F83" s="815"/>
      <c r="G83" s="815"/>
      <c r="H83" s="815"/>
      <c r="I83" s="815"/>
      <c r="J83" s="815"/>
      <c r="K83" s="815"/>
      <c r="L83" s="815"/>
      <c r="M83" s="815"/>
      <c r="N83" s="815"/>
      <c r="O83" s="815"/>
      <c r="P83" s="815"/>
      <c r="Q83" s="815"/>
      <c r="R83" s="815"/>
      <c r="S83" s="815"/>
      <c r="T83" s="815"/>
    </row>
    <row r="84" spans="2:20">
      <c r="B84" s="818"/>
      <c r="C84" s="815"/>
      <c r="D84" s="815"/>
      <c r="E84" s="815"/>
      <c r="F84" s="815"/>
      <c r="G84" s="815"/>
      <c r="H84" s="815"/>
      <c r="I84" s="815"/>
      <c r="J84" s="815"/>
      <c r="K84" s="815"/>
      <c r="L84" s="815"/>
      <c r="M84" s="815"/>
      <c r="N84" s="815"/>
      <c r="O84" s="815"/>
      <c r="P84" s="815"/>
      <c r="Q84" s="815"/>
      <c r="R84" s="815"/>
      <c r="S84" s="815"/>
      <c r="T84" s="815"/>
    </row>
    <row r="85" spans="2:20">
      <c r="B85" s="818"/>
      <c r="C85" s="815"/>
      <c r="D85" s="815"/>
      <c r="E85" s="815"/>
      <c r="F85" s="815"/>
      <c r="G85" s="815"/>
      <c r="H85" s="815"/>
      <c r="I85" s="815"/>
      <c r="J85" s="815"/>
      <c r="K85" s="815"/>
      <c r="L85" s="815"/>
      <c r="M85" s="815"/>
      <c r="N85" s="815"/>
      <c r="O85" s="815"/>
      <c r="P85" s="815"/>
      <c r="Q85" s="815"/>
      <c r="R85" s="815"/>
      <c r="S85" s="815"/>
      <c r="T85" s="815"/>
    </row>
    <row r="86" spans="2:20">
      <c r="B86" s="818"/>
      <c r="C86" s="815"/>
      <c r="D86" s="815"/>
      <c r="E86" s="815"/>
      <c r="F86" s="815"/>
      <c r="G86" s="815"/>
      <c r="H86" s="815"/>
      <c r="I86" s="815"/>
      <c r="J86" s="815"/>
      <c r="K86" s="815"/>
      <c r="L86" s="815"/>
      <c r="M86" s="815"/>
      <c r="N86" s="815"/>
      <c r="O86" s="815"/>
      <c r="P86" s="815"/>
      <c r="Q86" s="815"/>
      <c r="R86" s="815"/>
      <c r="S86" s="815"/>
      <c r="T86" s="815"/>
    </row>
    <row r="87" spans="2:20">
      <c r="B87" s="818"/>
      <c r="C87" s="815"/>
      <c r="D87" s="815"/>
      <c r="E87" s="815"/>
      <c r="F87" s="815"/>
      <c r="G87" s="815"/>
      <c r="H87" s="815"/>
      <c r="I87" s="815"/>
      <c r="J87" s="815"/>
      <c r="K87" s="815"/>
      <c r="L87" s="815"/>
      <c r="M87" s="815"/>
      <c r="N87" s="815"/>
      <c r="O87" s="815"/>
      <c r="P87" s="815"/>
      <c r="Q87" s="815"/>
      <c r="R87" s="815"/>
      <c r="S87" s="815"/>
      <c r="T87" s="815"/>
    </row>
    <row r="88" spans="2:20">
      <c r="B88" s="818"/>
      <c r="C88" s="815"/>
      <c r="D88" s="815"/>
      <c r="E88" s="815"/>
      <c r="F88" s="815"/>
      <c r="G88" s="815"/>
      <c r="H88" s="815"/>
      <c r="I88" s="815"/>
      <c r="J88" s="815"/>
      <c r="K88" s="815"/>
      <c r="L88" s="815"/>
      <c r="M88" s="815"/>
      <c r="N88" s="815"/>
      <c r="O88" s="815"/>
      <c r="P88" s="815"/>
      <c r="Q88" s="815"/>
      <c r="R88" s="815"/>
      <c r="S88" s="815"/>
      <c r="T88" s="815"/>
    </row>
    <row r="89" spans="2:20">
      <c r="B89" s="818"/>
      <c r="C89" s="815"/>
      <c r="D89" s="815"/>
      <c r="E89" s="815"/>
      <c r="F89" s="815"/>
      <c r="G89" s="815"/>
      <c r="H89" s="815"/>
      <c r="I89" s="815"/>
      <c r="J89" s="815"/>
      <c r="K89" s="815"/>
      <c r="L89" s="815"/>
      <c r="M89" s="815"/>
      <c r="N89" s="815"/>
      <c r="O89" s="815"/>
      <c r="P89" s="815"/>
      <c r="Q89" s="815"/>
      <c r="R89" s="815"/>
      <c r="S89" s="815"/>
      <c r="T89" s="815"/>
    </row>
    <row r="90" spans="2:20">
      <c r="B90" s="818"/>
      <c r="C90" s="815"/>
      <c r="D90" s="815"/>
      <c r="E90" s="815"/>
      <c r="F90" s="815"/>
      <c r="G90" s="815"/>
      <c r="H90" s="815"/>
      <c r="I90" s="815"/>
      <c r="J90" s="815"/>
      <c r="K90" s="815"/>
      <c r="L90" s="815"/>
      <c r="M90" s="815"/>
      <c r="N90" s="815"/>
      <c r="O90" s="815"/>
      <c r="P90" s="815"/>
      <c r="Q90" s="815"/>
      <c r="R90" s="815"/>
      <c r="S90" s="815"/>
      <c r="T90" s="815"/>
    </row>
    <row r="91" spans="2:20">
      <c r="B91" s="818"/>
      <c r="C91" s="815"/>
      <c r="D91" s="815"/>
      <c r="E91" s="815"/>
      <c r="F91" s="815"/>
      <c r="G91" s="815"/>
      <c r="H91" s="815"/>
      <c r="I91" s="815"/>
      <c r="J91" s="815"/>
      <c r="K91" s="815"/>
      <c r="L91" s="815"/>
      <c r="M91" s="815"/>
      <c r="N91" s="815"/>
      <c r="O91" s="815"/>
      <c r="P91" s="815"/>
      <c r="Q91" s="815"/>
      <c r="R91" s="815"/>
      <c r="S91" s="815"/>
      <c r="T91" s="815"/>
    </row>
    <row r="92" spans="2:20">
      <c r="B92" s="818"/>
      <c r="C92" s="815"/>
      <c r="D92" s="815"/>
      <c r="E92" s="815"/>
      <c r="F92" s="815"/>
      <c r="G92" s="815"/>
      <c r="H92" s="815"/>
      <c r="I92" s="815"/>
      <c r="J92" s="815"/>
      <c r="K92" s="815"/>
      <c r="L92" s="815"/>
      <c r="M92" s="815"/>
      <c r="N92" s="815"/>
      <c r="O92" s="815"/>
      <c r="P92" s="815"/>
      <c r="Q92" s="815"/>
      <c r="R92" s="815"/>
      <c r="S92" s="815"/>
      <c r="T92" s="815"/>
    </row>
    <row r="93" spans="2:20">
      <c r="B93" s="818"/>
      <c r="C93" s="815"/>
      <c r="D93" s="815"/>
      <c r="E93" s="815"/>
      <c r="F93" s="815"/>
      <c r="G93" s="815"/>
      <c r="H93" s="815"/>
      <c r="I93" s="815"/>
      <c r="J93" s="815"/>
      <c r="K93" s="815"/>
      <c r="L93" s="815"/>
      <c r="M93" s="815"/>
      <c r="N93" s="815"/>
      <c r="O93" s="815"/>
      <c r="P93" s="815"/>
      <c r="Q93" s="815"/>
      <c r="R93" s="815"/>
      <c r="S93" s="815"/>
      <c r="T93" s="815"/>
    </row>
    <row r="94" spans="2:20">
      <c r="B94" s="818"/>
      <c r="C94" s="815"/>
      <c r="D94" s="815"/>
      <c r="E94" s="815"/>
      <c r="F94" s="815"/>
      <c r="G94" s="815"/>
      <c r="H94" s="815"/>
      <c r="I94" s="815"/>
      <c r="J94" s="815"/>
      <c r="K94" s="815"/>
      <c r="L94" s="815"/>
      <c r="M94" s="815"/>
      <c r="N94" s="815"/>
      <c r="O94" s="815"/>
      <c r="P94" s="815"/>
      <c r="Q94" s="815"/>
      <c r="R94" s="815"/>
      <c r="S94" s="815"/>
      <c r="T94" s="815"/>
    </row>
    <row r="95" spans="2:20">
      <c r="B95" s="818"/>
      <c r="C95" s="815"/>
      <c r="D95" s="815"/>
      <c r="E95" s="815"/>
      <c r="F95" s="815"/>
      <c r="G95" s="815"/>
      <c r="H95" s="815"/>
      <c r="I95" s="815"/>
      <c r="J95" s="815"/>
      <c r="K95" s="815"/>
      <c r="L95" s="815"/>
      <c r="M95" s="815"/>
      <c r="N95" s="815"/>
      <c r="O95" s="815"/>
      <c r="P95" s="815"/>
      <c r="Q95" s="815"/>
      <c r="R95" s="815"/>
      <c r="S95" s="815"/>
      <c r="T95" s="815"/>
    </row>
    <row r="96" spans="2:20">
      <c r="B96" s="818"/>
      <c r="C96" s="815"/>
      <c r="D96" s="815"/>
      <c r="E96" s="815"/>
      <c r="F96" s="815"/>
      <c r="G96" s="815"/>
      <c r="H96" s="815"/>
      <c r="I96" s="815"/>
      <c r="J96" s="815"/>
      <c r="K96" s="815"/>
      <c r="L96" s="815"/>
      <c r="M96" s="815"/>
      <c r="N96" s="815"/>
      <c r="O96" s="815"/>
      <c r="P96" s="815"/>
      <c r="Q96" s="815"/>
      <c r="R96" s="815"/>
      <c r="S96" s="815"/>
      <c r="T96" s="815"/>
    </row>
    <row r="97" spans="2:20">
      <c r="B97" s="818"/>
      <c r="C97" s="815"/>
      <c r="D97" s="815"/>
      <c r="E97" s="815"/>
      <c r="F97" s="815"/>
      <c r="G97" s="815"/>
      <c r="H97" s="815"/>
      <c r="I97" s="815"/>
      <c r="J97" s="815"/>
      <c r="K97" s="815"/>
      <c r="L97" s="815"/>
      <c r="M97" s="815"/>
      <c r="N97" s="815"/>
      <c r="O97" s="815"/>
      <c r="P97" s="815"/>
      <c r="Q97" s="815"/>
      <c r="R97" s="815"/>
      <c r="S97" s="815"/>
      <c r="T97" s="815"/>
    </row>
    <row r="98" spans="2:20">
      <c r="B98" s="818"/>
      <c r="C98" s="815"/>
      <c r="D98" s="815"/>
      <c r="E98" s="815"/>
      <c r="F98" s="815"/>
      <c r="G98" s="815"/>
      <c r="H98" s="815"/>
      <c r="I98" s="815"/>
      <c r="J98" s="815"/>
      <c r="K98" s="815"/>
      <c r="L98" s="815"/>
      <c r="M98" s="815"/>
      <c r="N98" s="815"/>
      <c r="O98" s="815"/>
      <c r="P98" s="815"/>
      <c r="Q98" s="815"/>
      <c r="R98" s="815"/>
      <c r="S98" s="815"/>
      <c r="T98" s="815"/>
    </row>
    <row r="99" spans="2:20">
      <c r="B99" s="818"/>
      <c r="C99" s="815"/>
      <c r="D99" s="815"/>
      <c r="E99" s="815"/>
      <c r="F99" s="815"/>
      <c r="G99" s="815"/>
      <c r="H99" s="815"/>
      <c r="I99" s="815"/>
      <c r="J99" s="815"/>
      <c r="K99" s="815"/>
      <c r="L99" s="815"/>
      <c r="M99" s="815"/>
      <c r="N99" s="815"/>
      <c r="O99" s="815"/>
      <c r="P99" s="815"/>
      <c r="Q99" s="815"/>
      <c r="R99" s="815"/>
      <c r="S99" s="815"/>
      <c r="T99" s="815"/>
    </row>
    <row r="100" spans="2:20">
      <c r="B100" s="818"/>
      <c r="C100" s="815"/>
      <c r="D100" s="815"/>
      <c r="E100" s="815"/>
      <c r="F100" s="815"/>
      <c r="G100" s="815"/>
      <c r="H100" s="815"/>
      <c r="I100" s="815"/>
      <c r="J100" s="815"/>
      <c r="K100" s="815"/>
      <c r="L100" s="815"/>
      <c r="M100" s="815"/>
      <c r="N100" s="815"/>
      <c r="O100" s="815"/>
      <c r="P100" s="815"/>
      <c r="Q100" s="815"/>
      <c r="R100" s="815"/>
      <c r="S100" s="815"/>
      <c r="T100" s="815"/>
    </row>
    <row r="101" spans="2:20">
      <c r="B101" s="818"/>
      <c r="C101" s="815"/>
      <c r="D101" s="815"/>
      <c r="E101" s="815"/>
      <c r="F101" s="815"/>
      <c r="G101" s="815"/>
      <c r="H101" s="815"/>
      <c r="I101" s="815"/>
      <c r="J101" s="815"/>
      <c r="K101" s="815"/>
      <c r="L101" s="815"/>
      <c r="M101" s="815"/>
      <c r="N101" s="815"/>
      <c r="O101" s="815"/>
      <c r="P101" s="815"/>
      <c r="Q101" s="815"/>
      <c r="R101" s="815"/>
      <c r="S101" s="815"/>
      <c r="T101" s="815"/>
    </row>
    <row r="102" spans="2:20">
      <c r="B102" s="818"/>
      <c r="C102" s="815"/>
      <c r="D102" s="815"/>
      <c r="E102" s="815"/>
      <c r="F102" s="815"/>
      <c r="G102" s="815"/>
      <c r="H102" s="815"/>
      <c r="I102" s="815"/>
      <c r="J102" s="815"/>
      <c r="K102" s="815"/>
      <c r="L102" s="815"/>
      <c r="M102" s="815"/>
      <c r="N102" s="815"/>
      <c r="O102" s="815"/>
      <c r="P102" s="815"/>
      <c r="Q102" s="815"/>
      <c r="R102" s="815"/>
      <c r="S102" s="815"/>
      <c r="T102" s="815"/>
    </row>
    <row r="103" spans="2:20">
      <c r="B103" s="818"/>
      <c r="C103" s="815"/>
      <c r="D103" s="815"/>
      <c r="E103" s="815"/>
      <c r="F103" s="815"/>
      <c r="G103" s="815"/>
      <c r="H103" s="815"/>
      <c r="I103" s="815"/>
      <c r="J103" s="815"/>
      <c r="K103" s="815"/>
      <c r="L103" s="815"/>
      <c r="M103" s="815"/>
      <c r="N103" s="815"/>
      <c r="O103" s="815"/>
      <c r="P103" s="815"/>
      <c r="Q103" s="815"/>
      <c r="R103" s="815"/>
      <c r="S103" s="815"/>
      <c r="T103" s="815"/>
    </row>
    <row r="104" spans="2:20">
      <c r="B104" s="818"/>
      <c r="C104" s="815"/>
      <c r="D104" s="815"/>
      <c r="E104" s="815"/>
      <c r="F104" s="815"/>
      <c r="G104" s="815"/>
      <c r="H104" s="815"/>
      <c r="I104" s="815"/>
      <c r="J104" s="815"/>
      <c r="K104" s="815"/>
      <c r="L104" s="815"/>
      <c r="M104" s="815"/>
      <c r="N104" s="815"/>
      <c r="O104" s="815"/>
      <c r="P104" s="815"/>
      <c r="Q104" s="815"/>
      <c r="R104" s="815"/>
      <c r="S104" s="815"/>
      <c r="T104" s="815"/>
    </row>
    <row r="105" spans="2:20">
      <c r="B105" s="819"/>
      <c r="C105" s="814"/>
      <c r="D105" s="814"/>
      <c r="E105" s="814"/>
      <c r="F105" s="814"/>
      <c r="H105" s="814"/>
      <c r="I105" s="814"/>
    </row>
    <row r="106" spans="2:20">
      <c r="B106" s="819"/>
      <c r="C106" s="814"/>
      <c r="D106" s="814"/>
      <c r="E106" s="814"/>
      <c r="F106" s="814"/>
      <c r="H106" s="814"/>
      <c r="I106" s="814"/>
    </row>
    <row r="107" spans="2:20">
      <c r="B107" s="819"/>
      <c r="C107" s="814"/>
      <c r="D107" s="814"/>
      <c r="E107" s="814"/>
      <c r="F107" s="814"/>
      <c r="H107" s="814"/>
      <c r="I107" s="814"/>
    </row>
    <row r="108" spans="2:20">
      <c r="B108" s="819"/>
      <c r="C108" s="814"/>
      <c r="D108" s="814"/>
      <c r="E108" s="814"/>
      <c r="F108" s="814"/>
      <c r="H108" s="814"/>
      <c r="I108" s="814"/>
    </row>
    <row r="109" spans="2:20">
      <c r="B109" s="819"/>
      <c r="C109" s="814"/>
      <c r="D109" s="814"/>
      <c r="E109" s="814"/>
      <c r="F109" s="814"/>
      <c r="H109" s="814"/>
      <c r="I109" s="814"/>
    </row>
    <row r="110" spans="2:20">
      <c r="B110" s="819"/>
      <c r="C110" s="814"/>
      <c r="D110" s="814"/>
      <c r="E110" s="814"/>
      <c r="F110" s="814"/>
      <c r="H110" s="814"/>
      <c r="I110" s="814"/>
    </row>
    <row r="111" spans="2:20">
      <c r="B111" s="819"/>
      <c r="C111" s="814"/>
      <c r="D111" s="814"/>
      <c r="E111" s="814"/>
      <c r="F111" s="814"/>
      <c r="H111" s="814"/>
      <c r="I111" s="814"/>
    </row>
    <row r="112" spans="2:20">
      <c r="B112" s="819"/>
      <c r="C112" s="814"/>
      <c r="D112" s="814"/>
      <c r="E112" s="814"/>
      <c r="F112" s="814"/>
      <c r="H112" s="814"/>
      <c r="I112" s="814"/>
    </row>
    <row r="113" spans="2:9">
      <c r="B113" s="819"/>
      <c r="C113" s="814"/>
      <c r="D113" s="814"/>
      <c r="E113" s="814"/>
      <c r="F113" s="814"/>
      <c r="H113" s="814"/>
      <c r="I113" s="814"/>
    </row>
    <row r="114" spans="2:9">
      <c r="B114" s="819"/>
      <c r="C114" s="814"/>
      <c r="D114" s="814"/>
      <c r="E114" s="814"/>
      <c r="F114" s="814"/>
      <c r="H114" s="814"/>
      <c r="I114" s="814"/>
    </row>
    <row r="115" spans="2:9">
      <c r="B115" s="819"/>
      <c r="C115" s="814"/>
      <c r="D115" s="814"/>
      <c r="E115" s="814"/>
      <c r="F115" s="814"/>
      <c r="H115" s="814"/>
      <c r="I115" s="814"/>
    </row>
    <row r="116" spans="2:9">
      <c r="B116" s="819"/>
      <c r="C116" s="814"/>
      <c r="D116" s="814"/>
      <c r="E116" s="814"/>
      <c r="F116" s="814"/>
      <c r="H116" s="814"/>
      <c r="I116" s="814"/>
    </row>
    <row r="117" spans="2:9">
      <c r="B117" s="819"/>
      <c r="C117" s="814"/>
      <c r="D117" s="814"/>
      <c r="E117" s="814"/>
      <c r="F117" s="814"/>
      <c r="H117" s="814"/>
      <c r="I117" s="814"/>
    </row>
    <row r="118" spans="2:9">
      <c r="B118" s="819"/>
      <c r="C118" s="814"/>
      <c r="D118" s="814"/>
      <c r="E118" s="814"/>
      <c r="F118" s="814"/>
      <c r="H118" s="814"/>
      <c r="I118" s="814"/>
    </row>
    <row r="119" spans="2:9">
      <c r="B119" s="819"/>
      <c r="C119" s="814"/>
      <c r="D119" s="814"/>
      <c r="E119" s="814"/>
      <c r="F119" s="814"/>
      <c r="H119" s="814"/>
      <c r="I119" s="814"/>
    </row>
    <row r="120" spans="2:9">
      <c r="B120" s="819"/>
      <c r="C120" s="814"/>
      <c r="D120" s="814"/>
      <c r="E120" s="814"/>
      <c r="F120" s="814"/>
      <c r="H120" s="814"/>
      <c r="I120" s="814"/>
    </row>
    <row r="121" spans="2:9">
      <c r="B121" s="819"/>
      <c r="C121" s="814"/>
      <c r="D121" s="814"/>
      <c r="E121" s="814"/>
      <c r="F121" s="814"/>
      <c r="H121" s="814"/>
      <c r="I121" s="814"/>
    </row>
    <row r="122" spans="2:9">
      <c r="B122" s="819"/>
      <c r="C122" s="814"/>
      <c r="D122" s="814"/>
      <c r="E122" s="814"/>
      <c r="F122" s="814"/>
      <c r="H122" s="814"/>
      <c r="I122" s="814"/>
    </row>
    <row r="123" spans="2:9">
      <c r="B123" s="819"/>
      <c r="C123" s="814"/>
      <c r="D123" s="814"/>
      <c r="E123" s="814"/>
      <c r="F123" s="814"/>
      <c r="H123" s="814"/>
      <c r="I123" s="814"/>
    </row>
    <row r="124" spans="2:9">
      <c r="B124" s="819"/>
      <c r="C124" s="814"/>
      <c r="D124" s="814"/>
      <c r="E124" s="814"/>
      <c r="F124" s="814"/>
      <c r="H124" s="814"/>
      <c r="I124" s="814"/>
    </row>
    <row r="125" spans="2:9">
      <c r="B125" s="819"/>
      <c r="C125" s="814"/>
      <c r="D125" s="814"/>
      <c r="E125" s="814"/>
      <c r="F125" s="814"/>
      <c r="H125" s="814"/>
      <c r="I125" s="814"/>
    </row>
    <row r="126" spans="2:9">
      <c r="B126" s="819"/>
      <c r="C126" s="814"/>
      <c r="D126" s="814"/>
      <c r="E126" s="814"/>
      <c r="F126" s="814"/>
      <c r="H126" s="814"/>
      <c r="I126" s="814"/>
    </row>
    <row r="127" spans="2:9">
      <c r="B127" s="819"/>
      <c r="C127" s="814"/>
      <c r="D127" s="814"/>
      <c r="E127" s="814"/>
      <c r="F127" s="814"/>
      <c r="H127" s="814"/>
      <c r="I127" s="814"/>
    </row>
    <row r="128" spans="2:9">
      <c r="B128" s="819"/>
      <c r="C128" s="814"/>
      <c r="D128" s="814"/>
      <c r="E128" s="814"/>
      <c r="F128" s="814"/>
      <c r="H128" s="814"/>
      <c r="I128" s="814"/>
    </row>
    <row r="129" spans="2:9">
      <c r="B129" s="819"/>
      <c r="C129" s="814"/>
      <c r="D129" s="814"/>
      <c r="E129" s="814"/>
      <c r="F129" s="814"/>
      <c r="H129" s="814"/>
      <c r="I129" s="814"/>
    </row>
    <row r="130" spans="2:9">
      <c r="B130" s="819"/>
      <c r="C130" s="814"/>
      <c r="D130" s="814"/>
      <c r="E130" s="814"/>
      <c r="F130" s="814"/>
      <c r="H130" s="814"/>
      <c r="I130" s="814"/>
    </row>
    <row r="131" spans="2:9">
      <c r="B131" s="819"/>
      <c r="C131" s="814"/>
      <c r="D131" s="814"/>
      <c r="E131" s="814"/>
      <c r="F131" s="814"/>
      <c r="H131" s="814"/>
      <c r="I131" s="814"/>
    </row>
    <row r="132" spans="2:9">
      <c r="B132" s="819"/>
      <c r="C132" s="814"/>
      <c r="D132" s="814"/>
      <c r="E132" s="814"/>
      <c r="F132" s="814"/>
      <c r="H132" s="814"/>
      <c r="I132" s="814"/>
    </row>
    <row r="133" spans="2:9">
      <c r="B133" s="819"/>
      <c r="C133" s="814"/>
      <c r="D133" s="814"/>
      <c r="E133" s="814"/>
      <c r="F133" s="814"/>
      <c r="H133" s="814"/>
      <c r="I133" s="814"/>
    </row>
    <row r="134" spans="2:9">
      <c r="B134" s="819"/>
      <c r="C134" s="814"/>
      <c r="D134" s="814"/>
      <c r="E134" s="814"/>
      <c r="F134" s="814"/>
      <c r="H134" s="814"/>
      <c r="I134" s="814"/>
    </row>
    <row r="135" spans="2:9">
      <c r="B135" s="819"/>
      <c r="C135" s="814"/>
      <c r="D135" s="814"/>
      <c r="E135" s="814"/>
      <c r="F135" s="814"/>
      <c r="H135" s="814"/>
      <c r="I135" s="814"/>
    </row>
    <row r="136" spans="2:9">
      <c r="B136" s="819"/>
      <c r="C136" s="814"/>
      <c r="D136" s="814"/>
      <c r="E136" s="814"/>
      <c r="F136" s="814"/>
      <c r="H136" s="814"/>
      <c r="I136" s="814"/>
    </row>
    <row r="137" spans="2:9">
      <c r="B137" s="819"/>
      <c r="C137" s="814"/>
      <c r="D137" s="814"/>
      <c r="E137" s="814"/>
      <c r="F137" s="814"/>
      <c r="H137" s="814"/>
      <c r="I137" s="814"/>
    </row>
    <row r="138" spans="2:9">
      <c r="B138" s="819"/>
      <c r="C138" s="814"/>
      <c r="D138" s="814"/>
      <c r="E138" s="814"/>
      <c r="F138" s="814"/>
      <c r="H138" s="814"/>
      <c r="I138" s="814"/>
    </row>
    <row r="139" spans="2:9">
      <c r="B139" s="819"/>
      <c r="C139" s="814"/>
      <c r="D139" s="814"/>
      <c r="E139" s="814"/>
      <c r="F139" s="814"/>
      <c r="H139" s="814"/>
      <c r="I139" s="814"/>
    </row>
    <row r="140" spans="2:9">
      <c r="B140" s="819"/>
      <c r="C140" s="814"/>
      <c r="D140" s="814"/>
      <c r="E140" s="814"/>
      <c r="F140" s="814"/>
      <c r="H140" s="814"/>
      <c r="I140" s="814"/>
    </row>
    <row r="141" spans="2:9">
      <c r="B141" s="819"/>
      <c r="C141" s="814"/>
      <c r="D141" s="814"/>
      <c r="E141" s="814"/>
      <c r="F141" s="814"/>
      <c r="H141" s="814"/>
      <c r="I141" s="814"/>
    </row>
    <row r="142" spans="2:9">
      <c r="B142" s="819"/>
      <c r="C142" s="814"/>
      <c r="D142" s="814"/>
      <c r="E142" s="814"/>
      <c r="F142" s="814"/>
      <c r="H142" s="814"/>
      <c r="I142" s="814"/>
    </row>
    <row r="143" spans="2:9">
      <c r="B143" s="819"/>
      <c r="C143" s="814"/>
      <c r="D143" s="814"/>
      <c r="E143" s="814"/>
      <c r="F143" s="814"/>
      <c r="H143" s="814"/>
      <c r="I143" s="814"/>
    </row>
    <row r="144" spans="2:9">
      <c r="B144" s="819"/>
      <c r="C144" s="814"/>
      <c r="D144" s="814"/>
      <c r="E144" s="814"/>
      <c r="F144" s="814"/>
      <c r="H144" s="814"/>
      <c r="I144" s="814"/>
    </row>
    <row r="145" spans="2:9">
      <c r="B145" s="819"/>
      <c r="C145" s="814"/>
      <c r="D145" s="814"/>
      <c r="E145" s="814"/>
      <c r="F145" s="814"/>
      <c r="H145" s="814"/>
      <c r="I145" s="814"/>
    </row>
    <row r="146" spans="2:9">
      <c r="B146" s="819"/>
      <c r="C146" s="814"/>
      <c r="D146" s="814"/>
      <c r="E146" s="814"/>
      <c r="F146" s="814"/>
      <c r="H146" s="814"/>
      <c r="I146" s="814"/>
    </row>
    <row r="147" spans="2:9">
      <c r="B147" s="819"/>
      <c r="C147" s="814"/>
      <c r="D147" s="814"/>
      <c r="E147" s="814"/>
      <c r="F147" s="814"/>
      <c r="H147" s="814"/>
      <c r="I147" s="814"/>
    </row>
    <row r="148" spans="2:9">
      <c r="B148" s="819"/>
      <c r="C148" s="814"/>
      <c r="D148" s="814"/>
      <c r="E148" s="814"/>
      <c r="F148" s="814"/>
      <c r="H148" s="814"/>
      <c r="I148" s="814"/>
    </row>
    <row r="149" spans="2:9">
      <c r="B149" s="819"/>
      <c r="C149" s="814"/>
      <c r="D149" s="814"/>
      <c r="E149" s="814"/>
      <c r="F149" s="814"/>
      <c r="H149" s="814"/>
      <c r="I149" s="814"/>
    </row>
    <row r="150" spans="2:9">
      <c r="B150" s="819"/>
      <c r="C150" s="814"/>
      <c r="D150" s="814"/>
      <c r="E150" s="814"/>
      <c r="F150" s="814"/>
      <c r="H150" s="814"/>
      <c r="I150" s="814"/>
    </row>
    <row r="151" spans="2:9">
      <c r="B151" s="819"/>
      <c r="C151" s="814"/>
      <c r="D151" s="814"/>
      <c r="E151" s="814"/>
      <c r="F151" s="814"/>
      <c r="H151" s="814"/>
      <c r="I151" s="814"/>
    </row>
    <row r="152" spans="2:9">
      <c r="B152" s="819"/>
      <c r="C152" s="814"/>
      <c r="D152" s="814"/>
      <c r="E152" s="814"/>
      <c r="F152" s="814"/>
      <c r="H152" s="814"/>
      <c r="I152" s="814"/>
    </row>
    <row r="153" spans="2:9">
      <c r="B153" s="819"/>
      <c r="C153" s="814"/>
      <c r="D153" s="814"/>
      <c r="E153" s="814"/>
      <c r="F153" s="814"/>
      <c r="H153" s="814"/>
      <c r="I153" s="814"/>
    </row>
    <row r="154" spans="2:9">
      <c r="B154" s="819"/>
      <c r="C154" s="814"/>
      <c r="D154" s="814"/>
      <c r="E154" s="814"/>
      <c r="F154" s="814"/>
      <c r="H154" s="814"/>
      <c r="I154" s="814"/>
    </row>
    <row r="155" spans="2:9">
      <c r="B155" s="819"/>
      <c r="C155" s="814"/>
      <c r="D155" s="814"/>
      <c r="E155" s="814"/>
      <c r="F155" s="814"/>
      <c r="H155" s="814"/>
      <c r="I155" s="814"/>
    </row>
    <row r="156" spans="2:9">
      <c r="B156" s="819"/>
      <c r="C156" s="814"/>
      <c r="D156" s="814"/>
      <c r="E156" s="814"/>
      <c r="F156" s="814"/>
      <c r="H156" s="814"/>
      <c r="I156" s="814"/>
    </row>
    <row r="157" spans="2:9">
      <c r="B157" s="819"/>
      <c r="C157" s="814"/>
      <c r="D157" s="814"/>
      <c r="E157" s="814"/>
      <c r="F157" s="814"/>
      <c r="H157" s="814"/>
      <c r="I157" s="814"/>
    </row>
    <row r="158" spans="2:9">
      <c r="B158" s="819"/>
      <c r="C158" s="814"/>
      <c r="D158" s="814"/>
      <c r="E158" s="814"/>
      <c r="F158" s="814"/>
      <c r="H158" s="814"/>
      <c r="I158" s="814"/>
    </row>
    <row r="159" spans="2:9">
      <c r="B159" s="819"/>
      <c r="C159" s="814"/>
      <c r="D159" s="814"/>
      <c r="E159" s="814"/>
      <c r="F159" s="814"/>
      <c r="H159" s="814"/>
      <c r="I159" s="814"/>
    </row>
    <row r="160" spans="2:9">
      <c r="B160" s="819"/>
      <c r="C160" s="814"/>
      <c r="D160" s="814"/>
      <c r="E160" s="814"/>
      <c r="F160" s="814"/>
      <c r="H160" s="814"/>
      <c r="I160" s="814"/>
    </row>
    <row r="161" spans="2:9">
      <c r="B161" s="819"/>
      <c r="C161" s="814"/>
      <c r="D161" s="814"/>
      <c r="E161" s="814"/>
      <c r="F161" s="814"/>
      <c r="H161" s="814"/>
      <c r="I161" s="814"/>
    </row>
    <row r="162" spans="2:9">
      <c r="B162" s="819"/>
      <c r="C162" s="814"/>
      <c r="D162" s="814"/>
      <c r="E162" s="814"/>
      <c r="F162" s="814"/>
      <c r="H162" s="814"/>
      <c r="I162" s="814"/>
    </row>
    <row r="163" spans="2:9">
      <c r="B163" s="819"/>
      <c r="C163" s="814"/>
      <c r="D163" s="814"/>
      <c r="E163" s="814"/>
      <c r="F163" s="814"/>
      <c r="H163" s="814"/>
      <c r="I163" s="814"/>
    </row>
    <row r="164" spans="2:9">
      <c r="B164" s="819"/>
      <c r="C164" s="814"/>
      <c r="D164" s="814"/>
      <c r="E164" s="814"/>
      <c r="F164" s="814"/>
      <c r="H164" s="814"/>
      <c r="I164" s="814"/>
    </row>
    <row r="165" spans="2:9">
      <c r="B165" s="819"/>
      <c r="C165" s="814"/>
      <c r="D165" s="814"/>
      <c r="E165" s="814"/>
      <c r="F165" s="814"/>
      <c r="H165" s="814"/>
      <c r="I165" s="814"/>
    </row>
    <row r="166" spans="2:9">
      <c r="B166" s="819"/>
      <c r="C166" s="814"/>
      <c r="D166" s="814"/>
      <c r="E166" s="814"/>
      <c r="F166" s="814"/>
      <c r="H166" s="814"/>
      <c r="I166" s="814"/>
    </row>
    <row r="167" spans="2:9">
      <c r="B167" s="819"/>
      <c r="C167" s="814"/>
      <c r="D167" s="814"/>
      <c r="E167" s="814"/>
      <c r="F167" s="814"/>
      <c r="H167" s="814"/>
      <c r="I167" s="814"/>
    </row>
    <row r="168" spans="2:9">
      <c r="B168" s="819"/>
      <c r="C168" s="814"/>
      <c r="D168" s="814"/>
      <c r="E168" s="814"/>
      <c r="F168" s="814"/>
      <c r="H168" s="814"/>
      <c r="I168" s="814"/>
    </row>
    <row r="169" spans="2:9">
      <c r="B169" s="819"/>
      <c r="C169" s="814"/>
      <c r="D169" s="814"/>
      <c r="E169" s="814"/>
      <c r="F169" s="814"/>
      <c r="H169" s="814"/>
      <c r="I169" s="814"/>
    </row>
    <row r="170" spans="2:9">
      <c r="B170" s="819"/>
      <c r="C170" s="814"/>
      <c r="D170" s="814"/>
      <c r="E170" s="814"/>
      <c r="F170" s="814"/>
      <c r="H170" s="814"/>
      <c r="I170" s="814"/>
    </row>
    <row r="171" spans="2:9">
      <c r="B171" s="819"/>
      <c r="C171" s="814"/>
      <c r="D171" s="814"/>
      <c r="E171" s="814"/>
      <c r="F171" s="814"/>
      <c r="H171" s="814"/>
      <c r="I171" s="814"/>
    </row>
    <row r="172" spans="2:9">
      <c r="B172" s="819"/>
      <c r="C172" s="814"/>
      <c r="D172" s="814"/>
      <c r="E172" s="814"/>
      <c r="F172" s="814"/>
      <c r="H172" s="814"/>
      <c r="I172" s="814"/>
    </row>
    <row r="173" spans="2:9">
      <c r="B173" s="819"/>
      <c r="C173" s="814"/>
      <c r="D173" s="814"/>
      <c r="E173" s="814"/>
      <c r="F173" s="814"/>
      <c r="H173" s="814"/>
      <c r="I173" s="814"/>
    </row>
    <row r="174" spans="2:9">
      <c r="B174" s="819"/>
      <c r="C174" s="814"/>
      <c r="D174" s="814"/>
      <c r="E174" s="814"/>
      <c r="F174" s="814"/>
      <c r="H174" s="814"/>
      <c r="I174" s="814"/>
    </row>
    <row r="175" spans="2:9">
      <c r="B175" s="819"/>
      <c r="C175" s="814"/>
      <c r="D175" s="814"/>
      <c r="E175" s="814"/>
      <c r="F175" s="814"/>
      <c r="H175" s="814"/>
      <c r="I175" s="814"/>
    </row>
    <row r="176" spans="2:9">
      <c r="B176" s="819"/>
      <c r="C176" s="814"/>
      <c r="D176" s="814"/>
      <c r="E176" s="814"/>
      <c r="F176" s="814"/>
      <c r="H176" s="814"/>
      <c r="I176" s="814"/>
    </row>
    <row r="177" spans="2:9">
      <c r="B177" s="819"/>
      <c r="C177" s="814"/>
      <c r="D177" s="814"/>
      <c r="E177" s="814"/>
      <c r="F177" s="814"/>
      <c r="H177" s="814"/>
      <c r="I177" s="814"/>
    </row>
    <row r="178" spans="2:9">
      <c r="B178" s="819"/>
      <c r="C178" s="814"/>
      <c r="D178" s="814"/>
      <c r="E178" s="814"/>
      <c r="F178" s="814"/>
      <c r="H178" s="814"/>
      <c r="I178" s="814"/>
    </row>
    <row r="179" spans="2:9">
      <c r="B179" s="819"/>
      <c r="C179" s="814"/>
      <c r="D179" s="814"/>
      <c r="E179" s="814"/>
      <c r="F179" s="814"/>
      <c r="H179" s="814"/>
      <c r="I179" s="814"/>
    </row>
    <row r="180" spans="2:9">
      <c r="B180" s="819"/>
      <c r="C180" s="814"/>
      <c r="D180" s="814"/>
      <c r="E180" s="814"/>
      <c r="F180" s="814"/>
      <c r="H180" s="814"/>
      <c r="I180" s="814"/>
    </row>
    <row r="181" spans="2:9">
      <c r="B181" s="819"/>
      <c r="C181" s="814"/>
      <c r="D181" s="814"/>
      <c r="E181" s="814"/>
      <c r="F181" s="814"/>
      <c r="H181" s="814"/>
      <c r="I181" s="814"/>
    </row>
    <row r="182" spans="2:9">
      <c r="B182" s="819"/>
      <c r="C182" s="814"/>
      <c r="D182" s="814"/>
      <c r="E182" s="814"/>
      <c r="F182" s="814"/>
      <c r="H182" s="814"/>
      <c r="I182" s="814"/>
    </row>
    <row r="183" spans="2:9">
      <c r="B183" s="819"/>
      <c r="C183" s="814"/>
      <c r="D183" s="814"/>
      <c r="E183" s="814"/>
      <c r="F183" s="814"/>
      <c r="H183" s="814"/>
      <c r="I183" s="814"/>
    </row>
    <row r="184" spans="2:9">
      <c r="B184" s="819"/>
      <c r="C184" s="814"/>
      <c r="D184" s="814"/>
      <c r="E184" s="814"/>
      <c r="F184" s="814"/>
      <c r="H184" s="814"/>
      <c r="I184" s="814"/>
    </row>
    <row r="185" spans="2:9">
      <c r="B185" s="819"/>
      <c r="C185" s="814"/>
      <c r="D185" s="814"/>
      <c r="E185" s="814"/>
      <c r="F185" s="814"/>
      <c r="H185" s="814"/>
      <c r="I185" s="814"/>
    </row>
    <row r="186" spans="2:9">
      <c r="B186" s="819"/>
      <c r="C186" s="814"/>
      <c r="D186" s="814"/>
      <c r="E186" s="814"/>
      <c r="F186" s="814"/>
      <c r="H186" s="814"/>
      <c r="I186" s="814"/>
    </row>
    <row r="187" spans="2:9">
      <c r="B187" s="819"/>
      <c r="C187" s="814"/>
      <c r="D187" s="814"/>
      <c r="E187" s="814"/>
      <c r="F187" s="814"/>
      <c r="H187" s="814"/>
      <c r="I187" s="814"/>
    </row>
    <row r="188" spans="2:9">
      <c r="B188" s="819"/>
      <c r="C188" s="814"/>
      <c r="D188" s="814"/>
      <c r="E188" s="814"/>
      <c r="F188" s="814"/>
      <c r="H188" s="814"/>
      <c r="I188" s="814"/>
    </row>
    <row r="189" spans="2:9">
      <c r="B189" s="819"/>
      <c r="C189" s="814"/>
      <c r="D189" s="814"/>
      <c r="E189" s="814"/>
      <c r="F189" s="814"/>
      <c r="H189" s="814"/>
      <c r="I189" s="814"/>
    </row>
    <row r="190" spans="2:9">
      <c r="B190" s="819"/>
      <c r="C190" s="814"/>
      <c r="D190" s="814"/>
      <c r="E190" s="814"/>
      <c r="F190" s="814"/>
      <c r="H190" s="814"/>
      <c r="I190" s="814"/>
    </row>
    <row r="191" spans="2:9">
      <c r="B191" s="819"/>
      <c r="C191" s="814"/>
      <c r="D191" s="814"/>
      <c r="E191" s="814"/>
      <c r="F191" s="814"/>
      <c r="H191" s="814"/>
      <c r="I191" s="814"/>
    </row>
    <row r="192" spans="2:9">
      <c r="B192" s="819"/>
      <c r="C192" s="814"/>
      <c r="D192" s="814"/>
      <c r="E192" s="814"/>
      <c r="F192" s="814"/>
      <c r="H192" s="814"/>
      <c r="I192" s="814"/>
    </row>
    <row r="193" spans="2:9">
      <c r="B193" s="819"/>
      <c r="C193" s="814"/>
      <c r="D193" s="814"/>
      <c r="E193" s="814"/>
      <c r="F193" s="814"/>
      <c r="H193" s="814"/>
      <c r="I193" s="814"/>
    </row>
    <row r="194" spans="2:9">
      <c r="B194" s="819"/>
      <c r="C194" s="814"/>
      <c r="D194" s="814"/>
      <c r="E194" s="814"/>
      <c r="F194" s="814"/>
      <c r="H194" s="814"/>
      <c r="I194" s="814"/>
    </row>
    <row r="195" spans="2:9">
      <c r="B195" s="819"/>
      <c r="C195" s="814"/>
      <c r="D195" s="814"/>
      <c r="E195" s="814"/>
      <c r="F195" s="814"/>
      <c r="H195" s="814"/>
      <c r="I195" s="814"/>
    </row>
    <row r="196" spans="2:9">
      <c r="B196" s="819"/>
      <c r="C196" s="814"/>
      <c r="D196" s="814"/>
      <c r="E196" s="814"/>
      <c r="F196" s="814"/>
      <c r="H196" s="814"/>
      <c r="I196" s="814"/>
    </row>
    <row r="197" spans="2:9">
      <c r="B197" s="819"/>
      <c r="C197" s="814"/>
      <c r="D197" s="814"/>
      <c r="E197" s="814"/>
      <c r="F197" s="814"/>
      <c r="H197" s="814"/>
      <c r="I197" s="814"/>
    </row>
    <row r="198" spans="2:9">
      <c r="B198" s="819"/>
      <c r="C198" s="814"/>
      <c r="D198" s="814"/>
      <c r="E198" s="814"/>
      <c r="F198" s="814"/>
      <c r="H198" s="814"/>
      <c r="I198" s="814"/>
    </row>
    <row r="199" spans="2:9">
      <c r="B199" s="819"/>
      <c r="C199" s="814"/>
      <c r="D199" s="814"/>
      <c r="E199" s="814"/>
      <c r="F199" s="814"/>
      <c r="H199" s="814"/>
      <c r="I199" s="814"/>
    </row>
    <row r="200" spans="2:9">
      <c r="B200" s="819"/>
      <c r="C200" s="814"/>
      <c r="D200" s="814"/>
      <c r="E200" s="814"/>
      <c r="F200" s="814"/>
      <c r="H200" s="814"/>
      <c r="I200" s="814"/>
    </row>
    <row r="201" spans="2:9">
      <c r="B201" s="819"/>
      <c r="C201" s="814"/>
      <c r="D201" s="814"/>
      <c r="E201" s="814"/>
      <c r="F201" s="814"/>
      <c r="H201" s="814"/>
      <c r="I201" s="814"/>
    </row>
    <row r="202" spans="2:9">
      <c r="B202" s="819"/>
      <c r="C202" s="814"/>
      <c r="D202" s="814"/>
      <c r="E202" s="814"/>
      <c r="F202" s="814"/>
      <c r="H202" s="814"/>
      <c r="I202" s="814"/>
    </row>
    <row r="203" spans="2:9">
      <c r="B203" s="819"/>
      <c r="C203" s="814"/>
      <c r="D203" s="814"/>
      <c r="E203" s="814"/>
      <c r="F203" s="814"/>
      <c r="H203" s="814"/>
      <c r="I203" s="814"/>
    </row>
    <row r="204" spans="2:9">
      <c r="B204" s="819"/>
      <c r="C204" s="814"/>
      <c r="D204" s="814"/>
      <c r="E204" s="814"/>
      <c r="F204" s="814"/>
      <c r="H204" s="814"/>
      <c r="I204" s="814"/>
    </row>
    <row r="205" spans="2:9">
      <c r="B205" s="819"/>
      <c r="C205" s="814"/>
      <c r="D205" s="814"/>
      <c r="E205" s="814"/>
      <c r="F205" s="814"/>
      <c r="H205" s="814"/>
      <c r="I205" s="814"/>
    </row>
    <row r="206" spans="2:9">
      <c r="B206" s="819"/>
      <c r="C206" s="814"/>
      <c r="D206" s="814"/>
      <c r="E206" s="814"/>
      <c r="F206" s="814"/>
      <c r="H206" s="814"/>
      <c r="I206" s="814"/>
    </row>
    <row r="207" spans="2:9">
      <c r="B207" s="819"/>
      <c r="C207" s="814"/>
      <c r="D207" s="814"/>
      <c r="E207" s="814"/>
      <c r="F207" s="814"/>
      <c r="H207" s="814"/>
      <c r="I207" s="814"/>
    </row>
    <row r="208" spans="2:9">
      <c r="B208" s="819"/>
      <c r="C208" s="814"/>
      <c r="D208" s="814"/>
      <c r="E208" s="814"/>
      <c r="F208" s="814"/>
      <c r="H208" s="814"/>
      <c r="I208" s="814"/>
    </row>
    <row r="209" spans="2:9">
      <c r="B209" s="819"/>
      <c r="C209" s="814"/>
      <c r="D209" s="814"/>
      <c r="E209" s="814"/>
      <c r="F209" s="814"/>
      <c r="H209" s="814"/>
      <c r="I209" s="814"/>
    </row>
    <row r="210" spans="2:9">
      <c r="B210" s="819"/>
      <c r="C210" s="814"/>
      <c r="D210" s="814"/>
      <c r="E210" s="814"/>
      <c r="F210" s="814"/>
      <c r="H210" s="814"/>
      <c r="I210" s="814"/>
    </row>
    <row r="211" spans="2:9">
      <c r="B211" s="819"/>
      <c r="C211" s="814"/>
      <c r="D211" s="814"/>
      <c r="E211" s="814"/>
      <c r="F211" s="814"/>
      <c r="H211" s="814"/>
      <c r="I211" s="814"/>
    </row>
    <row r="212" spans="2:9">
      <c r="B212" s="819"/>
      <c r="C212" s="814"/>
      <c r="D212" s="814"/>
      <c r="E212" s="814"/>
      <c r="F212" s="814"/>
      <c r="H212" s="814"/>
      <c r="I212" s="814"/>
    </row>
    <row r="213" spans="2:9">
      <c r="B213" s="819"/>
      <c r="C213" s="814"/>
      <c r="D213" s="814"/>
      <c r="E213" s="814"/>
      <c r="F213" s="814"/>
      <c r="H213" s="814"/>
      <c r="I213" s="814"/>
    </row>
    <row r="214" spans="2:9">
      <c r="B214" s="819"/>
      <c r="C214" s="814"/>
      <c r="D214" s="814"/>
      <c r="E214" s="814"/>
      <c r="F214" s="814"/>
      <c r="H214" s="814"/>
      <c r="I214" s="814"/>
    </row>
    <row r="215" spans="2:9">
      <c r="B215" s="819"/>
      <c r="C215" s="814"/>
      <c r="D215" s="814"/>
      <c r="E215" s="814"/>
      <c r="F215" s="814"/>
      <c r="H215" s="814"/>
      <c r="I215" s="814"/>
    </row>
    <row r="216" spans="2:9">
      <c r="B216" s="819"/>
      <c r="C216" s="814"/>
      <c r="D216" s="814"/>
      <c r="E216" s="814"/>
      <c r="F216" s="814"/>
      <c r="H216" s="814"/>
      <c r="I216" s="814"/>
    </row>
    <row r="217" spans="2:9">
      <c r="B217" s="819"/>
      <c r="C217" s="814"/>
      <c r="D217" s="814"/>
      <c r="E217" s="814"/>
      <c r="F217" s="814"/>
      <c r="H217" s="814"/>
      <c r="I217" s="814"/>
    </row>
    <row r="218" spans="2:9">
      <c r="B218" s="819"/>
      <c r="C218" s="814"/>
      <c r="D218" s="814"/>
      <c r="E218" s="814"/>
      <c r="F218" s="814"/>
      <c r="H218" s="814"/>
      <c r="I218" s="814"/>
    </row>
    <row r="219" spans="2:9">
      <c r="B219" s="819"/>
      <c r="C219" s="814"/>
      <c r="D219" s="814"/>
      <c r="E219" s="814"/>
      <c r="F219" s="814"/>
      <c r="H219" s="814"/>
      <c r="I219" s="814"/>
    </row>
    <row r="220" spans="2:9">
      <c r="B220" s="819"/>
      <c r="C220" s="814"/>
      <c r="D220" s="814"/>
      <c r="E220" s="814"/>
      <c r="F220" s="814"/>
      <c r="H220" s="814"/>
      <c r="I220" s="814"/>
    </row>
    <row r="221" spans="2:9">
      <c r="B221" s="819"/>
      <c r="C221" s="814"/>
      <c r="D221" s="814"/>
      <c r="E221" s="814"/>
      <c r="F221" s="814"/>
      <c r="H221" s="814"/>
      <c r="I221" s="814"/>
    </row>
    <row r="222" spans="2:9">
      <c r="B222" s="819"/>
      <c r="C222" s="814"/>
      <c r="D222" s="814"/>
      <c r="E222" s="814"/>
      <c r="F222" s="814"/>
      <c r="H222" s="814"/>
      <c r="I222" s="814"/>
    </row>
    <row r="223" spans="2:9">
      <c r="B223" s="819"/>
      <c r="C223" s="814"/>
      <c r="D223" s="814"/>
      <c r="E223" s="814"/>
      <c r="F223" s="814"/>
      <c r="H223" s="814"/>
      <c r="I223" s="814"/>
    </row>
    <row r="224" spans="2:9">
      <c r="B224" s="819"/>
      <c r="C224" s="814"/>
      <c r="D224" s="814"/>
      <c r="E224" s="814"/>
      <c r="F224" s="814"/>
      <c r="H224" s="814"/>
      <c r="I224" s="814"/>
    </row>
    <row r="225" spans="2:9">
      <c r="B225" s="819"/>
      <c r="C225" s="814"/>
      <c r="D225" s="814"/>
      <c r="E225" s="814"/>
      <c r="F225" s="814"/>
      <c r="H225" s="814"/>
      <c r="I225" s="814"/>
    </row>
    <row r="226" spans="2:9">
      <c r="B226" s="819"/>
      <c r="C226" s="814"/>
      <c r="D226" s="814"/>
      <c r="E226" s="814"/>
      <c r="F226" s="814"/>
      <c r="H226" s="814"/>
      <c r="I226" s="814"/>
    </row>
    <row r="227" spans="2:9">
      <c r="B227" s="819"/>
      <c r="C227" s="814"/>
      <c r="D227" s="814"/>
      <c r="E227" s="814"/>
      <c r="F227" s="814"/>
      <c r="H227" s="814"/>
      <c r="I227" s="814"/>
    </row>
    <row r="228" spans="2:9">
      <c r="B228" s="819"/>
      <c r="C228" s="814"/>
      <c r="D228" s="814"/>
      <c r="E228" s="814"/>
      <c r="F228" s="814"/>
      <c r="H228" s="814"/>
      <c r="I228" s="814"/>
    </row>
    <row r="229" spans="2:9">
      <c r="B229" s="819"/>
      <c r="C229" s="814"/>
      <c r="D229" s="814"/>
      <c r="E229" s="814"/>
      <c r="F229" s="814"/>
      <c r="H229" s="814"/>
      <c r="I229" s="814"/>
    </row>
    <row r="230" spans="2:9">
      <c r="B230" s="819"/>
      <c r="C230" s="814"/>
      <c r="D230" s="814"/>
      <c r="E230" s="814"/>
      <c r="F230" s="814"/>
      <c r="H230" s="814"/>
      <c r="I230" s="814"/>
    </row>
    <row r="231" spans="2:9">
      <c r="B231" s="819"/>
      <c r="C231" s="814"/>
      <c r="D231" s="814"/>
      <c r="E231" s="814"/>
      <c r="F231" s="814"/>
      <c r="H231" s="814"/>
      <c r="I231" s="814"/>
    </row>
    <row r="232" spans="2:9">
      <c r="B232" s="819"/>
      <c r="C232" s="814"/>
      <c r="D232" s="814"/>
      <c r="E232" s="814"/>
      <c r="F232" s="814"/>
      <c r="H232" s="814"/>
      <c r="I232" s="814"/>
    </row>
    <row r="233" spans="2:9">
      <c r="B233" s="819"/>
      <c r="C233" s="814"/>
      <c r="D233" s="814"/>
      <c r="E233" s="814"/>
      <c r="F233" s="814"/>
      <c r="H233" s="814"/>
      <c r="I233" s="814"/>
    </row>
    <row r="234" spans="2:9">
      <c r="B234" s="819"/>
      <c r="C234" s="814"/>
      <c r="D234" s="814"/>
      <c r="E234" s="814"/>
      <c r="F234" s="814"/>
      <c r="H234" s="814"/>
      <c r="I234" s="814"/>
    </row>
    <row r="235" spans="2:9">
      <c r="B235" s="819"/>
      <c r="C235" s="814"/>
      <c r="D235" s="814"/>
      <c r="E235" s="814"/>
      <c r="F235" s="814"/>
      <c r="H235" s="814"/>
      <c r="I235" s="814"/>
    </row>
    <row r="236" spans="2:9">
      <c r="B236" s="819"/>
      <c r="C236" s="814"/>
      <c r="D236" s="814"/>
      <c r="E236" s="814"/>
      <c r="F236" s="814"/>
      <c r="H236" s="814"/>
      <c r="I236" s="814"/>
    </row>
    <row r="237" spans="2:9">
      <c r="B237" s="819"/>
      <c r="C237" s="814"/>
      <c r="D237" s="814"/>
      <c r="E237" s="814"/>
      <c r="F237" s="814"/>
      <c r="H237" s="814"/>
      <c r="I237" s="814"/>
    </row>
    <row r="238" spans="2:9">
      <c r="B238" s="819"/>
      <c r="C238" s="814"/>
      <c r="D238" s="814"/>
      <c r="E238" s="814"/>
      <c r="F238" s="814"/>
      <c r="H238" s="814"/>
      <c r="I238" s="814"/>
    </row>
    <row r="239" spans="2:9">
      <c r="B239" s="819"/>
      <c r="C239" s="814"/>
      <c r="D239" s="814"/>
      <c r="E239" s="814"/>
      <c r="F239" s="814"/>
      <c r="H239" s="814"/>
      <c r="I239" s="814"/>
    </row>
    <row r="240" spans="2:9">
      <c r="B240" s="819"/>
      <c r="C240" s="814"/>
      <c r="D240" s="814"/>
      <c r="E240" s="814"/>
      <c r="F240" s="814"/>
      <c r="H240" s="814"/>
      <c r="I240" s="814"/>
    </row>
    <row r="241" spans="2:9">
      <c r="B241" s="819"/>
      <c r="C241" s="814"/>
      <c r="D241" s="814"/>
      <c r="E241" s="814"/>
      <c r="F241" s="814"/>
      <c r="H241" s="814"/>
      <c r="I241" s="814"/>
    </row>
    <row r="242" spans="2:9">
      <c r="B242" s="819"/>
      <c r="C242" s="814"/>
      <c r="D242" s="814"/>
      <c r="E242" s="814"/>
      <c r="F242" s="814"/>
      <c r="H242" s="814"/>
      <c r="I242" s="814"/>
    </row>
    <row r="243" spans="2:9">
      <c r="B243" s="819"/>
      <c r="C243" s="814"/>
      <c r="D243" s="814"/>
      <c r="E243" s="814"/>
      <c r="F243" s="814"/>
      <c r="H243" s="814"/>
      <c r="I243" s="814"/>
    </row>
    <row r="244" spans="2:9">
      <c r="B244" s="819"/>
      <c r="C244" s="814"/>
      <c r="D244" s="814"/>
      <c r="E244" s="814"/>
      <c r="F244" s="814"/>
      <c r="H244" s="814"/>
      <c r="I244" s="814"/>
    </row>
    <row r="245" spans="2:9">
      <c r="B245" s="819"/>
      <c r="C245" s="814"/>
      <c r="D245" s="814"/>
      <c r="E245" s="814"/>
      <c r="F245" s="814"/>
      <c r="H245" s="814"/>
      <c r="I245" s="814"/>
    </row>
    <row r="246" spans="2:9">
      <c r="B246" s="819"/>
      <c r="C246" s="814"/>
      <c r="D246" s="814"/>
      <c r="E246" s="814"/>
      <c r="F246" s="814"/>
      <c r="H246" s="814"/>
      <c r="I246" s="814"/>
    </row>
    <row r="247" spans="2:9">
      <c r="B247" s="819"/>
      <c r="C247" s="814"/>
      <c r="D247" s="814"/>
      <c r="E247" s="814"/>
      <c r="F247" s="814"/>
      <c r="H247" s="814"/>
      <c r="I247" s="814"/>
    </row>
    <row r="248" spans="2:9">
      <c r="B248" s="819"/>
      <c r="C248" s="814"/>
      <c r="D248" s="814"/>
      <c r="E248" s="814"/>
      <c r="F248" s="814"/>
      <c r="H248" s="814"/>
      <c r="I248" s="814"/>
    </row>
    <row r="249" spans="2:9">
      <c r="B249" s="819"/>
      <c r="C249" s="814"/>
      <c r="D249" s="814"/>
      <c r="E249" s="814"/>
      <c r="F249" s="814"/>
      <c r="H249" s="814"/>
      <c r="I249" s="814"/>
    </row>
    <row r="250" spans="2:9">
      <c r="B250" s="819"/>
      <c r="C250" s="814"/>
      <c r="D250" s="814"/>
      <c r="E250" s="814"/>
      <c r="F250" s="814"/>
      <c r="H250" s="814"/>
      <c r="I250" s="814"/>
    </row>
    <row r="251" spans="2:9">
      <c r="B251" s="819"/>
      <c r="C251" s="814"/>
      <c r="D251" s="814"/>
      <c r="E251" s="814"/>
      <c r="F251" s="814"/>
      <c r="H251" s="814"/>
      <c r="I251" s="814"/>
    </row>
    <row r="252" spans="2:9">
      <c r="B252" s="819"/>
      <c r="C252" s="814"/>
      <c r="D252" s="814"/>
      <c r="E252" s="814"/>
      <c r="F252" s="814"/>
      <c r="H252" s="814"/>
      <c r="I252" s="814"/>
    </row>
    <row r="253" spans="2:9">
      <c r="B253" s="819"/>
      <c r="C253" s="814"/>
      <c r="D253" s="814"/>
      <c r="E253" s="814"/>
      <c r="F253" s="814"/>
      <c r="H253" s="814"/>
      <c r="I253" s="814"/>
    </row>
    <row r="254" spans="2:9">
      <c r="B254" s="819"/>
      <c r="C254" s="814"/>
      <c r="D254" s="814"/>
      <c r="E254" s="814"/>
      <c r="F254" s="814"/>
      <c r="H254" s="814"/>
      <c r="I254" s="814"/>
    </row>
    <row r="255" spans="2:9">
      <c r="B255" s="819"/>
      <c r="C255" s="814"/>
      <c r="D255" s="814"/>
      <c r="E255" s="814"/>
      <c r="F255" s="814"/>
      <c r="H255" s="814"/>
      <c r="I255" s="814"/>
    </row>
    <row r="256" spans="2:9">
      <c r="B256" s="819"/>
      <c r="C256" s="814"/>
      <c r="D256" s="814"/>
      <c r="E256" s="814"/>
      <c r="F256" s="814"/>
      <c r="H256" s="814"/>
      <c r="I256" s="814"/>
    </row>
    <row r="257" spans="2:9">
      <c r="B257" s="819"/>
      <c r="C257" s="814"/>
      <c r="D257" s="814"/>
      <c r="E257" s="814"/>
      <c r="F257" s="814"/>
      <c r="H257" s="814"/>
      <c r="I257" s="814"/>
    </row>
    <row r="258" spans="2:9">
      <c r="B258" s="819"/>
      <c r="C258" s="814"/>
      <c r="D258" s="814"/>
      <c r="E258" s="814"/>
      <c r="F258" s="814"/>
      <c r="H258" s="814"/>
      <c r="I258" s="814"/>
    </row>
    <row r="259" spans="2:9">
      <c r="B259" s="819"/>
      <c r="C259" s="814"/>
      <c r="D259" s="814"/>
      <c r="E259" s="814"/>
      <c r="F259" s="814"/>
      <c r="H259" s="814"/>
      <c r="I259" s="814"/>
    </row>
    <row r="260" spans="2:9">
      <c r="B260" s="819"/>
      <c r="C260" s="814"/>
      <c r="D260" s="814"/>
      <c r="E260" s="814"/>
      <c r="F260" s="814"/>
      <c r="H260" s="814"/>
      <c r="I260" s="814"/>
    </row>
    <row r="261" spans="2:9">
      <c r="B261" s="819"/>
      <c r="C261" s="814"/>
      <c r="D261" s="814"/>
      <c r="E261" s="814"/>
      <c r="F261" s="814"/>
      <c r="H261" s="814"/>
      <c r="I261" s="814"/>
    </row>
    <row r="262" spans="2:9">
      <c r="B262" s="819"/>
      <c r="C262" s="814"/>
      <c r="D262" s="814"/>
      <c r="E262" s="814"/>
      <c r="F262" s="814"/>
      <c r="H262" s="814"/>
      <c r="I262" s="814"/>
    </row>
    <row r="263" spans="2:9">
      <c r="B263" s="819"/>
      <c r="C263" s="814"/>
      <c r="D263" s="814"/>
      <c r="E263" s="814"/>
      <c r="F263" s="814"/>
      <c r="H263" s="814"/>
      <c r="I263" s="814"/>
    </row>
    <row r="264" spans="2:9">
      <c r="B264" s="819"/>
      <c r="C264" s="814"/>
      <c r="D264" s="814"/>
      <c r="E264" s="814"/>
      <c r="F264" s="814"/>
      <c r="H264" s="814"/>
      <c r="I264" s="814"/>
    </row>
    <row r="265" spans="2:9">
      <c r="B265" s="819"/>
      <c r="C265" s="814"/>
      <c r="D265" s="814"/>
      <c r="E265" s="814"/>
      <c r="F265" s="814"/>
      <c r="H265" s="814"/>
      <c r="I265" s="814"/>
    </row>
    <row r="266" spans="2:9">
      <c r="B266" s="819"/>
      <c r="C266" s="814"/>
      <c r="D266" s="814"/>
      <c r="E266" s="814"/>
      <c r="F266" s="814"/>
      <c r="H266" s="814"/>
      <c r="I266" s="814"/>
    </row>
    <row r="267" spans="2:9">
      <c r="B267" s="819"/>
      <c r="C267" s="814"/>
      <c r="D267" s="814"/>
      <c r="E267" s="814"/>
      <c r="F267" s="814"/>
      <c r="H267" s="814"/>
      <c r="I267" s="814"/>
    </row>
    <row r="268" spans="2:9">
      <c r="B268" s="819"/>
      <c r="C268" s="814"/>
      <c r="D268" s="814"/>
      <c r="E268" s="814"/>
      <c r="F268" s="814"/>
      <c r="H268" s="814"/>
      <c r="I268" s="814"/>
    </row>
    <row r="269" spans="2:9">
      <c r="B269" s="819"/>
      <c r="C269" s="814"/>
      <c r="D269" s="814"/>
      <c r="E269" s="814"/>
      <c r="F269" s="814"/>
      <c r="H269" s="814"/>
      <c r="I269" s="814"/>
    </row>
    <row r="270" spans="2:9">
      <c r="B270" s="819"/>
      <c r="C270" s="814"/>
      <c r="D270" s="814"/>
      <c r="E270" s="814"/>
      <c r="F270" s="814"/>
      <c r="H270" s="814"/>
      <c r="I270" s="814"/>
    </row>
    <row r="271" spans="2:9">
      <c r="B271" s="819"/>
      <c r="C271" s="814"/>
      <c r="D271" s="814"/>
      <c r="E271" s="814"/>
      <c r="F271" s="814"/>
      <c r="H271" s="814"/>
      <c r="I271" s="814"/>
    </row>
    <row r="272" spans="2:9">
      <c r="B272" s="819"/>
      <c r="C272" s="814"/>
      <c r="D272" s="814"/>
      <c r="E272" s="814"/>
      <c r="F272" s="814"/>
      <c r="H272" s="814"/>
      <c r="I272" s="814"/>
    </row>
    <row r="273" spans="2:9">
      <c r="B273" s="819"/>
      <c r="C273" s="814"/>
      <c r="D273" s="814"/>
      <c r="E273" s="814"/>
      <c r="F273" s="814"/>
      <c r="H273" s="814"/>
      <c r="I273" s="814"/>
    </row>
    <row r="274" spans="2:9">
      <c r="B274" s="819"/>
      <c r="C274" s="814"/>
      <c r="D274" s="814"/>
      <c r="E274" s="814"/>
      <c r="F274" s="814"/>
      <c r="H274" s="814"/>
      <c r="I274" s="814"/>
    </row>
    <row r="275" spans="2:9">
      <c r="B275" s="819"/>
      <c r="C275" s="814"/>
      <c r="D275" s="814"/>
      <c r="E275" s="814"/>
      <c r="F275" s="814"/>
      <c r="H275" s="814"/>
      <c r="I275" s="814"/>
    </row>
    <row r="276" spans="2:9">
      <c r="B276" s="819"/>
      <c r="C276" s="814"/>
      <c r="D276" s="814"/>
      <c r="E276" s="814"/>
      <c r="F276" s="814"/>
      <c r="H276" s="814"/>
      <c r="I276" s="814"/>
    </row>
    <row r="277" spans="2:9">
      <c r="B277" s="819"/>
      <c r="C277" s="814"/>
      <c r="D277" s="814"/>
      <c r="E277" s="814"/>
      <c r="F277" s="814"/>
      <c r="H277" s="814"/>
      <c r="I277" s="814"/>
    </row>
    <row r="278" spans="2:9">
      <c r="B278" s="819"/>
      <c r="C278" s="814"/>
      <c r="D278" s="814"/>
      <c r="E278" s="814"/>
      <c r="F278" s="814"/>
      <c r="H278" s="814"/>
      <c r="I278" s="814"/>
    </row>
    <row r="279" spans="2:9">
      <c r="B279" s="819"/>
      <c r="C279" s="814"/>
      <c r="D279" s="814"/>
      <c r="E279" s="814"/>
      <c r="F279" s="814"/>
      <c r="H279" s="814"/>
      <c r="I279" s="814"/>
    </row>
    <row r="280" spans="2:9">
      <c r="B280" s="819"/>
      <c r="C280" s="814"/>
      <c r="D280" s="814"/>
      <c r="E280" s="814"/>
      <c r="F280" s="814"/>
      <c r="H280" s="814"/>
      <c r="I280" s="814"/>
    </row>
    <row r="281" spans="2:9">
      <c r="B281" s="819"/>
      <c r="C281" s="814"/>
      <c r="D281" s="814"/>
      <c r="E281" s="814"/>
      <c r="F281" s="814"/>
      <c r="H281" s="814"/>
      <c r="I281" s="814"/>
    </row>
    <row r="282" spans="2:9">
      <c r="B282" s="819"/>
      <c r="C282" s="814"/>
      <c r="D282" s="814"/>
      <c r="E282" s="814"/>
      <c r="F282" s="814"/>
      <c r="H282" s="814"/>
      <c r="I282" s="814"/>
    </row>
    <row r="283" spans="2:9">
      <c r="B283" s="819"/>
      <c r="C283" s="814"/>
      <c r="D283" s="814"/>
      <c r="E283" s="814"/>
      <c r="F283" s="814"/>
      <c r="H283" s="814"/>
      <c r="I283" s="814"/>
    </row>
    <row r="284" spans="2:9">
      <c r="B284" s="819"/>
      <c r="C284" s="814"/>
      <c r="D284" s="814"/>
      <c r="E284" s="814"/>
      <c r="F284" s="814"/>
      <c r="H284" s="814"/>
      <c r="I284" s="814"/>
    </row>
    <row r="285" spans="2:9">
      <c r="B285" s="819"/>
      <c r="C285" s="814"/>
      <c r="D285" s="814"/>
      <c r="E285" s="814"/>
      <c r="F285" s="814"/>
      <c r="H285" s="814"/>
      <c r="I285" s="814"/>
    </row>
    <row r="286" spans="2:9">
      <c r="B286" s="819"/>
      <c r="C286" s="814"/>
      <c r="D286" s="814"/>
      <c r="E286" s="814"/>
      <c r="F286" s="814"/>
      <c r="H286" s="814"/>
      <c r="I286" s="814"/>
    </row>
    <row r="287" spans="2:9">
      <c r="B287" s="819"/>
      <c r="C287" s="814"/>
      <c r="D287" s="814"/>
      <c r="E287" s="814"/>
      <c r="F287" s="814"/>
      <c r="H287" s="814"/>
      <c r="I287" s="814"/>
    </row>
    <row r="288" spans="2:9">
      <c r="B288" s="819"/>
      <c r="C288" s="814"/>
      <c r="D288" s="814"/>
      <c r="E288" s="814"/>
      <c r="F288" s="814"/>
      <c r="H288" s="814"/>
      <c r="I288" s="814"/>
    </row>
    <row r="289" spans="2:9">
      <c r="B289" s="819"/>
      <c r="C289" s="814"/>
      <c r="D289" s="814"/>
      <c r="E289" s="814"/>
      <c r="F289" s="814"/>
      <c r="H289" s="814"/>
      <c r="I289" s="814"/>
    </row>
    <row r="290" spans="2:9">
      <c r="B290" s="819"/>
      <c r="C290" s="814"/>
      <c r="D290" s="814"/>
      <c r="E290" s="814"/>
      <c r="F290" s="814"/>
      <c r="H290" s="814"/>
      <c r="I290" s="814"/>
    </row>
    <row r="291" spans="2:9">
      <c r="B291" s="819"/>
      <c r="C291" s="814"/>
      <c r="D291" s="814"/>
      <c r="E291" s="814"/>
      <c r="F291" s="814"/>
      <c r="H291" s="814"/>
      <c r="I291" s="814"/>
    </row>
    <row r="292" spans="2:9">
      <c r="B292" s="819"/>
      <c r="C292" s="814"/>
      <c r="D292" s="814"/>
      <c r="E292" s="814"/>
      <c r="F292" s="814"/>
      <c r="H292" s="814"/>
      <c r="I292" s="814"/>
    </row>
    <row r="293" spans="2:9">
      <c r="B293" s="819"/>
      <c r="C293" s="814"/>
      <c r="D293" s="814"/>
      <c r="E293" s="814"/>
      <c r="F293" s="814"/>
      <c r="H293" s="814"/>
      <c r="I293" s="814"/>
    </row>
    <row r="294" spans="2:9">
      <c r="B294" s="819"/>
      <c r="C294" s="814"/>
      <c r="D294" s="814"/>
      <c r="E294" s="814"/>
      <c r="F294" s="814"/>
      <c r="H294" s="814"/>
      <c r="I294" s="814"/>
    </row>
    <row r="295" spans="2:9">
      <c r="B295" s="819"/>
      <c r="C295" s="814"/>
      <c r="D295" s="814"/>
      <c r="E295" s="814"/>
      <c r="F295" s="814"/>
      <c r="H295" s="814"/>
      <c r="I295" s="814"/>
    </row>
    <row r="296" spans="2:9">
      <c r="B296" s="819"/>
      <c r="C296" s="814"/>
      <c r="D296" s="814"/>
      <c r="E296" s="814"/>
      <c r="F296" s="814"/>
      <c r="H296" s="814"/>
      <c r="I296" s="814"/>
    </row>
    <row r="297" spans="2:9">
      <c r="B297" s="819"/>
      <c r="C297" s="814"/>
      <c r="D297" s="814"/>
      <c r="E297" s="814"/>
      <c r="F297" s="814"/>
      <c r="H297" s="814"/>
      <c r="I297" s="814"/>
    </row>
    <row r="298" spans="2:9">
      <c r="B298" s="819"/>
      <c r="C298" s="814"/>
      <c r="D298" s="814"/>
      <c r="E298" s="814"/>
      <c r="F298" s="814"/>
      <c r="H298" s="814"/>
      <c r="I298" s="814"/>
    </row>
    <row r="299" spans="2:9">
      <c r="B299" s="819"/>
      <c r="C299" s="814"/>
      <c r="D299" s="814"/>
      <c r="E299" s="814"/>
      <c r="F299" s="814"/>
      <c r="H299" s="814"/>
      <c r="I299" s="814"/>
    </row>
    <row r="300" spans="2:9">
      <c r="B300" s="819"/>
      <c r="C300" s="814"/>
      <c r="D300" s="814"/>
      <c r="E300" s="814"/>
      <c r="F300" s="814"/>
      <c r="H300" s="814"/>
      <c r="I300" s="814"/>
    </row>
    <row r="301" spans="2:9">
      <c r="B301" s="819"/>
      <c r="C301" s="814"/>
      <c r="D301" s="814"/>
      <c r="E301" s="814"/>
      <c r="F301" s="814"/>
      <c r="H301" s="814"/>
      <c r="I301" s="814"/>
    </row>
    <row r="302" spans="2:9">
      <c r="B302" s="819"/>
      <c r="C302" s="814"/>
      <c r="D302" s="814"/>
      <c r="E302" s="814"/>
      <c r="F302" s="814"/>
      <c r="H302" s="814"/>
      <c r="I302" s="814"/>
    </row>
    <row r="303" spans="2:9">
      <c r="B303" s="819"/>
      <c r="C303" s="814"/>
      <c r="D303" s="814"/>
      <c r="E303" s="814"/>
      <c r="F303" s="814"/>
      <c r="H303" s="814"/>
      <c r="I303" s="814"/>
    </row>
    <row r="304" spans="2:9">
      <c r="B304" s="819"/>
      <c r="C304" s="814"/>
      <c r="D304" s="814"/>
      <c r="E304" s="814"/>
      <c r="F304" s="814"/>
      <c r="H304" s="814"/>
      <c r="I304" s="814"/>
    </row>
    <row r="305" spans="2:9">
      <c r="B305" s="819"/>
      <c r="C305" s="814"/>
      <c r="D305" s="814"/>
      <c r="E305" s="814"/>
      <c r="F305" s="814"/>
      <c r="H305" s="814"/>
      <c r="I305" s="814"/>
    </row>
    <row r="306" spans="2:9">
      <c r="B306" s="819"/>
      <c r="C306" s="814"/>
      <c r="D306" s="814"/>
      <c r="E306" s="814"/>
      <c r="F306" s="814"/>
      <c r="H306" s="814"/>
      <c r="I306" s="814"/>
    </row>
    <row r="307" spans="2:9">
      <c r="B307" s="819"/>
      <c r="C307" s="814"/>
      <c r="D307" s="814"/>
      <c r="E307" s="814"/>
      <c r="F307" s="814"/>
      <c r="H307" s="814"/>
      <c r="I307" s="814"/>
    </row>
    <row r="308" spans="2:9">
      <c r="B308" s="819"/>
      <c r="C308" s="814"/>
      <c r="D308" s="814"/>
      <c r="E308" s="814"/>
      <c r="F308" s="814"/>
      <c r="H308" s="814"/>
      <c r="I308" s="814"/>
    </row>
    <row r="309" spans="2:9">
      <c r="B309" s="819"/>
      <c r="C309" s="814"/>
      <c r="D309" s="814"/>
      <c r="E309" s="814"/>
      <c r="F309" s="814"/>
      <c r="H309" s="814"/>
      <c r="I309" s="814"/>
    </row>
    <row r="310" spans="2:9">
      <c r="B310" s="819"/>
      <c r="C310" s="814"/>
      <c r="D310" s="814"/>
      <c r="E310" s="814"/>
      <c r="F310" s="814"/>
      <c r="H310" s="814"/>
      <c r="I310" s="814"/>
    </row>
    <row r="311" spans="2:9">
      <c r="B311" s="819"/>
      <c r="C311" s="814"/>
      <c r="D311" s="814"/>
      <c r="E311" s="814"/>
      <c r="F311" s="814"/>
      <c r="H311" s="814"/>
      <c r="I311" s="814"/>
    </row>
    <row r="312" spans="2:9">
      <c r="B312" s="819"/>
      <c r="C312" s="814"/>
      <c r="D312" s="814"/>
      <c r="E312" s="814"/>
      <c r="F312" s="814"/>
      <c r="H312" s="814"/>
      <c r="I312" s="814"/>
    </row>
    <row r="313" spans="2:9">
      <c r="B313" s="819"/>
      <c r="C313" s="814"/>
      <c r="D313" s="814"/>
      <c r="E313" s="814"/>
      <c r="F313" s="814"/>
      <c r="H313" s="814"/>
      <c r="I313" s="814"/>
    </row>
    <row r="314" spans="2:9">
      <c r="B314" s="819"/>
      <c r="C314" s="814"/>
      <c r="D314" s="814"/>
      <c r="E314" s="814"/>
      <c r="F314" s="814"/>
      <c r="H314" s="814"/>
      <c r="I314" s="814"/>
    </row>
    <row r="315" spans="2:9">
      <c r="B315" s="819"/>
      <c r="C315" s="814"/>
      <c r="D315" s="814"/>
      <c r="E315" s="814"/>
      <c r="F315" s="814"/>
      <c r="H315" s="814"/>
      <c r="I315" s="814"/>
    </row>
    <row r="316" spans="2:9">
      <c r="B316" s="819"/>
      <c r="C316" s="814"/>
      <c r="D316" s="814"/>
      <c r="E316" s="814"/>
      <c r="F316" s="814"/>
      <c r="H316" s="814"/>
      <c r="I316" s="814"/>
    </row>
    <row r="317" spans="2:9">
      <c r="B317" s="819"/>
      <c r="C317" s="814"/>
      <c r="D317" s="814"/>
      <c r="E317" s="814"/>
      <c r="F317" s="814"/>
      <c r="H317" s="814"/>
      <c r="I317" s="814"/>
    </row>
    <row r="318" spans="2:9">
      <c r="B318" s="819"/>
      <c r="C318" s="814"/>
      <c r="D318" s="814"/>
      <c r="E318" s="814"/>
      <c r="F318" s="814"/>
      <c r="H318" s="814"/>
      <c r="I318" s="814"/>
    </row>
    <row r="319" spans="2:9">
      <c r="B319" s="819"/>
      <c r="C319" s="814"/>
      <c r="D319" s="814"/>
      <c r="E319" s="814"/>
      <c r="F319" s="814"/>
      <c r="H319" s="814"/>
      <c r="I319" s="814"/>
    </row>
    <row r="320" spans="2:9">
      <c r="B320" s="819"/>
      <c r="C320" s="814"/>
      <c r="D320" s="814"/>
      <c r="E320" s="814"/>
      <c r="F320" s="814"/>
      <c r="H320" s="814"/>
      <c r="I320" s="814"/>
    </row>
    <row r="321" spans="2:9">
      <c r="B321" s="819"/>
      <c r="C321" s="814"/>
      <c r="D321" s="814"/>
      <c r="E321" s="814"/>
      <c r="F321" s="814"/>
      <c r="H321" s="814"/>
      <c r="I321" s="814"/>
    </row>
    <row r="322" spans="2:9">
      <c r="B322" s="819"/>
      <c r="C322" s="814"/>
      <c r="D322" s="814"/>
      <c r="E322" s="814"/>
      <c r="F322" s="814"/>
      <c r="H322" s="814"/>
      <c r="I322" s="814"/>
    </row>
    <row r="323" spans="2:9">
      <c r="B323" s="819"/>
      <c r="C323" s="814"/>
      <c r="D323" s="814"/>
      <c r="E323" s="814"/>
      <c r="F323" s="814"/>
      <c r="H323" s="814"/>
      <c r="I323" s="814"/>
    </row>
    <row r="324" spans="2:9">
      <c r="B324" s="819"/>
      <c r="C324" s="814"/>
      <c r="D324" s="814"/>
      <c r="E324" s="814"/>
      <c r="F324" s="814"/>
      <c r="H324" s="814"/>
      <c r="I324" s="814"/>
    </row>
    <row r="325" spans="2:9">
      <c r="B325" s="819"/>
      <c r="C325" s="814"/>
      <c r="D325" s="814"/>
      <c r="E325" s="814"/>
      <c r="F325" s="814"/>
      <c r="H325" s="814"/>
      <c r="I325" s="814"/>
    </row>
    <row r="326" spans="2:9">
      <c r="B326" s="819"/>
      <c r="C326" s="814"/>
      <c r="D326" s="814"/>
      <c r="E326" s="814"/>
      <c r="F326" s="814"/>
      <c r="H326" s="814"/>
      <c r="I326" s="814"/>
    </row>
    <row r="327" spans="2:9">
      <c r="B327" s="819"/>
      <c r="C327" s="814"/>
      <c r="D327" s="814"/>
      <c r="E327" s="814"/>
      <c r="F327" s="814"/>
      <c r="H327" s="814"/>
      <c r="I327" s="814"/>
    </row>
    <row r="328" spans="2:9">
      <c r="B328" s="819"/>
      <c r="C328" s="814"/>
      <c r="D328" s="814"/>
      <c r="E328" s="814"/>
      <c r="F328" s="814"/>
      <c r="H328" s="814"/>
      <c r="I328" s="814"/>
    </row>
    <row r="329" spans="2:9">
      <c r="B329" s="819"/>
      <c r="C329" s="814"/>
      <c r="D329" s="814"/>
      <c r="E329" s="814"/>
      <c r="F329" s="814"/>
      <c r="H329" s="814"/>
      <c r="I329" s="814"/>
    </row>
    <row r="330" spans="2:9">
      <c r="B330" s="819"/>
      <c r="C330" s="814"/>
      <c r="D330" s="814"/>
      <c r="E330" s="814"/>
      <c r="F330" s="814"/>
      <c r="H330" s="814"/>
      <c r="I330" s="814"/>
    </row>
    <row r="331" spans="2:9">
      <c r="B331" s="819"/>
      <c r="C331" s="814"/>
      <c r="D331" s="814"/>
      <c r="E331" s="814"/>
      <c r="F331" s="814"/>
      <c r="H331" s="814"/>
      <c r="I331" s="814"/>
    </row>
    <row r="332" spans="2:9">
      <c r="B332" s="819"/>
      <c r="C332" s="814"/>
      <c r="D332" s="814"/>
      <c r="E332" s="814"/>
      <c r="F332" s="814"/>
      <c r="H332" s="814"/>
      <c r="I332" s="814"/>
    </row>
    <row r="333" spans="2:9">
      <c r="B333" s="819"/>
      <c r="C333" s="814"/>
      <c r="D333" s="814"/>
      <c r="E333" s="814"/>
      <c r="F333" s="814"/>
      <c r="H333" s="814"/>
      <c r="I333" s="814"/>
    </row>
    <row r="334" spans="2:9">
      <c r="B334" s="819"/>
      <c r="C334" s="814"/>
      <c r="D334" s="814"/>
      <c r="E334" s="814"/>
      <c r="F334" s="814"/>
      <c r="H334" s="814"/>
      <c r="I334" s="814"/>
    </row>
    <row r="335" spans="2:9">
      <c r="B335" s="819"/>
      <c r="C335" s="814"/>
      <c r="D335" s="814"/>
      <c r="E335" s="814"/>
      <c r="F335" s="814"/>
      <c r="H335" s="814"/>
      <c r="I335" s="814"/>
    </row>
    <row r="336" spans="2:9">
      <c r="B336" s="819"/>
      <c r="C336" s="814"/>
      <c r="D336" s="814"/>
      <c r="E336" s="814"/>
      <c r="F336" s="814"/>
      <c r="H336" s="814"/>
      <c r="I336" s="814"/>
    </row>
    <row r="337" spans="2:9">
      <c r="B337" s="819"/>
      <c r="C337" s="814"/>
      <c r="D337" s="814"/>
      <c r="E337" s="814"/>
      <c r="F337" s="814"/>
      <c r="H337" s="814"/>
      <c r="I337" s="814"/>
    </row>
    <row r="338" spans="2:9">
      <c r="B338" s="819"/>
      <c r="C338" s="814"/>
      <c r="D338" s="814"/>
      <c r="E338" s="814"/>
      <c r="F338" s="814"/>
      <c r="H338" s="814"/>
      <c r="I338" s="814"/>
    </row>
    <row r="339" spans="2:9">
      <c r="B339" s="819"/>
      <c r="C339" s="814"/>
      <c r="D339" s="814"/>
      <c r="E339" s="814"/>
      <c r="F339" s="814"/>
      <c r="H339" s="814"/>
      <c r="I339" s="814"/>
    </row>
    <row r="340" spans="2:9">
      <c r="B340" s="819"/>
      <c r="C340" s="814"/>
      <c r="D340" s="814"/>
      <c r="E340" s="814"/>
      <c r="F340" s="814"/>
      <c r="H340" s="814"/>
      <c r="I340" s="814"/>
    </row>
    <row r="341" spans="2:9">
      <c r="B341" s="819"/>
      <c r="C341" s="814"/>
      <c r="D341" s="814"/>
      <c r="E341" s="814"/>
      <c r="F341" s="814"/>
      <c r="H341" s="814"/>
      <c r="I341" s="814"/>
    </row>
    <row r="342" spans="2:9">
      <c r="B342" s="819"/>
      <c r="C342" s="814"/>
      <c r="D342" s="814"/>
      <c r="E342" s="814"/>
      <c r="F342" s="814"/>
      <c r="H342" s="814"/>
      <c r="I342" s="814"/>
    </row>
    <row r="343" spans="2:9">
      <c r="B343" s="819"/>
      <c r="C343" s="814"/>
      <c r="D343" s="814"/>
      <c r="E343" s="814"/>
      <c r="F343" s="814"/>
      <c r="H343" s="814"/>
      <c r="I343" s="814"/>
    </row>
    <row r="344" spans="2:9">
      <c r="B344" s="819"/>
      <c r="C344" s="814"/>
      <c r="D344" s="814"/>
      <c r="E344" s="814"/>
      <c r="F344" s="814"/>
      <c r="H344" s="814"/>
      <c r="I344" s="814"/>
    </row>
    <row r="345" spans="2:9">
      <c r="B345" s="819"/>
      <c r="C345" s="814"/>
      <c r="D345" s="814"/>
      <c r="E345" s="814"/>
      <c r="F345" s="814"/>
      <c r="H345" s="814"/>
      <c r="I345" s="814"/>
    </row>
    <row r="346" spans="2:9">
      <c r="B346" s="819"/>
      <c r="C346" s="814"/>
      <c r="D346" s="814"/>
      <c r="E346" s="814"/>
      <c r="F346" s="814"/>
      <c r="H346" s="814"/>
      <c r="I346" s="814"/>
    </row>
    <row r="347" spans="2:9">
      <c r="B347" s="819"/>
      <c r="C347" s="814"/>
      <c r="D347" s="814"/>
      <c r="E347" s="814"/>
      <c r="F347" s="814"/>
      <c r="H347" s="814"/>
      <c r="I347" s="814"/>
    </row>
    <row r="348" spans="2:9">
      <c r="B348" s="819"/>
      <c r="C348" s="814"/>
      <c r="D348" s="814"/>
      <c r="E348" s="814"/>
      <c r="F348" s="814"/>
      <c r="H348" s="814"/>
      <c r="I348" s="814"/>
    </row>
    <row r="349" spans="2:9">
      <c r="B349" s="819"/>
      <c r="C349" s="814"/>
      <c r="D349" s="814"/>
      <c r="E349" s="814"/>
      <c r="F349" s="814"/>
      <c r="H349" s="814"/>
      <c r="I349" s="814"/>
    </row>
    <row r="350" spans="2:9">
      <c r="B350" s="819"/>
      <c r="C350" s="814"/>
      <c r="D350" s="814"/>
      <c r="E350" s="814"/>
      <c r="F350" s="814"/>
      <c r="H350" s="814"/>
      <c r="I350" s="814"/>
    </row>
    <row r="351" spans="2:9">
      <c r="B351" s="819"/>
      <c r="C351" s="814"/>
      <c r="D351" s="814"/>
      <c r="E351" s="814"/>
      <c r="F351" s="814"/>
      <c r="H351" s="814"/>
      <c r="I351" s="814"/>
    </row>
    <row r="352" spans="2:9">
      <c r="B352" s="819"/>
      <c r="C352" s="814"/>
      <c r="D352" s="814"/>
      <c r="E352" s="814"/>
      <c r="F352" s="814"/>
      <c r="H352" s="814"/>
      <c r="I352" s="814"/>
    </row>
    <row r="353" spans="2:9">
      <c r="B353" s="819"/>
      <c r="C353" s="814"/>
      <c r="D353" s="814"/>
      <c r="E353" s="814"/>
      <c r="F353" s="814"/>
      <c r="H353" s="814"/>
      <c r="I353" s="814"/>
    </row>
    <row r="354" spans="2:9">
      <c r="B354" s="819"/>
      <c r="C354" s="814"/>
      <c r="D354" s="814"/>
      <c r="E354" s="814"/>
      <c r="F354" s="814"/>
      <c r="H354" s="814"/>
      <c r="I354" s="814"/>
    </row>
    <row r="355" spans="2:9">
      <c r="B355" s="819"/>
      <c r="C355" s="814"/>
      <c r="D355" s="814"/>
      <c r="E355" s="814"/>
      <c r="F355" s="814"/>
      <c r="H355" s="814"/>
      <c r="I355" s="814"/>
    </row>
    <row r="356" spans="2:9">
      <c r="B356" s="819"/>
      <c r="C356" s="814"/>
      <c r="D356" s="814"/>
      <c r="E356" s="814"/>
      <c r="F356" s="814"/>
      <c r="H356" s="814"/>
      <c r="I356" s="814"/>
    </row>
    <row r="357" spans="2:9">
      <c r="B357" s="819"/>
      <c r="C357" s="814"/>
      <c r="D357" s="814"/>
      <c r="E357" s="814"/>
      <c r="F357" s="814"/>
      <c r="H357" s="814"/>
      <c r="I357" s="814"/>
    </row>
    <row r="358" spans="2:9">
      <c r="B358" s="819"/>
      <c r="C358" s="814"/>
      <c r="D358" s="814"/>
      <c r="E358" s="814"/>
      <c r="F358" s="814"/>
      <c r="H358" s="814"/>
      <c r="I358" s="814"/>
    </row>
    <row r="359" spans="2:9">
      <c r="B359" s="819"/>
      <c r="C359" s="814"/>
      <c r="D359" s="814"/>
      <c r="E359" s="814"/>
      <c r="F359" s="814"/>
      <c r="H359" s="814"/>
      <c r="I359" s="814"/>
    </row>
    <row r="360" spans="2:9">
      <c r="B360" s="819"/>
      <c r="C360" s="814"/>
      <c r="D360" s="814"/>
      <c r="E360" s="814"/>
      <c r="F360" s="814"/>
      <c r="H360" s="814"/>
      <c r="I360" s="814"/>
    </row>
    <row r="361" spans="2:9">
      <c r="B361" s="819"/>
      <c r="C361" s="814"/>
      <c r="D361" s="814"/>
      <c r="E361" s="814"/>
      <c r="F361" s="814"/>
      <c r="H361" s="814"/>
      <c r="I361" s="814"/>
    </row>
    <row r="362" spans="2:9">
      <c r="B362" s="819"/>
      <c r="C362" s="814"/>
      <c r="D362" s="814"/>
      <c r="E362" s="814"/>
      <c r="F362" s="814"/>
      <c r="H362" s="814"/>
      <c r="I362" s="814"/>
    </row>
    <row r="363" spans="2:9">
      <c r="B363" s="819"/>
      <c r="C363" s="814"/>
      <c r="D363" s="814"/>
      <c r="E363" s="814"/>
      <c r="F363" s="814"/>
      <c r="H363" s="814"/>
      <c r="I363" s="814"/>
    </row>
    <row r="364" spans="2:9">
      <c r="B364" s="819"/>
      <c r="C364" s="814"/>
      <c r="D364" s="814"/>
      <c r="E364" s="814"/>
      <c r="F364" s="814"/>
      <c r="H364" s="814"/>
      <c r="I364" s="814"/>
    </row>
    <row r="365" spans="2:9">
      <c r="B365" s="819"/>
      <c r="C365" s="814"/>
      <c r="D365" s="814"/>
      <c r="E365" s="814"/>
      <c r="F365" s="814"/>
      <c r="H365" s="814"/>
      <c r="I365" s="814"/>
    </row>
    <row r="366" spans="2:9">
      <c r="B366" s="819"/>
      <c r="C366" s="814"/>
      <c r="D366" s="814"/>
      <c r="E366" s="814"/>
      <c r="F366" s="814"/>
      <c r="H366" s="814"/>
      <c r="I366" s="814"/>
    </row>
    <row r="367" spans="2:9">
      <c r="B367" s="819"/>
      <c r="C367" s="814"/>
      <c r="D367" s="814"/>
      <c r="E367" s="814"/>
      <c r="F367" s="814"/>
      <c r="H367" s="814"/>
      <c r="I367" s="814"/>
    </row>
    <row r="368" spans="2:9">
      <c r="B368" s="819"/>
      <c r="C368" s="814"/>
      <c r="D368" s="814"/>
      <c r="E368" s="814"/>
      <c r="F368" s="814"/>
      <c r="H368" s="814"/>
      <c r="I368" s="814"/>
    </row>
    <row r="369" spans="2:9">
      <c r="B369" s="819"/>
      <c r="C369" s="814"/>
      <c r="D369" s="814"/>
      <c r="E369" s="814"/>
      <c r="F369" s="814"/>
      <c r="H369" s="814"/>
      <c r="I369" s="814"/>
    </row>
    <row r="370" spans="2:9">
      <c r="B370" s="819"/>
      <c r="C370" s="814"/>
      <c r="D370" s="814"/>
      <c r="E370" s="814"/>
      <c r="F370" s="814"/>
      <c r="H370" s="814"/>
      <c r="I370" s="814"/>
    </row>
    <row r="371" spans="2:9">
      <c r="B371" s="819"/>
      <c r="C371" s="814"/>
      <c r="D371" s="814"/>
      <c r="E371" s="814"/>
      <c r="F371" s="814"/>
      <c r="H371" s="814"/>
      <c r="I371" s="814"/>
    </row>
    <row r="372" spans="2:9">
      <c r="B372" s="819"/>
      <c r="C372" s="814"/>
      <c r="D372" s="814"/>
      <c r="E372" s="814"/>
      <c r="F372" s="814"/>
      <c r="H372" s="814"/>
      <c r="I372" s="814"/>
    </row>
    <row r="373" spans="2:9">
      <c r="B373" s="819"/>
      <c r="C373" s="814"/>
      <c r="D373" s="814"/>
      <c r="E373" s="814"/>
      <c r="F373" s="814"/>
      <c r="H373" s="814"/>
      <c r="I373" s="814"/>
    </row>
    <row r="374" spans="2:9">
      <c r="B374" s="819"/>
      <c r="C374" s="814"/>
      <c r="D374" s="814"/>
      <c r="E374" s="814"/>
      <c r="F374" s="814"/>
      <c r="H374" s="814"/>
      <c r="I374" s="814"/>
    </row>
    <row r="375" spans="2:9">
      <c r="B375" s="819"/>
      <c r="C375" s="814"/>
      <c r="D375" s="814"/>
      <c r="E375" s="814"/>
      <c r="F375" s="814"/>
      <c r="H375" s="814"/>
      <c r="I375" s="814"/>
    </row>
    <row r="376" spans="2:9">
      <c r="B376" s="819"/>
      <c r="C376" s="814"/>
      <c r="D376" s="814"/>
      <c r="E376" s="814"/>
      <c r="F376" s="814"/>
      <c r="H376" s="814"/>
      <c r="I376" s="814"/>
    </row>
    <row r="377" spans="2:9">
      <c r="B377" s="819"/>
      <c r="C377" s="814"/>
      <c r="D377" s="814"/>
      <c r="E377" s="814"/>
      <c r="F377" s="814"/>
      <c r="H377" s="814"/>
      <c r="I377" s="814"/>
    </row>
    <row r="378" spans="2:9">
      <c r="B378" s="819"/>
      <c r="C378" s="814"/>
      <c r="D378" s="814"/>
      <c r="E378" s="814"/>
      <c r="F378" s="814"/>
      <c r="H378" s="814"/>
      <c r="I378" s="814"/>
    </row>
    <row r="379" spans="2:9">
      <c r="B379" s="819"/>
      <c r="C379" s="814"/>
      <c r="D379" s="814"/>
      <c r="E379" s="814"/>
      <c r="F379" s="814"/>
      <c r="H379" s="814"/>
      <c r="I379" s="814"/>
    </row>
    <row r="380" spans="2:9">
      <c r="B380" s="819"/>
      <c r="C380" s="814"/>
      <c r="D380" s="814"/>
      <c r="E380" s="814"/>
      <c r="F380" s="814"/>
      <c r="H380" s="814"/>
      <c r="I380" s="814"/>
    </row>
    <row r="381" spans="2:9">
      <c r="B381" s="819"/>
      <c r="C381" s="814"/>
      <c r="D381" s="814"/>
      <c r="E381" s="814"/>
      <c r="F381" s="814"/>
      <c r="H381" s="814"/>
      <c r="I381" s="814"/>
    </row>
    <row r="382" spans="2:9">
      <c r="B382" s="819"/>
      <c r="C382" s="814"/>
      <c r="D382" s="814"/>
      <c r="E382" s="814"/>
      <c r="F382" s="814"/>
      <c r="H382" s="814"/>
      <c r="I382" s="814"/>
    </row>
    <row r="383" spans="2:9">
      <c r="B383" s="819"/>
      <c r="C383" s="814"/>
      <c r="D383" s="814"/>
      <c r="E383" s="814"/>
      <c r="F383" s="814"/>
      <c r="H383" s="814"/>
      <c r="I383" s="814"/>
    </row>
    <row r="384" spans="2:9">
      <c r="B384" s="819"/>
      <c r="C384" s="814"/>
      <c r="D384" s="814"/>
      <c r="E384" s="814"/>
      <c r="F384" s="814"/>
      <c r="H384" s="814"/>
      <c r="I384" s="814"/>
    </row>
    <row r="385" spans="2:9">
      <c r="B385" s="819"/>
      <c r="C385" s="814"/>
      <c r="D385" s="814"/>
      <c r="E385" s="814"/>
      <c r="F385" s="814"/>
      <c r="H385" s="814"/>
      <c r="I385" s="814"/>
    </row>
    <row r="386" spans="2:9">
      <c r="B386" s="819"/>
      <c r="C386" s="814"/>
      <c r="D386" s="814"/>
      <c r="E386" s="814"/>
      <c r="F386" s="814"/>
      <c r="H386" s="814"/>
      <c r="I386" s="814"/>
    </row>
    <row r="387" spans="2:9">
      <c r="B387" s="819"/>
      <c r="C387" s="814"/>
      <c r="D387" s="814"/>
      <c r="E387" s="814"/>
      <c r="F387" s="814"/>
      <c r="H387" s="814"/>
      <c r="I387" s="814"/>
    </row>
    <row r="388" spans="2:9">
      <c r="B388" s="819"/>
      <c r="C388" s="814"/>
      <c r="D388" s="814"/>
      <c r="E388" s="814"/>
      <c r="F388" s="814"/>
      <c r="H388" s="814"/>
      <c r="I388" s="814"/>
    </row>
    <row r="389" spans="2:9">
      <c r="B389" s="819"/>
      <c r="C389" s="814"/>
      <c r="D389" s="814"/>
      <c r="E389" s="814"/>
      <c r="F389" s="814"/>
      <c r="H389" s="814"/>
      <c r="I389" s="814"/>
    </row>
    <row r="390" spans="2:9">
      <c r="B390" s="819"/>
      <c r="C390" s="814"/>
      <c r="D390" s="814"/>
      <c r="E390" s="814"/>
      <c r="F390" s="814"/>
      <c r="H390" s="814"/>
      <c r="I390" s="814"/>
    </row>
    <row r="391" spans="2:9">
      <c r="B391" s="819"/>
      <c r="C391" s="814"/>
      <c r="D391" s="814"/>
      <c r="E391" s="814"/>
      <c r="F391" s="814"/>
      <c r="H391" s="814"/>
      <c r="I391" s="814"/>
    </row>
    <row r="392" spans="2:9">
      <c r="B392" s="819"/>
      <c r="C392" s="814"/>
      <c r="D392" s="814"/>
      <c r="E392" s="814"/>
      <c r="F392" s="814"/>
      <c r="H392" s="814"/>
      <c r="I392" s="814"/>
    </row>
    <row r="393" spans="2:9">
      <c r="B393" s="819"/>
      <c r="C393" s="814"/>
      <c r="D393" s="814"/>
      <c r="E393" s="814"/>
      <c r="F393" s="814"/>
      <c r="H393" s="814"/>
      <c r="I393" s="814"/>
    </row>
    <row r="394" spans="2:9">
      <c r="B394" s="819"/>
      <c r="C394" s="814"/>
      <c r="D394" s="814"/>
      <c r="E394" s="814"/>
      <c r="F394" s="814"/>
      <c r="H394" s="814"/>
      <c r="I394" s="814"/>
    </row>
    <row r="395" spans="2:9">
      <c r="B395" s="819"/>
      <c r="C395" s="814"/>
      <c r="D395" s="814"/>
      <c r="E395" s="814"/>
      <c r="F395" s="814"/>
      <c r="H395" s="814"/>
      <c r="I395" s="814"/>
    </row>
    <row r="396" spans="2:9">
      <c r="B396" s="819"/>
      <c r="C396" s="814"/>
      <c r="D396" s="814"/>
      <c r="E396" s="814"/>
      <c r="F396" s="814"/>
      <c r="H396" s="814"/>
      <c r="I396" s="814"/>
    </row>
    <row r="397" spans="2:9">
      <c r="B397" s="819"/>
      <c r="C397" s="814"/>
      <c r="D397" s="814"/>
      <c r="E397" s="814"/>
      <c r="F397" s="814"/>
      <c r="H397" s="814"/>
      <c r="I397" s="814"/>
    </row>
    <row r="398" spans="2:9">
      <c r="B398" s="819"/>
      <c r="C398" s="814"/>
      <c r="D398" s="814"/>
      <c r="E398" s="814"/>
      <c r="F398" s="814"/>
      <c r="H398" s="814"/>
      <c r="I398" s="814"/>
    </row>
    <row r="399" spans="2:9">
      <c r="B399" s="819"/>
      <c r="C399" s="814"/>
      <c r="D399" s="814"/>
      <c r="E399" s="814"/>
      <c r="F399" s="814"/>
      <c r="H399" s="814"/>
      <c r="I399" s="814"/>
    </row>
    <row r="400" spans="2:9">
      <c r="B400" s="819"/>
      <c r="C400" s="814"/>
      <c r="D400" s="814"/>
      <c r="E400" s="814"/>
      <c r="F400" s="814"/>
      <c r="H400" s="814"/>
      <c r="I400" s="814"/>
    </row>
    <row r="401" spans="2:9">
      <c r="B401" s="819"/>
      <c r="C401" s="814"/>
      <c r="D401" s="814"/>
      <c r="E401" s="814"/>
      <c r="F401" s="814"/>
      <c r="H401" s="814"/>
      <c r="I401" s="814"/>
    </row>
    <row r="402" spans="2:9">
      <c r="B402" s="819"/>
      <c r="C402" s="814"/>
      <c r="D402" s="814"/>
      <c r="E402" s="814"/>
      <c r="F402" s="814"/>
      <c r="H402" s="814"/>
      <c r="I402" s="814"/>
    </row>
    <row r="403" spans="2:9">
      <c r="B403" s="819"/>
      <c r="C403" s="814"/>
      <c r="D403" s="814"/>
      <c r="E403" s="814"/>
      <c r="F403" s="814"/>
      <c r="H403" s="814"/>
      <c r="I403" s="814"/>
    </row>
    <row r="404" spans="2:9">
      <c r="B404" s="819"/>
      <c r="C404" s="814"/>
      <c r="D404" s="814"/>
      <c r="E404" s="814"/>
      <c r="F404" s="814"/>
      <c r="H404" s="814"/>
      <c r="I404" s="814"/>
    </row>
    <row r="405" spans="2:9">
      <c r="B405" s="819"/>
      <c r="C405" s="814"/>
      <c r="D405" s="814"/>
      <c r="E405" s="814"/>
      <c r="F405" s="814"/>
      <c r="H405" s="814"/>
      <c r="I405" s="814"/>
    </row>
    <row r="406" spans="2:9">
      <c r="B406" s="819"/>
      <c r="C406" s="814"/>
      <c r="D406" s="814"/>
      <c r="E406" s="814"/>
      <c r="F406" s="814"/>
      <c r="H406" s="814"/>
      <c r="I406" s="814"/>
    </row>
    <row r="407" spans="2:9">
      <c r="B407" s="819"/>
      <c r="C407" s="814"/>
      <c r="D407" s="814"/>
      <c r="E407" s="814"/>
      <c r="F407" s="814"/>
      <c r="H407" s="814"/>
      <c r="I407" s="814"/>
    </row>
    <row r="408" spans="2:9">
      <c r="B408" s="819"/>
      <c r="C408" s="814"/>
      <c r="D408" s="814"/>
      <c r="E408" s="814"/>
      <c r="F408" s="814"/>
      <c r="H408" s="814"/>
      <c r="I408" s="814"/>
    </row>
    <row r="409" spans="2:9">
      <c r="B409" s="819"/>
      <c r="C409" s="814"/>
      <c r="D409" s="814"/>
      <c r="E409" s="814"/>
      <c r="F409" s="814"/>
      <c r="H409" s="814"/>
      <c r="I409" s="814"/>
    </row>
    <row r="410" spans="2:9">
      <c r="B410" s="819"/>
      <c r="C410" s="814"/>
      <c r="D410" s="814"/>
      <c r="E410" s="814"/>
      <c r="F410" s="814"/>
      <c r="H410" s="814"/>
      <c r="I410" s="814"/>
    </row>
    <row r="411" spans="2:9">
      <c r="B411" s="819"/>
      <c r="C411" s="814"/>
      <c r="D411" s="814"/>
      <c r="E411" s="814"/>
      <c r="F411" s="814"/>
      <c r="H411" s="814"/>
      <c r="I411" s="814"/>
    </row>
    <row r="412" spans="2:9">
      <c r="B412" s="819"/>
      <c r="C412" s="814"/>
      <c r="D412" s="814"/>
      <c r="E412" s="814"/>
      <c r="F412" s="814"/>
      <c r="H412" s="814"/>
      <c r="I412" s="814"/>
    </row>
    <row r="413" spans="2:9">
      <c r="B413" s="819"/>
      <c r="C413" s="814"/>
      <c r="D413" s="814"/>
      <c r="E413" s="814"/>
      <c r="F413" s="814"/>
      <c r="H413" s="814"/>
      <c r="I413" s="814"/>
    </row>
    <row r="414" spans="2:9">
      <c r="B414" s="819"/>
      <c r="C414" s="814"/>
      <c r="D414" s="814"/>
      <c r="E414" s="814"/>
      <c r="F414" s="814"/>
      <c r="H414" s="814"/>
      <c r="I414" s="814"/>
    </row>
    <row r="415" spans="2:9">
      <c r="B415" s="819"/>
      <c r="C415" s="814"/>
      <c r="D415" s="814"/>
      <c r="E415" s="814"/>
      <c r="F415" s="814"/>
      <c r="H415" s="814"/>
      <c r="I415" s="814"/>
    </row>
    <row r="416" spans="2:9">
      <c r="B416" s="819"/>
      <c r="C416" s="814"/>
      <c r="D416" s="814"/>
      <c r="E416" s="814"/>
      <c r="F416" s="814"/>
      <c r="H416" s="814"/>
      <c r="I416" s="814"/>
    </row>
    <row r="417" spans="2:9">
      <c r="B417" s="819"/>
      <c r="C417" s="814"/>
      <c r="D417" s="814"/>
      <c r="E417" s="814"/>
      <c r="F417" s="814"/>
      <c r="H417" s="814"/>
      <c r="I417" s="814"/>
    </row>
    <row r="418" spans="2:9">
      <c r="B418" s="819"/>
      <c r="C418" s="814"/>
      <c r="D418" s="814"/>
      <c r="E418" s="814"/>
      <c r="F418" s="814"/>
      <c r="H418" s="814"/>
      <c r="I418" s="814"/>
    </row>
    <row r="419" spans="2:9">
      <c r="B419" s="819"/>
      <c r="C419" s="814"/>
      <c r="D419" s="814"/>
      <c r="E419" s="814"/>
      <c r="F419" s="814"/>
      <c r="H419" s="814"/>
      <c r="I419" s="814"/>
    </row>
    <row r="420" spans="2:9">
      <c r="B420" s="819"/>
      <c r="C420" s="814"/>
      <c r="D420" s="814"/>
      <c r="E420" s="814"/>
      <c r="F420" s="814"/>
      <c r="H420" s="814"/>
      <c r="I420" s="814"/>
    </row>
    <row r="421" spans="2:9">
      <c r="B421" s="819"/>
      <c r="C421" s="814"/>
      <c r="D421" s="814"/>
      <c r="E421" s="814"/>
      <c r="F421" s="814"/>
      <c r="H421" s="814"/>
      <c r="I421" s="814"/>
    </row>
    <row r="422" spans="2:9">
      <c r="B422" s="819"/>
      <c r="C422" s="814"/>
      <c r="D422" s="814"/>
      <c r="E422" s="814"/>
      <c r="F422" s="814"/>
      <c r="H422" s="814"/>
      <c r="I422" s="814"/>
    </row>
    <row r="423" spans="2:9">
      <c r="B423" s="819"/>
      <c r="C423" s="814"/>
      <c r="D423" s="814"/>
      <c r="E423" s="814"/>
      <c r="F423" s="814"/>
      <c r="H423" s="814"/>
      <c r="I423" s="814"/>
    </row>
    <row r="424" spans="2:9">
      <c r="B424" s="819"/>
      <c r="C424" s="814"/>
      <c r="D424" s="814"/>
      <c r="E424" s="814"/>
      <c r="F424" s="814"/>
      <c r="H424" s="814"/>
      <c r="I424" s="814"/>
    </row>
    <row r="425" spans="2:9">
      <c r="B425" s="819"/>
      <c r="C425" s="814"/>
      <c r="D425" s="814"/>
      <c r="E425" s="814"/>
      <c r="F425" s="814"/>
      <c r="H425" s="814"/>
      <c r="I425" s="814"/>
    </row>
    <row r="426" spans="2:9">
      <c r="B426" s="819"/>
      <c r="C426" s="814"/>
      <c r="D426" s="814"/>
      <c r="E426" s="814"/>
      <c r="F426" s="814"/>
      <c r="H426" s="814"/>
      <c r="I426" s="814"/>
    </row>
    <row r="427" spans="2:9">
      <c r="B427" s="819"/>
      <c r="C427" s="814"/>
      <c r="D427" s="814"/>
      <c r="E427" s="814"/>
      <c r="F427" s="814"/>
      <c r="H427" s="814"/>
      <c r="I427" s="814"/>
    </row>
    <row r="428" spans="2:9">
      <c r="B428" s="819"/>
      <c r="C428" s="814"/>
      <c r="D428" s="814"/>
      <c r="E428" s="814"/>
      <c r="F428" s="814"/>
      <c r="H428" s="814"/>
      <c r="I428" s="814"/>
    </row>
    <row r="429" spans="2:9">
      <c r="B429" s="819"/>
      <c r="C429" s="814"/>
      <c r="D429" s="814"/>
      <c r="E429" s="814"/>
      <c r="F429" s="814"/>
      <c r="H429" s="814"/>
      <c r="I429" s="814"/>
    </row>
    <row r="430" spans="2:9">
      <c r="B430" s="819"/>
      <c r="C430" s="814"/>
      <c r="D430" s="814"/>
      <c r="E430" s="814"/>
      <c r="F430" s="814"/>
      <c r="H430" s="814"/>
      <c r="I430" s="814"/>
    </row>
    <row r="431" spans="2:9">
      <c r="B431" s="819"/>
      <c r="C431" s="814"/>
      <c r="D431" s="814"/>
      <c r="E431" s="814"/>
      <c r="F431" s="814"/>
      <c r="H431" s="814"/>
      <c r="I431" s="814"/>
    </row>
    <row r="432" spans="2:9">
      <c r="B432" s="819"/>
      <c r="C432" s="814"/>
      <c r="D432" s="814"/>
      <c r="E432" s="814"/>
      <c r="F432" s="814"/>
      <c r="H432" s="814"/>
      <c r="I432" s="814"/>
    </row>
    <row r="433" spans="2:9">
      <c r="B433" s="819"/>
      <c r="C433" s="814"/>
      <c r="D433" s="814"/>
      <c r="E433" s="814"/>
      <c r="F433" s="814"/>
      <c r="H433" s="814"/>
      <c r="I433" s="814"/>
    </row>
    <row r="434" spans="2:9">
      <c r="B434" s="819"/>
      <c r="C434" s="814"/>
      <c r="D434" s="814"/>
      <c r="E434" s="814"/>
      <c r="F434" s="814"/>
      <c r="H434" s="814"/>
      <c r="I434" s="814"/>
    </row>
    <row r="435" spans="2:9">
      <c r="B435" s="819"/>
      <c r="C435" s="814"/>
      <c r="D435" s="814"/>
      <c r="E435" s="814"/>
      <c r="F435" s="814"/>
      <c r="H435" s="814"/>
      <c r="I435" s="814"/>
    </row>
    <row r="436" spans="2:9">
      <c r="B436" s="819"/>
      <c r="C436" s="814"/>
      <c r="D436" s="814"/>
      <c r="E436" s="814"/>
      <c r="F436" s="814"/>
      <c r="H436" s="814"/>
      <c r="I436" s="814"/>
    </row>
    <row r="437" spans="2:9">
      <c r="B437" s="819"/>
      <c r="C437" s="814"/>
      <c r="D437" s="814"/>
      <c r="E437" s="814"/>
      <c r="F437" s="814"/>
      <c r="H437" s="814"/>
      <c r="I437" s="814"/>
    </row>
    <row r="438" spans="2:9">
      <c r="B438" s="819"/>
      <c r="C438" s="814"/>
      <c r="D438" s="814"/>
      <c r="E438" s="814"/>
      <c r="F438" s="814"/>
      <c r="H438" s="814"/>
      <c r="I438" s="814"/>
    </row>
    <row r="439" spans="2:9">
      <c r="B439" s="819"/>
      <c r="C439" s="814"/>
      <c r="D439" s="814"/>
      <c r="E439" s="814"/>
      <c r="F439" s="814"/>
      <c r="H439" s="814"/>
      <c r="I439" s="814"/>
    </row>
    <row r="440" spans="2:9">
      <c r="B440" s="819"/>
      <c r="C440" s="814"/>
      <c r="D440" s="814"/>
      <c r="E440" s="814"/>
      <c r="F440" s="814"/>
      <c r="H440" s="814"/>
      <c r="I440" s="814"/>
    </row>
    <row r="441" spans="2:9">
      <c r="B441" s="819"/>
      <c r="C441" s="814"/>
      <c r="D441" s="814"/>
      <c r="E441" s="814"/>
      <c r="F441" s="814"/>
      <c r="H441" s="814"/>
      <c r="I441" s="814"/>
    </row>
    <row r="442" spans="2:9">
      <c r="B442" s="819"/>
      <c r="C442" s="814"/>
      <c r="D442" s="814"/>
      <c r="E442" s="814"/>
      <c r="F442" s="814"/>
      <c r="H442" s="814"/>
      <c r="I442" s="814"/>
    </row>
    <row r="443" spans="2:9">
      <c r="B443" s="819"/>
      <c r="C443" s="814"/>
      <c r="D443" s="814"/>
      <c r="E443" s="814"/>
      <c r="F443" s="814"/>
      <c r="H443" s="814"/>
      <c r="I443" s="814"/>
    </row>
    <row r="444" spans="2:9">
      <c r="B444" s="819"/>
      <c r="C444" s="814"/>
      <c r="D444" s="814"/>
      <c r="E444" s="814"/>
      <c r="F444" s="814"/>
      <c r="H444" s="814"/>
      <c r="I444" s="814"/>
    </row>
    <row r="445" spans="2:9">
      <c r="B445" s="819"/>
      <c r="C445" s="814"/>
      <c r="D445" s="814"/>
      <c r="E445" s="814"/>
      <c r="F445" s="814"/>
      <c r="H445" s="814"/>
      <c r="I445" s="814"/>
    </row>
    <row r="446" spans="2:9">
      <c r="B446" s="819"/>
      <c r="C446" s="814"/>
      <c r="D446" s="814"/>
      <c r="E446" s="814"/>
      <c r="F446" s="814"/>
      <c r="H446" s="814"/>
      <c r="I446" s="814"/>
    </row>
    <row r="447" spans="2:9">
      <c r="B447" s="819"/>
      <c r="C447" s="814"/>
      <c r="D447" s="814"/>
      <c r="E447" s="814"/>
      <c r="F447" s="814"/>
      <c r="H447" s="814"/>
      <c r="I447" s="814"/>
    </row>
    <row r="448" spans="2:9">
      <c r="B448" s="819"/>
      <c r="C448" s="814"/>
      <c r="D448" s="814"/>
      <c r="E448" s="814"/>
      <c r="F448" s="814"/>
      <c r="H448" s="814"/>
      <c r="I448" s="814"/>
    </row>
    <row r="449" spans="2:9">
      <c r="B449" s="819"/>
      <c r="C449" s="814"/>
      <c r="D449" s="814"/>
      <c r="E449" s="814"/>
      <c r="F449" s="814"/>
      <c r="H449" s="814"/>
      <c r="I449" s="814"/>
    </row>
    <row r="450" spans="2:9">
      <c r="B450" s="819"/>
      <c r="C450" s="814"/>
      <c r="D450" s="814"/>
      <c r="E450" s="814"/>
      <c r="F450" s="814"/>
      <c r="H450" s="814"/>
      <c r="I450" s="814"/>
    </row>
    <row r="451" spans="2:9">
      <c r="B451" s="819"/>
      <c r="C451" s="814"/>
      <c r="D451" s="814"/>
      <c r="E451" s="814"/>
      <c r="F451" s="814"/>
      <c r="H451" s="814"/>
      <c r="I451" s="814"/>
    </row>
    <row r="452" spans="2:9">
      <c r="B452" s="819"/>
      <c r="C452" s="814"/>
      <c r="D452" s="814"/>
      <c r="E452" s="814"/>
      <c r="F452" s="814"/>
      <c r="H452" s="814"/>
      <c r="I452" s="814"/>
    </row>
    <row r="453" spans="2:9">
      <c r="B453" s="819"/>
      <c r="C453" s="814"/>
      <c r="D453" s="814"/>
      <c r="E453" s="814"/>
      <c r="F453" s="814"/>
      <c r="H453" s="814"/>
      <c r="I453" s="814"/>
    </row>
    <row r="454" spans="2:9">
      <c r="B454" s="819"/>
      <c r="C454" s="814"/>
      <c r="D454" s="814"/>
      <c r="E454" s="814"/>
      <c r="F454" s="814"/>
      <c r="H454" s="814"/>
      <c r="I454" s="814"/>
    </row>
    <row r="455" spans="2:9">
      <c r="B455" s="819"/>
      <c r="C455" s="814"/>
      <c r="D455" s="814"/>
      <c r="E455" s="814"/>
      <c r="F455" s="814"/>
      <c r="H455" s="814"/>
      <c r="I455" s="814"/>
    </row>
    <row r="456" spans="2:9">
      <c r="B456" s="819"/>
      <c r="C456" s="814"/>
      <c r="D456" s="814"/>
      <c r="E456" s="814"/>
      <c r="F456" s="814"/>
      <c r="H456" s="814"/>
      <c r="I456" s="814"/>
    </row>
    <row r="457" spans="2:9">
      <c r="B457" s="819"/>
      <c r="C457" s="814"/>
      <c r="D457" s="814"/>
      <c r="E457" s="814"/>
      <c r="F457" s="814"/>
      <c r="H457" s="814"/>
      <c r="I457" s="814"/>
    </row>
    <row r="458" spans="2:9">
      <c r="B458" s="819"/>
      <c r="C458" s="814"/>
      <c r="D458" s="814"/>
      <c r="E458" s="814"/>
      <c r="F458" s="814"/>
      <c r="H458" s="814"/>
      <c r="I458" s="814"/>
    </row>
    <row r="459" spans="2:9">
      <c r="B459" s="819"/>
      <c r="C459" s="814"/>
      <c r="D459" s="814"/>
      <c r="E459" s="814"/>
      <c r="F459" s="814"/>
      <c r="H459" s="814"/>
      <c r="I459" s="814"/>
    </row>
    <row r="460" spans="2:9">
      <c r="B460" s="819"/>
      <c r="C460" s="814"/>
      <c r="D460" s="814"/>
      <c r="E460" s="814"/>
      <c r="F460" s="814"/>
      <c r="H460" s="814"/>
      <c r="I460" s="814"/>
    </row>
    <row r="461" spans="2:9">
      <c r="B461" s="819"/>
      <c r="C461" s="814"/>
      <c r="D461" s="814"/>
      <c r="E461" s="814"/>
      <c r="F461" s="814"/>
      <c r="H461" s="814"/>
      <c r="I461" s="814"/>
    </row>
    <row r="462" spans="2:9">
      <c r="B462" s="819"/>
      <c r="C462" s="814"/>
      <c r="D462" s="814"/>
      <c r="E462" s="814"/>
      <c r="F462" s="814"/>
      <c r="H462" s="814"/>
      <c r="I462" s="814"/>
    </row>
    <row r="463" spans="2:9">
      <c r="B463" s="819"/>
      <c r="C463" s="814"/>
      <c r="D463" s="814"/>
      <c r="E463" s="814"/>
      <c r="F463" s="814"/>
      <c r="H463" s="814"/>
      <c r="I463" s="814"/>
    </row>
    <row r="464" spans="2:9">
      <c r="B464" s="819"/>
      <c r="C464" s="814"/>
      <c r="D464" s="814"/>
      <c r="E464" s="814"/>
      <c r="F464" s="814"/>
      <c r="H464" s="814"/>
      <c r="I464" s="814"/>
    </row>
    <row r="465" spans="2:9">
      <c r="B465" s="819"/>
      <c r="C465" s="814"/>
      <c r="D465" s="814"/>
      <c r="E465" s="814"/>
      <c r="F465" s="814"/>
      <c r="H465" s="814"/>
      <c r="I465" s="814"/>
    </row>
    <row r="466" spans="2:9">
      <c r="B466" s="819"/>
      <c r="C466" s="814"/>
      <c r="D466" s="814"/>
      <c r="E466" s="814"/>
      <c r="F466" s="814"/>
      <c r="H466" s="814"/>
      <c r="I466" s="814"/>
    </row>
    <row r="467" spans="2:9">
      <c r="B467" s="819"/>
      <c r="C467" s="814"/>
      <c r="D467" s="814"/>
      <c r="E467" s="814"/>
      <c r="F467" s="814"/>
      <c r="H467" s="814"/>
      <c r="I467" s="814"/>
    </row>
    <row r="468" spans="2:9">
      <c r="B468" s="819"/>
      <c r="C468" s="814"/>
      <c r="D468" s="814"/>
      <c r="E468" s="814"/>
      <c r="F468" s="814"/>
      <c r="H468" s="814"/>
      <c r="I468" s="814"/>
    </row>
    <row r="469" spans="2:9">
      <c r="B469" s="819"/>
      <c r="C469" s="814"/>
      <c r="D469" s="814"/>
      <c r="E469" s="814"/>
      <c r="F469" s="814"/>
      <c r="H469" s="814"/>
      <c r="I469" s="814"/>
    </row>
    <row r="470" spans="2:9">
      <c r="B470" s="819"/>
      <c r="C470" s="814"/>
      <c r="D470" s="814"/>
      <c r="E470" s="814"/>
      <c r="F470" s="814"/>
      <c r="H470" s="814"/>
      <c r="I470" s="814"/>
    </row>
    <row r="471" spans="2:9">
      <c r="B471" s="819"/>
      <c r="C471" s="814"/>
      <c r="D471" s="814"/>
      <c r="E471" s="814"/>
      <c r="F471" s="814"/>
      <c r="H471" s="814"/>
      <c r="I471" s="814"/>
    </row>
    <row r="472" spans="2:9">
      <c r="B472" s="819"/>
      <c r="C472" s="814"/>
      <c r="D472" s="814"/>
      <c r="E472" s="814"/>
      <c r="F472" s="814"/>
      <c r="H472" s="814"/>
      <c r="I472" s="814"/>
    </row>
    <row r="473" spans="2:9">
      <c r="B473" s="819"/>
      <c r="C473" s="814"/>
      <c r="D473" s="814"/>
      <c r="E473" s="814"/>
      <c r="F473" s="814"/>
      <c r="H473" s="814"/>
      <c r="I473" s="814"/>
    </row>
    <row r="474" spans="2:9">
      <c r="B474" s="819"/>
      <c r="C474" s="814"/>
      <c r="D474" s="814"/>
      <c r="E474" s="814"/>
      <c r="F474" s="814"/>
      <c r="H474" s="814"/>
      <c r="I474" s="814"/>
    </row>
    <row r="475" spans="2:9">
      <c r="B475" s="819"/>
      <c r="C475" s="814"/>
      <c r="D475" s="814"/>
      <c r="E475" s="814"/>
      <c r="F475" s="814"/>
      <c r="H475" s="814"/>
      <c r="I475" s="814"/>
    </row>
    <row r="476" spans="2:9">
      <c r="B476" s="819"/>
      <c r="C476" s="814"/>
      <c r="D476" s="814"/>
      <c r="E476" s="814"/>
      <c r="F476" s="814"/>
      <c r="H476" s="814"/>
      <c r="I476" s="814"/>
    </row>
    <row r="477" spans="2:9">
      <c r="B477" s="819"/>
      <c r="C477" s="814"/>
      <c r="D477" s="814"/>
      <c r="E477" s="814"/>
      <c r="F477" s="814"/>
      <c r="H477" s="814"/>
      <c r="I477" s="814"/>
    </row>
    <row r="478" spans="2:9">
      <c r="B478" s="819"/>
      <c r="C478" s="814"/>
      <c r="D478" s="814"/>
      <c r="E478" s="814"/>
      <c r="F478" s="814"/>
      <c r="H478" s="814"/>
      <c r="I478" s="814"/>
    </row>
    <row r="479" spans="2:9">
      <c r="B479" s="819"/>
      <c r="C479" s="814"/>
      <c r="D479" s="814"/>
      <c r="E479" s="814"/>
      <c r="F479" s="814"/>
      <c r="H479" s="814"/>
      <c r="I479" s="814"/>
    </row>
    <row r="480" spans="2:9">
      <c r="B480" s="819"/>
      <c r="C480" s="814"/>
      <c r="D480" s="814"/>
      <c r="E480" s="814"/>
      <c r="F480" s="814"/>
      <c r="H480" s="814"/>
      <c r="I480" s="814"/>
    </row>
    <row r="481" spans="2:9">
      <c r="B481" s="819"/>
      <c r="C481" s="814"/>
      <c r="D481" s="814"/>
      <c r="E481" s="814"/>
      <c r="F481" s="814"/>
      <c r="H481" s="814"/>
      <c r="I481" s="814"/>
    </row>
    <row r="482" spans="2:9">
      <c r="B482" s="819"/>
      <c r="C482" s="814"/>
      <c r="D482" s="814"/>
      <c r="E482" s="814"/>
      <c r="F482" s="814"/>
      <c r="H482" s="814"/>
      <c r="I482" s="814"/>
    </row>
    <row r="483" spans="2:9">
      <c r="B483" s="819"/>
      <c r="C483" s="814"/>
      <c r="D483" s="814"/>
      <c r="E483" s="814"/>
      <c r="F483" s="814"/>
      <c r="H483" s="814"/>
      <c r="I483" s="814"/>
    </row>
    <row r="484" spans="2:9">
      <c r="B484" s="819"/>
      <c r="C484" s="814"/>
      <c r="D484" s="814"/>
      <c r="E484" s="814"/>
      <c r="F484" s="814"/>
      <c r="H484" s="814"/>
      <c r="I484" s="814"/>
    </row>
    <row r="485" spans="2:9">
      <c r="B485" s="819"/>
      <c r="C485" s="814"/>
      <c r="D485" s="814"/>
      <c r="E485" s="814"/>
      <c r="F485" s="814"/>
      <c r="H485" s="814"/>
      <c r="I485" s="814"/>
    </row>
    <row r="486" spans="2:9">
      <c r="B486" s="819"/>
      <c r="C486" s="814"/>
      <c r="D486" s="814"/>
      <c r="E486" s="814"/>
      <c r="F486" s="814"/>
      <c r="H486" s="814"/>
      <c r="I486" s="814"/>
    </row>
    <row r="487" spans="2:9">
      <c r="B487" s="819"/>
      <c r="C487" s="814"/>
      <c r="D487" s="814"/>
      <c r="E487" s="814"/>
      <c r="F487" s="814"/>
      <c r="H487" s="814"/>
      <c r="I487" s="814"/>
    </row>
    <row r="488" spans="2:9">
      <c r="B488" s="819"/>
      <c r="C488" s="814"/>
      <c r="D488" s="814"/>
      <c r="E488" s="814"/>
      <c r="F488" s="814"/>
      <c r="H488" s="814"/>
      <c r="I488" s="814"/>
    </row>
    <row r="489" spans="2:9">
      <c r="B489" s="819"/>
      <c r="C489" s="814"/>
      <c r="D489" s="814"/>
      <c r="E489" s="814"/>
      <c r="F489" s="814"/>
      <c r="H489" s="814"/>
      <c r="I489" s="814"/>
    </row>
    <row r="490" spans="2:9">
      <c r="B490" s="819"/>
      <c r="C490" s="814"/>
      <c r="D490" s="814"/>
      <c r="E490" s="814"/>
      <c r="F490" s="814"/>
      <c r="H490" s="814"/>
      <c r="I490" s="814"/>
    </row>
    <row r="491" spans="2:9">
      <c r="B491" s="819"/>
      <c r="C491" s="814"/>
      <c r="D491" s="814"/>
      <c r="E491" s="814"/>
      <c r="F491" s="814"/>
      <c r="H491" s="814"/>
      <c r="I491" s="814"/>
    </row>
    <row r="492" spans="2:9">
      <c r="B492" s="819"/>
      <c r="C492" s="814"/>
      <c r="D492" s="814"/>
      <c r="E492" s="814"/>
      <c r="F492" s="814"/>
      <c r="H492" s="814"/>
      <c r="I492" s="814"/>
    </row>
    <row r="493" spans="2:9">
      <c r="B493" s="819"/>
      <c r="C493" s="814"/>
      <c r="D493" s="814"/>
      <c r="E493" s="814"/>
      <c r="F493" s="814"/>
      <c r="H493" s="814"/>
      <c r="I493" s="814"/>
    </row>
    <row r="494" spans="2:9">
      <c r="B494" s="819"/>
      <c r="C494" s="814"/>
      <c r="D494" s="814"/>
      <c r="E494" s="814"/>
      <c r="F494" s="814"/>
      <c r="H494" s="814"/>
      <c r="I494" s="814"/>
    </row>
    <row r="495" spans="2:9">
      <c r="B495" s="819"/>
      <c r="C495" s="814"/>
      <c r="D495" s="814"/>
      <c r="E495" s="814"/>
      <c r="F495" s="814"/>
      <c r="H495" s="814"/>
      <c r="I495" s="814"/>
    </row>
    <row r="496" spans="2:9">
      <c r="B496" s="819"/>
      <c r="C496" s="814"/>
      <c r="D496" s="814"/>
      <c r="E496" s="814"/>
      <c r="F496" s="814"/>
      <c r="H496" s="814"/>
      <c r="I496" s="814"/>
    </row>
    <row r="497" spans="2:9">
      <c r="B497" s="819"/>
      <c r="C497" s="814"/>
      <c r="D497" s="814"/>
      <c r="E497" s="814"/>
      <c r="F497" s="814"/>
      <c r="H497" s="814"/>
      <c r="I497" s="814"/>
    </row>
    <row r="498" spans="2:9">
      <c r="B498" s="819"/>
      <c r="C498" s="814"/>
      <c r="D498" s="814"/>
      <c r="E498" s="814"/>
      <c r="F498" s="814"/>
      <c r="H498" s="814"/>
      <c r="I498" s="814"/>
    </row>
    <row r="499" spans="2:9">
      <c r="B499" s="819"/>
      <c r="C499" s="814"/>
      <c r="D499" s="814"/>
      <c r="E499" s="814"/>
      <c r="F499" s="814"/>
      <c r="H499" s="814"/>
      <c r="I499" s="814"/>
    </row>
    <row r="500" spans="2:9">
      <c r="B500" s="819"/>
      <c r="C500" s="814"/>
      <c r="D500" s="814"/>
      <c r="E500" s="814"/>
      <c r="F500" s="814"/>
      <c r="H500" s="814"/>
      <c r="I500" s="814"/>
    </row>
    <row r="501" spans="2:9">
      <c r="B501" s="819"/>
      <c r="C501" s="814"/>
      <c r="D501" s="814"/>
      <c r="E501" s="814"/>
      <c r="F501" s="814"/>
      <c r="H501" s="814"/>
      <c r="I501" s="814"/>
    </row>
    <row r="502" spans="2:9">
      <c r="B502" s="819"/>
      <c r="C502" s="814"/>
      <c r="D502" s="814"/>
      <c r="E502" s="814"/>
      <c r="F502" s="814"/>
      <c r="H502" s="814"/>
      <c r="I502" s="814"/>
    </row>
    <row r="503" spans="2:9">
      <c r="B503" s="819"/>
      <c r="C503" s="814"/>
      <c r="D503" s="814"/>
      <c r="E503" s="814"/>
      <c r="F503" s="814"/>
      <c r="H503" s="814"/>
      <c r="I503" s="814"/>
    </row>
    <row r="504" spans="2:9">
      <c r="B504" s="819"/>
      <c r="C504" s="814"/>
      <c r="D504" s="814"/>
      <c r="E504" s="814"/>
      <c r="F504" s="814"/>
      <c r="H504" s="814"/>
      <c r="I504" s="814"/>
    </row>
    <row r="505" spans="2:9">
      <c r="B505" s="819"/>
      <c r="C505" s="814"/>
      <c r="D505" s="814"/>
      <c r="E505" s="814"/>
      <c r="F505" s="814"/>
      <c r="H505" s="814"/>
      <c r="I505" s="814"/>
    </row>
    <row r="506" spans="2:9">
      <c r="B506" s="819"/>
      <c r="C506" s="814"/>
      <c r="D506" s="814"/>
      <c r="E506" s="814"/>
      <c r="F506" s="814"/>
      <c r="H506" s="814"/>
      <c r="I506" s="814"/>
    </row>
    <row r="507" spans="2:9">
      <c r="B507" s="819"/>
      <c r="C507" s="814"/>
      <c r="D507" s="814"/>
      <c r="E507" s="814"/>
      <c r="F507" s="814"/>
      <c r="H507" s="814"/>
      <c r="I507" s="814"/>
    </row>
    <row r="508" spans="2:9">
      <c r="B508" s="819"/>
      <c r="C508" s="814"/>
      <c r="D508" s="814"/>
      <c r="E508" s="814"/>
      <c r="F508" s="814"/>
      <c r="H508" s="814"/>
      <c r="I508" s="814"/>
    </row>
    <row r="509" spans="2:9">
      <c r="B509" s="819"/>
      <c r="C509" s="814"/>
      <c r="D509" s="814"/>
      <c r="E509" s="814"/>
      <c r="F509" s="814"/>
      <c r="H509" s="814"/>
      <c r="I509" s="814"/>
    </row>
    <row r="510" spans="2:9">
      <c r="B510" s="819"/>
      <c r="C510" s="814"/>
      <c r="D510" s="814"/>
      <c r="E510" s="814"/>
      <c r="F510" s="814"/>
      <c r="H510" s="814"/>
      <c r="I510" s="814"/>
    </row>
    <row r="511" spans="2:9">
      <c r="B511" s="819"/>
      <c r="C511" s="814"/>
      <c r="D511" s="814"/>
      <c r="E511" s="814"/>
      <c r="F511" s="814"/>
      <c r="H511" s="814"/>
      <c r="I511" s="814"/>
    </row>
    <row r="512" spans="2:9">
      <c r="B512" s="819"/>
      <c r="C512" s="814"/>
      <c r="D512" s="814"/>
      <c r="E512" s="814"/>
      <c r="F512" s="814"/>
      <c r="H512" s="814"/>
      <c r="I512" s="814"/>
    </row>
    <row r="513" spans="2:9">
      <c r="B513" s="819"/>
      <c r="C513" s="814"/>
      <c r="D513" s="814"/>
      <c r="E513" s="814"/>
      <c r="F513" s="814"/>
      <c r="H513" s="814"/>
      <c r="I513" s="814"/>
    </row>
    <row r="514" spans="2:9">
      <c r="B514" s="819"/>
      <c r="C514" s="814"/>
      <c r="D514" s="814"/>
      <c r="E514" s="814"/>
      <c r="F514" s="814"/>
      <c r="H514" s="814"/>
      <c r="I514" s="814"/>
    </row>
    <row r="515" spans="2:9">
      <c r="B515" s="819"/>
      <c r="C515" s="814"/>
      <c r="D515" s="814"/>
      <c r="E515" s="814"/>
      <c r="F515" s="814"/>
      <c r="H515" s="814"/>
      <c r="I515" s="814"/>
    </row>
    <row r="516" spans="2:9">
      <c r="B516" s="819"/>
      <c r="C516" s="814"/>
      <c r="D516" s="814"/>
      <c r="E516" s="814"/>
      <c r="F516" s="814"/>
      <c r="H516" s="814"/>
      <c r="I516" s="814"/>
    </row>
    <row r="517" spans="2:9">
      <c r="B517" s="819"/>
      <c r="C517" s="814"/>
      <c r="D517" s="814"/>
      <c r="E517" s="814"/>
      <c r="F517" s="814"/>
      <c r="H517" s="814"/>
      <c r="I517" s="814"/>
    </row>
    <row r="518" spans="2:9">
      <c r="B518" s="819"/>
      <c r="C518" s="814"/>
      <c r="D518" s="814"/>
      <c r="E518" s="814"/>
      <c r="F518" s="814"/>
      <c r="H518" s="814"/>
      <c r="I518" s="814"/>
    </row>
    <row r="519" spans="2:9">
      <c r="B519" s="819"/>
      <c r="C519" s="814"/>
      <c r="D519" s="814"/>
      <c r="E519" s="814"/>
      <c r="F519" s="814"/>
      <c r="H519" s="814"/>
      <c r="I519" s="814"/>
    </row>
    <row r="520" spans="2:9">
      <c r="B520" s="819"/>
      <c r="C520" s="814"/>
      <c r="D520" s="814"/>
      <c r="E520" s="814"/>
      <c r="F520" s="814"/>
      <c r="H520" s="814"/>
      <c r="I520" s="814"/>
    </row>
    <row r="521" spans="2:9">
      <c r="B521" s="819"/>
      <c r="C521" s="814"/>
      <c r="D521" s="814"/>
      <c r="E521" s="814"/>
      <c r="F521" s="814"/>
      <c r="H521" s="814"/>
      <c r="I521" s="814"/>
    </row>
    <row r="522" spans="2:9">
      <c r="B522" s="819"/>
      <c r="C522" s="814"/>
      <c r="D522" s="814"/>
      <c r="E522" s="814"/>
      <c r="F522" s="814"/>
      <c r="H522" s="814"/>
      <c r="I522" s="814"/>
    </row>
    <row r="523" spans="2:9">
      <c r="B523" s="819"/>
      <c r="C523" s="814"/>
      <c r="D523" s="814"/>
      <c r="E523" s="814"/>
      <c r="F523" s="814"/>
      <c r="H523" s="814"/>
      <c r="I523" s="814"/>
    </row>
    <row r="524" spans="2:9">
      <c r="B524" s="819"/>
      <c r="C524" s="814"/>
      <c r="D524" s="814"/>
      <c r="E524" s="814"/>
      <c r="F524" s="814"/>
      <c r="H524" s="814"/>
      <c r="I524" s="814"/>
    </row>
    <row r="525" spans="2:9">
      <c r="B525" s="819"/>
      <c r="C525" s="814"/>
      <c r="D525" s="814"/>
      <c r="E525" s="814"/>
      <c r="F525" s="814"/>
      <c r="H525" s="814"/>
      <c r="I525" s="814"/>
    </row>
    <row r="526" spans="2:9">
      <c r="B526" s="819"/>
      <c r="C526" s="814"/>
      <c r="D526" s="814"/>
      <c r="E526" s="814"/>
      <c r="F526" s="814"/>
      <c r="H526" s="814"/>
      <c r="I526" s="814"/>
    </row>
    <row r="527" spans="2:9">
      <c r="B527" s="819"/>
      <c r="C527" s="814"/>
      <c r="D527" s="814"/>
      <c r="E527" s="814"/>
      <c r="F527" s="814"/>
      <c r="H527" s="814"/>
      <c r="I527" s="814"/>
    </row>
    <row r="528" spans="2:9">
      <c r="B528" s="819"/>
      <c r="C528" s="814"/>
      <c r="D528" s="814"/>
      <c r="E528" s="814"/>
      <c r="F528" s="814"/>
      <c r="H528" s="814"/>
      <c r="I528" s="814"/>
    </row>
    <row r="529" spans="2:9">
      <c r="B529" s="819"/>
      <c r="C529" s="814"/>
      <c r="D529" s="814"/>
      <c r="E529" s="814"/>
      <c r="F529" s="814"/>
      <c r="H529" s="814"/>
      <c r="I529" s="814"/>
    </row>
    <row r="530" spans="2:9">
      <c r="B530" s="819"/>
      <c r="C530" s="814"/>
      <c r="D530" s="814"/>
      <c r="E530" s="814"/>
      <c r="F530" s="814"/>
      <c r="H530" s="814"/>
      <c r="I530" s="814"/>
    </row>
    <row r="531" spans="2:9">
      <c r="B531" s="819"/>
      <c r="C531" s="814"/>
      <c r="D531" s="814"/>
      <c r="E531" s="814"/>
      <c r="F531" s="814"/>
      <c r="H531" s="814"/>
      <c r="I531" s="814"/>
    </row>
    <row r="532" spans="2:9">
      <c r="B532" s="819"/>
      <c r="C532" s="814"/>
      <c r="D532" s="814"/>
      <c r="E532" s="814"/>
      <c r="F532" s="814"/>
      <c r="H532" s="814"/>
      <c r="I532" s="814"/>
    </row>
    <row r="533" spans="2:9">
      <c r="B533" s="819"/>
      <c r="C533" s="814"/>
      <c r="D533" s="814"/>
      <c r="E533" s="814"/>
      <c r="F533" s="814"/>
      <c r="H533" s="814"/>
      <c r="I533" s="814"/>
    </row>
    <row r="534" spans="2:9">
      <c r="B534" s="819"/>
      <c r="C534" s="814"/>
      <c r="D534" s="814"/>
      <c r="E534" s="814"/>
      <c r="F534" s="814"/>
      <c r="H534" s="814"/>
      <c r="I534" s="814"/>
    </row>
    <row r="535" spans="2:9">
      <c r="B535" s="819"/>
      <c r="C535" s="814"/>
      <c r="D535" s="814"/>
      <c r="E535" s="814"/>
      <c r="F535" s="814"/>
      <c r="H535" s="814"/>
      <c r="I535" s="814"/>
    </row>
    <row r="536" spans="2:9">
      <c r="B536" s="819"/>
      <c r="C536" s="814"/>
      <c r="D536" s="814"/>
      <c r="E536" s="814"/>
      <c r="F536" s="814"/>
      <c r="H536" s="814"/>
      <c r="I536" s="814"/>
    </row>
    <row r="537" spans="2:9">
      <c r="B537" s="819"/>
      <c r="C537" s="814"/>
      <c r="D537" s="814"/>
      <c r="E537" s="814"/>
      <c r="F537" s="814"/>
      <c r="H537" s="814"/>
      <c r="I537" s="814"/>
    </row>
    <row r="538" spans="2:9">
      <c r="B538" s="819"/>
      <c r="C538" s="814"/>
      <c r="D538" s="814"/>
      <c r="E538" s="814"/>
      <c r="F538" s="814"/>
      <c r="H538" s="814"/>
      <c r="I538" s="814"/>
    </row>
    <row r="539" spans="2:9">
      <c r="B539" s="819"/>
      <c r="C539" s="814"/>
      <c r="D539" s="814"/>
      <c r="E539" s="814"/>
      <c r="F539" s="814"/>
      <c r="H539" s="814"/>
      <c r="I539" s="814"/>
    </row>
    <row r="540" spans="2:9">
      <c r="B540" s="819"/>
      <c r="C540" s="814"/>
      <c r="D540" s="814"/>
      <c r="E540" s="814"/>
      <c r="F540" s="814"/>
      <c r="H540" s="814"/>
      <c r="I540" s="814"/>
    </row>
    <row r="541" spans="2:9">
      <c r="B541" s="819"/>
      <c r="C541" s="814"/>
      <c r="D541" s="814"/>
      <c r="E541" s="814"/>
      <c r="F541" s="814"/>
      <c r="H541" s="814"/>
      <c r="I541" s="814"/>
    </row>
    <row r="542" spans="2:9">
      <c r="B542" s="819"/>
      <c r="C542" s="814"/>
      <c r="D542" s="814"/>
      <c r="E542" s="814"/>
      <c r="F542" s="814"/>
      <c r="H542" s="814"/>
      <c r="I542" s="814"/>
    </row>
    <row r="543" spans="2:9">
      <c r="B543" s="819"/>
      <c r="C543" s="814"/>
      <c r="D543" s="814"/>
      <c r="E543" s="814"/>
      <c r="F543" s="814"/>
      <c r="H543" s="814"/>
      <c r="I543" s="814"/>
    </row>
    <row r="544" spans="2:9">
      <c r="B544" s="819"/>
      <c r="C544" s="814"/>
      <c r="D544" s="814"/>
      <c r="E544" s="814"/>
      <c r="F544" s="814"/>
      <c r="H544" s="814"/>
      <c r="I544" s="814"/>
    </row>
    <row r="545" spans="2:9">
      <c r="B545" s="819"/>
      <c r="C545" s="814"/>
      <c r="D545" s="814"/>
      <c r="E545" s="814"/>
      <c r="F545" s="814"/>
      <c r="H545" s="814"/>
      <c r="I545" s="814"/>
    </row>
    <row r="546" spans="2:9">
      <c r="B546" s="819"/>
      <c r="C546" s="814"/>
      <c r="D546" s="814"/>
      <c r="E546" s="814"/>
      <c r="F546" s="814"/>
      <c r="H546" s="814"/>
      <c r="I546" s="814"/>
    </row>
    <row r="547" spans="2:9">
      <c r="B547" s="819"/>
      <c r="C547" s="814"/>
      <c r="D547" s="814"/>
      <c r="E547" s="814"/>
      <c r="F547" s="814"/>
      <c r="H547" s="814"/>
      <c r="I547" s="814"/>
    </row>
    <row r="548" spans="2:9">
      <c r="B548" s="819"/>
      <c r="C548" s="814"/>
      <c r="D548" s="814"/>
      <c r="E548" s="814"/>
      <c r="F548" s="814"/>
      <c r="H548" s="814"/>
      <c r="I548" s="814"/>
    </row>
    <row r="549" spans="2:9">
      <c r="B549" s="819"/>
      <c r="C549" s="814"/>
      <c r="D549" s="814"/>
      <c r="E549" s="814"/>
      <c r="F549" s="814"/>
      <c r="H549" s="814"/>
      <c r="I549" s="814"/>
    </row>
    <row r="550" spans="2:9">
      <c r="B550" s="819"/>
      <c r="C550" s="814"/>
      <c r="D550" s="814"/>
      <c r="E550" s="814"/>
      <c r="F550" s="814"/>
      <c r="H550" s="814"/>
      <c r="I550" s="814"/>
    </row>
    <row r="551" spans="2:9">
      <c r="B551" s="819"/>
      <c r="C551" s="814"/>
      <c r="D551" s="814"/>
      <c r="E551" s="814"/>
      <c r="F551" s="814"/>
      <c r="H551" s="814"/>
      <c r="I551" s="814"/>
    </row>
    <row r="552" spans="2:9">
      <c r="B552" s="819"/>
      <c r="C552" s="814"/>
      <c r="D552" s="814"/>
      <c r="E552" s="814"/>
      <c r="F552" s="814"/>
      <c r="H552" s="814"/>
      <c r="I552" s="814"/>
    </row>
    <row r="553" spans="2:9">
      <c r="B553" s="819"/>
      <c r="C553" s="814"/>
      <c r="D553" s="814"/>
      <c r="E553" s="814"/>
      <c r="F553" s="814"/>
      <c r="H553" s="814"/>
      <c r="I553" s="814"/>
    </row>
    <row r="554" spans="2:9">
      <c r="B554" s="819"/>
      <c r="C554" s="814"/>
      <c r="D554" s="814"/>
      <c r="E554" s="814"/>
      <c r="F554" s="814"/>
      <c r="H554" s="814"/>
      <c r="I554" s="814"/>
    </row>
    <row r="555" spans="2:9">
      <c r="B555" s="819"/>
      <c r="C555" s="814"/>
      <c r="D555" s="814"/>
      <c r="E555" s="814"/>
      <c r="F555" s="814"/>
      <c r="H555" s="814"/>
      <c r="I555" s="814"/>
    </row>
    <row r="556" spans="2:9">
      <c r="B556" s="819"/>
      <c r="C556" s="814"/>
      <c r="D556" s="814"/>
      <c r="E556" s="814"/>
      <c r="F556" s="814"/>
      <c r="H556" s="814"/>
      <c r="I556" s="814"/>
    </row>
    <row r="557" spans="2:9">
      <c r="B557" s="819"/>
      <c r="C557" s="814"/>
      <c r="D557" s="814"/>
      <c r="E557" s="814"/>
      <c r="F557" s="814"/>
      <c r="H557" s="814"/>
      <c r="I557" s="814"/>
    </row>
    <row r="558" spans="2:9">
      <c r="B558" s="819"/>
      <c r="C558" s="814"/>
      <c r="D558" s="814"/>
      <c r="E558" s="814"/>
      <c r="F558" s="814"/>
      <c r="H558" s="814"/>
      <c r="I558" s="814"/>
    </row>
    <row r="559" spans="2:9">
      <c r="B559" s="819"/>
      <c r="C559" s="814"/>
      <c r="D559" s="814"/>
      <c r="E559" s="814"/>
      <c r="F559" s="814"/>
      <c r="H559" s="814"/>
      <c r="I559" s="814"/>
    </row>
    <row r="560" spans="2:9">
      <c r="B560" s="819"/>
      <c r="C560" s="814"/>
      <c r="D560" s="814"/>
      <c r="E560" s="814"/>
      <c r="F560" s="814"/>
      <c r="H560" s="814"/>
      <c r="I560" s="814"/>
    </row>
    <row r="561" spans="2:9">
      <c r="B561" s="819"/>
      <c r="C561" s="814"/>
      <c r="D561" s="814"/>
      <c r="E561" s="814"/>
      <c r="F561" s="814"/>
      <c r="H561" s="814"/>
      <c r="I561" s="814"/>
    </row>
    <row r="562" spans="2:9">
      <c r="B562" s="819"/>
      <c r="C562" s="814"/>
      <c r="D562" s="814"/>
      <c r="E562" s="814"/>
      <c r="F562" s="814"/>
      <c r="H562" s="814"/>
      <c r="I562" s="814"/>
    </row>
    <row r="563" spans="2:9">
      <c r="B563" s="819"/>
      <c r="C563" s="814"/>
      <c r="D563" s="814"/>
      <c r="E563" s="814"/>
      <c r="F563" s="814"/>
      <c r="H563" s="814"/>
      <c r="I563" s="814"/>
    </row>
    <row r="564" spans="2:9">
      <c r="B564" s="819"/>
      <c r="C564" s="814"/>
      <c r="D564" s="814"/>
      <c r="E564" s="814"/>
      <c r="F564" s="814"/>
      <c r="H564" s="814"/>
      <c r="I564" s="814"/>
    </row>
    <row r="565" spans="2:9">
      <c r="B565" s="819"/>
      <c r="C565" s="814"/>
      <c r="D565" s="814"/>
      <c r="E565" s="814"/>
      <c r="F565" s="814"/>
      <c r="H565" s="814"/>
      <c r="I565" s="814"/>
    </row>
    <row r="566" spans="2:9">
      <c r="B566" s="819"/>
      <c r="C566" s="814"/>
      <c r="D566" s="814"/>
      <c r="E566" s="814"/>
      <c r="F566" s="814"/>
      <c r="H566" s="814"/>
      <c r="I566" s="814"/>
    </row>
    <row r="567" spans="2:9">
      <c r="B567" s="819"/>
      <c r="C567" s="814"/>
      <c r="D567" s="814"/>
      <c r="E567" s="814"/>
      <c r="F567" s="814"/>
      <c r="H567" s="814"/>
      <c r="I567" s="814"/>
    </row>
    <row r="568" spans="2:9">
      <c r="B568" s="819"/>
      <c r="C568" s="814"/>
      <c r="D568" s="814"/>
      <c r="E568" s="814"/>
      <c r="F568" s="814"/>
      <c r="H568" s="814"/>
      <c r="I568" s="814"/>
    </row>
    <row r="569" spans="2:9">
      <c r="B569" s="819"/>
      <c r="C569" s="814"/>
      <c r="D569" s="814"/>
      <c r="E569" s="814"/>
      <c r="F569" s="814"/>
      <c r="H569" s="814"/>
      <c r="I569" s="814"/>
    </row>
    <row r="570" spans="2:9">
      <c r="B570" s="819"/>
      <c r="C570" s="814"/>
      <c r="D570" s="814"/>
      <c r="E570" s="814"/>
      <c r="F570" s="814"/>
      <c r="H570" s="814"/>
      <c r="I570" s="814"/>
    </row>
    <row r="571" spans="2:9">
      <c r="B571" s="819"/>
      <c r="C571" s="814"/>
      <c r="D571" s="814"/>
      <c r="E571" s="814"/>
      <c r="F571" s="814"/>
      <c r="H571" s="814"/>
      <c r="I571" s="814"/>
    </row>
    <row r="572" spans="2:9">
      <c r="B572" s="819"/>
      <c r="C572" s="814"/>
      <c r="D572" s="814"/>
      <c r="E572" s="814"/>
      <c r="F572" s="814"/>
      <c r="H572" s="814"/>
      <c r="I572" s="814"/>
    </row>
    <row r="573" spans="2:9">
      <c r="B573" s="819"/>
      <c r="C573" s="814"/>
      <c r="D573" s="814"/>
      <c r="E573" s="814"/>
      <c r="F573" s="814"/>
      <c r="H573" s="814"/>
      <c r="I573" s="814"/>
    </row>
    <row r="574" spans="2:9">
      <c r="B574" s="819"/>
      <c r="C574" s="814"/>
      <c r="D574" s="814"/>
      <c r="E574" s="814"/>
      <c r="F574" s="814"/>
      <c r="H574" s="814"/>
      <c r="I574" s="814"/>
    </row>
    <row r="575" spans="2:9">
      <c r="B575" s="819"/>
      <c r="C575" s="814"/>
      <c r="D575" s="814"/>
      <c r="E575" s="814"/>
      <c r="F575" s="814"/>
      <c r="H575" s="814"/>
      <c r="I575" s="814"/>
    </row>
    <row r="576" spans="2:9">
      <c r="B576" s="819"/>
      <c r="C576" s="814"/>
      <c r="D576" s="814"/>
      <c r="E576" s="814"/>
      <c r="F576" s="814"/>
      <c r="H576" s="814"/>
      <c r="I576" s="814"/>
    </row>
    <row r="577" spans="2:9">
      <c r="B577" s="819"/>
      <c r="C577" s="814"/>
      <c r="D577" s="814"/>
      <c r="E577" s="814"/>
      <c r="F577" s="814"/>
      <c r="H577" s="814"/>
      <c r="I577" s="814"/>
    </row>
    <row r="578" spans="2:9">
      <c r="B578" s="819"/>
      <c r="C578" s="814"/>
      <c r="D578" s="814"/>
      <c r="E578" s="814"/>
      <c r="F578" s="814"/>
      <c r="H578" s="814"/>
      <c r="I578" s="814"/>
    </row>
    <row r="579" spans="2:9">
      <c r="B579" s="819"/>
      <c r="C579" s="814"/>
      <c r="D579" s="814"/>
      <c r="E579" s="814"/>
      <c r="F579" s="814"/>
      <c r="H579" s="814"/>
      <c r="I579" s="814"/>
    </row>
    <row r="580" spans="2:9">
      <c r="B580" s="819"/>
      <c r="C580" s="814"/>
      <c r="D580" s="814"/>
      <c r="E580" s="814"/>
      <c r="F580" s="814"/>
      <c r="H580" s="814"/>
      <c r="I580" s="814"/>
    </row>
    <row r="581" spans="2:9">
      <c r="B581" s="819"/>
      <c r="C581" s="814"/>
      <c r="D581" s="814"/>
      <c r="E581" s="814"/>
      <c r="F581" s="814"/>
      <c r="H581" s="814"/>
      <c r="I581" s="814"/>
    </row>
    <row r="582" spans="2:9">
      <c r="B582" s="819"/>
      <c r="C582" s="814"/>
      <c r="D582" s="814"/>
      <c r="E582" s="814"/>
      <c r="F582" s="814"/>
      <c r="H582" s="814"/>
      <c r="I582" s="814"/>
    </row>
    <row r="583" spans="2:9">
      <c r="B583" s="819"/>
      <c r="C583" s="814"/>
      <c r="D583" s="814"/>
      <c r="E583" s="814"/>
      <c r="F583" s="814"/>
      <c r="H583" s="814"/>
      <c r="I583" s="814"/>
    </row>
    <row r="584" spans="2:9">
      <c r="B584" s="819"/>
      <c r="C584" s="814"/>
      <c r="D584" s="814"/>
      <c r="E584" s="814"/>
      <c r="F584" s="814"/>
      <c r="H584" s="814"/>
      <c r="I584" s="814"/>
    </row>
    <row r="585" spans="2:9">
      <c r="B585" s="819"/>
      <c r="C585" s="814"/>
      <c r="D585" s="814"/>
      <c r="E585" s="814"/>
      <c r="F585" s="814"/>
      <c r="H585" s="814"/>
      <c r="I585" s="814"/>
    </row>
    <row r="586" spans="2:9">
      <c r="B586" s="819"/>
      <c r="C586" s="814"/>
      <c r="D586" s="814"/>
      <c r="E586" s="814"/>
      <c r="F586" s="814"/>
      <c r="H586" s="814"/>
      <c r="I586" s="814"/>
    </row>
    <row r="587" spans="2:9">
      <c r="B587" s="819"/>
      <c r="C587" s="814"/>
      <c r="D587" s="814"/>
      <c r="E587" s="814"/>
      <c r="F587" s="814"/>
      <c r="H587" s="814"/>
      <c r="I587" s="814"/>
    </row>
    <row r="588" spans="2:9">
      <c r="B588" s="819"/>
      <c r="C588" s="814"/>
      <c r="D588" s="814"/>
      <c r="E588" s="814"/>
      <c r="F588" s="814"/>
      <c r="H588" s="814"/>
      <c r="I588" s="814"/>
    </row>
    <row r="589" spans="2:9">
      <c r="B589" s="819"/>
      <c r="C589" s="814"/>
      <c r="D589" s="814"/>
      <c r="E589" s="814"/>
      <c r="F589" s="814"/>
      <c r="H589" s="814"/>
      <c r="I589" s="814"/>
    </row>
    <row r="590" spans="2:9">
      <c r="B590" s="819"/>
      <c r="C590" s="814"/>
      <c r="D590" s="814"/>
      <c r="E590" s="814"/>
      <c r="F590" s="814"/>
      <c r="H590" s="814"/>
      <c r="I590" s="814"/>
    </row>
    <row r="591" spans="2:9">
      <c r="B591" s="819"/>
      <c r="C591" s="814"/>
      <c r="D591" s="814"/>
      <c r="E591" s="814"/>
      <c r="F591" s="814"/>
      <c r="H591" s="814"/>
      <c r="I591" s="814"/>
    </row>
    <row r="592" spans="2:9">
      <c r="B592" s="819"/>
      <c r="C592" s="814"/>
      <c r="D592" s="814"/>
      <c r="E592" s="814"/>
      <c r="F592" s="814"/>
      <c r="H592" s="814"/>
      <c r="I592" s="814"/>
    </row>
    <row r="593" spans="2:9">
      <c r="B593" s="819"/>
      <c r="C593" s="814"/>
      <c r="D593" s="814"/>
      <c r="E593" s="814"/>
      <c r="F593" s="814"/>
      <c r="H593" s="814"/>
      <c r="I593" s="814"/>
    </row>
    <row r="594" spans="2:9">
      <c r="B594" s="819"/>
      <c r="C594" s="814"/>
      <c r="D594" s="814"/>
      <c r="E594" s="814"/>
      <c r="F594" s="814"/>
      <c r="H594" s="814"/>
      <c r="I594" s="814"/>
    </row>
    <row r="595" spans="2:9">
      <c r="B595" s="819"/>
      <c r="C595" s="814"/>
      <c r="D595" s="814"/>
      <c r="E595" s="814"/>
      <c r="F595" s="814"/>
      <c r="H595" s="814"/>
      <c r="I595" s="814"/>
    </row>
    <row r="596" spans="2:9">
      <c r="B596" s="819"/>
      <c r="C596" s="814"/>
      <c r="D596" s="814"/>
      <c r="E596" s="814"/>
      <c r="F596" s="814"/>
      <c r="H596" s="814"/>
      <c r="I596" s="814"/>
    </row>
    <row r="597" spans="2:9">
      <c r="B597" s="819"/>
      <c r="C597" s="814"/>
      <c r="D597" s="814"/>
      <c r="E597" s="814"/>
      <c r="F597" s="814"/>
      <c r="H597" s="814"/>
      <c r="I597" s="814"/>
    </row>
    <row r="598" spans="2:9">
      <c r="B598" s="819"/>
      <c r="C598" s="814"/>
      <c r="D598" s="814"/>
      <c r="E598" s="814"/>
      <c r="F598" s="814"/>
      <c r="H598" s="814"/>
      <c r="I598" s="814"/>
    </row>
    <row r="599" spans="2:9">
      <c r="B599" s="819"/>
      <c r="C599" s="814"/>
      <c r="D599" s="814"/>
      <c r="E599" s="814"/>
      <c r="F599" s="814"/>
      <c r="H599" s="814"/>
      <c r="I599" s="814"/>
    </row>
    <row r="600" spans="2:9">
      <c r="B600" s="819"/>
      <c r="C600" s="814"/>
      <c r="D600" s="814"/>
      <c r="E600" s="814"/>
      <c r="F600" s="814"/>
      <c r="H600" s="814"/>
      <c r="I600" s="814"/>
    </row>
    <row r="601" spans="2:9">
      <c r="B601" s="819"/>
      <c r="C601" s="814"/>
      <c r="D601" s="814"/>
      <c r="E601" s="814"/>
      <c r="F601" s="814"/>
      <c r="H601" s="814"/>
      <c r="I601" s="814"/>
    </row>
    <row r="602" spans="2:9">
      <c r="B602" s="819"/>
      <c r="C602" s="814"/>
      <c r="D602" s="814"/>
      <c r="E602" s="814"/>
      <c r="F602" s="814"/>
      <c r="H602" s="814"/>
      <c r="I602" s="814"/>
    </row>
    <row r="603" spans="2:9">
      <c r="B603" s="819"/>
      <c r="C603" s="814"/>
      <c r="D603" s="814"/>
      <c r="E603" s="814"/>
      <c r="F603" s="814"/>
      <c r="H603" s="814"/>
      <c r="I603" s="814"/>
    </row>
    <row r="604" spans="2:9">
      <c r="B604" s="819"/>
      <c r="C604" s="814"/>
      <c r="D604" s="814"/>
      <c r="E604" s="814"/>
      <c r="F604" s="814"/>
      <c r="H604" s="814"/>
      <c r="I604" s="814"/>
    </row>
    <row r="605" spans="2:9">
      <c r="B605" s="819"/>
      <c r="C605" s="814"/>
      <c r="D605" s="814"/>
      <c r="E605" s="814"/>
      <c r="F605" s="814"/>
      <c r="H605" s="814"/>
      <c r="I605" s="814"/>
    </row>
    <row r="606" spans="2:9">
      <c r="B606" s="819"/>
      <c r="C606" s="814"/>
      <c r="D606" s="814"/>
      <c r="E606" s="814"/>
      <c r="F606" s="814"/>
      <c r="H606" s="814"/>
      <c r="I606" s="814"/>
    </row>
    <row r="607" spans="2:9">
      <c r="B607" s="819"/>
      <c r="C607" s="814"/>
      <c r="D607" s="814"/>
      <c r="E607" s="814"/>
      <c r="F607" s="814"/>
      <c r="H607" s="814"/>
      <c r="I607" s="814"/>
    </row>
    <row r="608" spans="2:9">
      <c r="B608" s="819"/>
      <c r="C608" s="814"/>
      <c r="D608" s="814"/>
      <c r="E608" s="814"/>
      <c r="F608" s="814"/>
      <c r="H608" s="814"/>
      <c r="I608" s="814"/>
    </row>
    <row r="609" spans="2:9">
      <c r="B609" s="819"/>
      <c r="C609" s="814"/>
      <c r="D609" s="814"/>
      <c r="E609" s="814"/>
      <c r="F609" s="814"/>
      <c r="H609" s="814"/>
      <c r="I609" s="814"/>
    </row>
    <row r="610" spans="2:9">
      <c r="B610" s="819"/>
      <c r="C610" s="814"/>
      <c r="D610" s="814"/>
      <c r="E610" s="814"/>
      <c r="F610" s="814"/>
      <c r="H610" s="814"/>
      <c r="I610" s="814"/>
    </row>
    <row r="611" spans="2:9">
      <c r="B611" s="819"/>
      <c r="C611" s="814"/>
      <c r="D611" s="814"/>
      <c r="E611" s="814"/>
      <c r="F611" s="814"/>
      <c r="H611" s="814"/>
      <c r="I611" s="814"/>
    </row>
    <row r="612" spans="2:9">
      <c r="B612" s="819"/>
      <c r="C612" s="814"/>
      <c r="D612" s="814"/>
      <c r="E612" s="814"/>
      <c r="F612" s="814"/>
      <c r="H612" s="814"/>
      <c r="I612" s="814"/>
    </row>
    <row r="613" spans="2:9">
      <c r="B613" s="819"/>
      <c r="C613" s="814"/>
      <c r="D613" s="814"/>
      <c r="E613" s="814"/>
      <c r="F613" s="814"/>
      <c r="H613" s="814"/>
      <c r="I613" s="814"/>
    </row>
    <row r="614" spans="2:9">
      <c r="B614" s="819"/>
      <c r="C614" s="814"/>
      <c r="D614" s="814"/>
      <c r="E614" s="814"/>
      <c r="F614" s="814"/>
      <c r="H614" s="814"/>
      <c r="I614" s="814"/>
    </row>
    <row r="615" spans="2:9">
      <c r="B615" s="819"/>
      <c r="C615" s="814"/>
      <c r="D615" s="814"/>
      <c r="E615" s="814"/>
      <c r="F615" s="814"/>
      <c r="H615" s="814"/>
      <c r="I615" s="814"/>
    </row>
    <row r="616" spans="2:9">
      <c r="B616" s="819"/>
      <c r="C616" s="814"/>
      <c r="D616" s="814"/>
      <c r="E616" s="814"/>
      <c r="F616" s="814"/>
      <c r="H616" s="814"/>
      <c r="I616" s="814"/>
    </row>
    <row r="617" spans="2:9">
      <c r="B617" s="819"/>
      <c r="C617" s="814"/>
      <c r="D617" s="814"/>
      <c r="E617" s="814"/>
      <c r="F617" s="814"/>
      <c r="H617" s="814"/>
      <c r="I617" s="814"/>
    </row>
    <row r="618" spans="2:9">
      <c r="B618" s="819"/>
      <c r="C618" s="814"/>
      <c r="D618" s="814"/>
      <c r="E618" s="814"/>
      <c r="F618" s="814"/>
      <c r="H618" s="814"/>
      <c r="I618" s="814"/>
    </row>
    <row r="619" spans="2:9">
      <c r="B619" s="819"/>
      <c r="C619" s="814"/>
      <c r="D619" s="814"/>
      <c r="E619" s="814"/>
      <c r="F619" s="814"/>
      <c r="H619" s="814"/>
      <c r="I619" s="814"/>
    </row>
    <row r="620" spans="2:9">
      <c r="B620" s="819"/>
      <c r="C620" s="814"/>
      <c r="D620" s="814"/>
      <c r="E620" s="814"/>
      <c r="F620" s="814"/>
      <c r="H620" s="814"/>
      <c r="I620" s="814"/>
    </row>
    <row r="621" spans="2:9">
      <c r="B621" s="819"/>
      <c r="C621" s="814"/>
      <c r="D621" s="814"/>
      <c r="E621" s="814"/>
      <c r="F621" s="814"/>
      <c r="H621" s="814"/>
      <c r="I621" s="814"/>
    </row>
    <row r="622" spans="2:9">
      <c r="B622" s="819"/>
      <c r="C622" s="814"/>
      <c r="D622" s="814"/>
      <c r="E622" s="814"/>
      <c r="F622" s="814"/>
      <c r="H622" s="814"/>
      <c r="I622" s="814"/>
    </row>
    <row r="623" spans="2:9">
      <c r="B623" s="819"/>
      <c r="C623" s="814"/>
      <c r="D623" s="814"/>
      <c r="E623" s="814"/>
      <c r="F623" s="814"/>
      <c r="H623" s="814"/>
      <c r="I623" s="814"/>
    </row>
    <row r="624" spans="2:9">
      <c r="B624" s="819"/>
      <c r="C624" s="814"/>
      <c r="D624" s="814"/>
      <c r="E624" s="814"/>
      <c r="F624" s="814"/>
      <c r="H624" s="814"/>
      <c r="I624" s="814"/>
    </row>
    <row r="625" spans="2:9">
      <c r="B625" s="819"/>
      <c r="C625" s="814"/>
      <c r="D625" s="814"/>
      <c r="E625" s="814"/>
      <c r="F625" s="814"/>
      <c r="H625" s="814"/>
      <c r="I625" s="814"/>
    </row>
    <row r="626" spans="2:9">
      <c r="B626" s="819"/>
      <c r="C626" s="814"/>
      <c r="D626" s="814"/>
      <c r="E626" s="814"/>
      <c r="F626" s="814"/>
      <c r="H626" s="814"/>
      <c r="I626" s="814"/>
    </row>
    <row r="627" spans="2:9">
      <c r="B627" s="819"/>
      <c r="C627" s="814"/>
      <c r="D627" s="814"/>
      <c r="E627" s="814"/>
      <c r="F627" s="814"/>
      <c r="H627" s="814"/>
      <c r="I627" s="814"/>
    </row>
    <row r="628" spans="2:9">
      <c r="B628" s="819"/>
      <c r="C628" s="814"/>
      <c r="D628" s="814"/>
      <c r="E628" s="814"/>
      <c r="F628" s="814"/>
      <c r="H628" s="814"/>
      <c r="I628" s="814"/>
    </row>
    <row r="629" spans="2:9">
      <c r="B629" s="819"/>
      <c r="C629" s="814"/>
      <c r="D629" s="814"/>
      <c r="E629" s="814"/>
      <c r="F629" s="814"/>
      <c r="H629" s="814"/>
      <c r="I629" s="814"/>
    </row>
    <row r="630" spans="2:9">
      <c r="B630" s="819"/>
      <c r="C630" s="814"/>
      <c r="D630" s="814"/>
      <c r="E630" s="814"/>
      <c r="F630" s="814"/>
      <c r="H630" s="814"/>
      <c r="I630" s="814"/>
    </row>
    <row r="631" spans="2:9">
      <c r="B631" s="819"/>
      <c r="C631" s="814"/>
      <c r="D631" s="814"/>
      <c r="E631" s="814"/>
      <c r="F631" s="814"/>
      <c r="H631" s="814"/>
      <c r="I631" s="814"/>
    </row>
    <row r="632" spans="2:9">
      <c r="B632" s="819"/>
      <c r="C632" s="814"/>
      <c r="D632" s="814"/>
      <c r="E632" s="814"/>
      <c r="F632" s="814"/>
      <c r="H632" s="814"/>
      <c r="I632" s="814"/>
    </row>
    <row r="633" spans="2:9">
      <c r="B633" s="819"/>
      <c r="C633" s="814"/>
      <c r="D633" s="814"/>
      <c r="E633" s="814"/>
      <c r="F633" s="814"/>
      <c r="H633" s="814"/>
      <c r="I633" s="814"/>
    </row>
    <row r="634" spans="2:9">
      <c r="B634" s="819"/>
      <c r="C634" s="814"/>
      <c r="D634" s="814"/>
      <c r="E634" s="814"/>
      <c r="F634" s="814"/>
      <c r="H634" s="814"/>
      <c r="I634" s="814"/>
    </row>
    <row r="635" spans="2:9">
      <c r="B635" s="819"/>
      <c r="C635" s="814"/>
      <c r="D635" s="814"/>
      <c r="E635" s="814"/>
      <c r="F635" s="814"/>
      <c r="H635" s="814"/>
      <c r="I635" s="814"/>
    </row>
    <row r="636" spans="2:9">
      <c r="B636" s="819"/>
      <c r="C636" s="814"/>
      <c r="D636" s="814"/>
      <c r="E636" s="814"/>
      <c r="F636" s="814"/>
      <c r="H636" s="814"/>
      <c r="I636" s="814"/>
    </row>
    <row r="637" spans="2:9">
      <c r="B637" s="819"/>
      <c r="C637" s="814"/>
      <c r="D637" s="814"/>
      <c r="E637" s="814"/>
      <c r="F637" s="814"/>
      <c r="H637" s="814"/>
      <c r="I637" s="814"/>
    </row>
    <row r="638" spans="2:9">
      <c r="B638" s="819"/>
      <c r="C638" s="814"/>
      <c r="D638" s="814"/>
      <c r="E638" s="814"/>
      <c r="F638" s="814"/>
      <c r="H638" s="814"/>
      <c r="I638" s="814"/>
    </row>
    <row r="639" spans="2:9">
      <c r="B639" s="819"/>
      <c r="C639" s="814"/>
      <c r="D639" s="814"/>
      <c r="E639" s="814"/>
      <c r="F639" s="814"/>
      <c r="H639" s="814"/>
      <c r="I639" s="814"/>
    </row>
    <row r="640" spans="2:9">
      <c r="B640" s="819"/>
      <c r="C640" s="814"/>
      <c r="D640" s="814"/>
      <c r="E640" s="814"/>
      <c r="F640" s="814"/>
      <c r="H640" s="814"/>
      <c r="I640" s="814"/>
    </row>
    <row r="641" spans="2:9">
      <c r="B641" s="819"/>
      <c r="C641" s="814"/>
      <c r="D641" s="814"/>
      <c r="E641" s="814"/>
      <c r="F641" s="814"/>
      <c r="H641" s="814"/>
      <c r="I641" s="814"/>
    </row>
    <row r="642" spans="2:9">
      <c r="B642" s="819"/>
      <c r="C642" s="814"/>
      <c r="D642" s="814"/>
      <c r="E642" s="814"/>
      <c r="F642" s="814"/>
      <c r="H642" s="814"/>
      <c r="I642" s="814"/>
    </row>
    <row r="643" spans="2:9">
      <c r="B643" s="819"/>
      <c r="C643" s="814"/>
      <c r="D643" s="814"/>
      <c r="E643" s="814"/>
      <c r="F643" s="814"/>
      <c r="H643" s="814"/>
      <c r="I643" s="814"/>
    </row>
    <row r="644" spans="2:9">
      <c r="B644" s="819"/>
      <c r="C644" s="814"/>
      <c r="D644" s="814"/>
      <c r="E644" s="814"/>
      <c r="F644" s="814"/>
      <c r="H644" s="814"/>
      <c r="I644" s="814"/>
    </row>
    <row r="645" spans="2:9">
      <c r="B645" s="819"/>
      <c r="C645" s="814"/>
      <c r="D645" s="814"/>
      <c r="E645" s="814"/>
      <c r="F645" s="814"/>
      <c r="H645" s="814"/>
      <c r="I645" s="814"/>
    </row>
    <row r="646" spans="2:9">
      <c r="B646" s="819"/>
      <c r="C646" s="814"/>
      <c r="D646" s="814"/>
      <c r="E646" s="814"/>
      <c r="F646" s="814"/>
      <c r="H646" s="814"/>
      <c r="I646" s="814"/>
    </row>
    <row r="647" spans="2:9">
      <c r="B647" s="819"/>
      <c r="C647" s="814"/>
      <c r="D647" s="814"/>
      <c r="E647" s="814"/>
      <c r="F647" s="814"/>
      <c r="H647" s="814"/>
      <c r="I647" s="814"/>
    </row>
    <row r="648" spans="2:9">
      <c r="B648" s="819"/>
      <c r="C648" s="814"/>
      <c r="D648" s="814"/>
      <c r="E648" s="814"/>
      <c r="F648" s="814"/>
      <c r="H648" s="814"/>
      <c r="I648" s="814"/>
    </row>
    <row r="649" spans="2:9">
      <c r="B649" s="819"/>
      <c r="C649" s="814"/>
      <c r="D649" s="814"/>
      <c r="E649" s="814"/>
      <c r="F649" s="814"/>
      <c r="H649" s="814"/>
      <c r="I649" s="814"/>
    </row>
    <row r="650" spans="2:9">
      <c r="B650" s="819"/>
      <c r="C650" s="814"/>
      <c r="D650" s="814"/>
      <c r="E650" s="814"/>
      <c r="F650" s="814"/>
      <c r="H650" s="814"/>
      <c r="I650" s="814"/>
    </row>
    <row r="651" spans="2:9">
      <c r="B651" s="819"/>
      <c r="C651" s="814"/>
      <c r="D651" s="814"/>
      <c r="E651" s="814"/>
      <c r="F651" s="814"/>
      <c r="H651" s="814"/>
      <c r="I651" s="814"/>
    </row>
    <row r="652" spans="2:9">
      <c r="B652" s="819"/>
      <c r="C652" s="814"/>
      <c r="D652" s="814"/>
      <c r="E652" s="814"/>
      <c r="F652" s="814"/>
      <c r="H652" s="814"/>
      <c r="I652" s="814"/>
    </row>
    <row r="653" spans="2:9">
      <c r="B653" s="819"/>
      <c r="C653" s="814"/>
      <c r="D653" s="814"/>
      <c r="E653" s="814"/>
      <c r="F653" s="814"/>
      <c r="H653" s="814"/>
      <c r="I653" s="814"/>
    </row>
    <row r="654" spans="2:9">
      <c r="B654" s="819"/>
      <c r="C654" s="814"/>
      <c r="D654" s="814"/>
      <c r="E654" s="814"/>
      <c r="F654" s="814"/>
      <c r="H654" s="814"/>
      <c r="I654" s="814"/>
    </row>
    <row r="655" spans="2:9">
      <c r="B655" s="819"/>
      <c r="C655" s="814"/>
      <c r="D655" s="814"/>
      <c r="E655" s="814"/>
      <c r="F655" s="814"/>
      <c r="H655" s="814"/>
      <c r="I655" s="814"/>
    </row>
    <row r="656" spans="2:9">
      <c r="B656" s="819"/>
      <c r="C656" s="814"/>
      <c r="D656" s="814"/>
      <c r="E656" s="814"/>
      <c r="F656" s="814"/>
      <c r="H656" s="814"/>
      <c r="I656" s="814"/>
    </row>
    <row r="657" spans="2:9">
      <c r="B657" s="819"/>
      <c r="C657" s="814"/>
      <c r="D657" s="814"/>
      <c r="E657" s="814"/>
      <c r="F657" s="814"/>
      <c r="H657" s="814"/>
      <c r="I657" s="814"/>
    </row>
    <row r="658" spans="2:9">
      <c r="B658" s="819"/>
      <c r="C658" s="814"/>
      <c r="D658" s="814"/>
      <c r="E658" s="814"/>
      <c r="F658" s="814"/>
      <c r="H658" s="814"/>
      <c r="I658" s="814"/>
    </row>
    <row r="659" spans="2:9">
      <c r="B659" s="819"/>
      <c r="C659" s="814"/>
      <c r="D659" s="814"/>
      <c r="E659" s="814"/>
      <c r="F659" s="814"/>
      <c r="H659" s="814"/>
      <c r="I659" s="814"/>
    </row>
    <row r="660" spans="2:9">
      <c r="B660" s="819"/>
      <c r="C660" s="814"/>
      <c r="D660" s="814"/>
      <c r="E660" s="814"/>
      <c r="F660" s="814"/>
      <c r="H660" s="814"/>
      <c r="I660" s="814"/>
    </row>
    <row r="661" spans="2:9">
      <c r="B661" s="819"/>
      <c r="C661" s="814"/>
      <c r="D661" s="814"/>
      <c r="E661" s="814"/>
      <c r="F661" s="814"/>
      <c r="H661" s="814"/>
      <c r="I661" s="814"/>
    </row>
    <row r="662" spans="2:9">
      <c r="B662" s="819"/>
      <c r="C662" s="814"/>
      <c r="D662" s="814"/>
      <c r="E662" s="814"/>
      <c r="F662" s="814"/>
      <c r="H662" s="814"/>
      <c r="I662" s="814"/>
    </row>
    <row r="663" spans="2:9">
      <c r="B663" s="819"/>
      <c r="C663" s="814"/>
      <c r="D663" s="814"/>
      <c r="E663" s="814"/>
      <c r="F663" s="814"/>
      <c r="H663" s="814"/>
      <c r="I663" s="814"/>
    </row>
    <row r="664" spans="2:9">
      <c r="B664" s="819"/>
      <c r="C664" s="814"/>
      <c r="D664" s="814"/>
      <c r="E664" s="814"/>
      <c r="F664" s="814"/>
      <c r="H664" s="814"/>
      <c r="I664" s="814"/>
    </row>
    <row r="665" spans="2:9">
      <c r="B665" s="819"/>
      <c r="C665" s="814"/>
      <c r="D665" s="814"/>
      <c r="E665" s="814"/>
      <c r="F665" s="814"/>
      <c r="H665" s="814"/>
      <c r="I665" s="814"/>
    </row>
    <row r="666" spans="2:9">
      <c r="B666" s="819"/>
      <c r="C666" s="814"/>
      <c r="D666" s="814"/>
      <c r="E666" s="814"/>
      <c r="F666" s="814"/>
      <c r="H666" s="814"/>
      <c r="I666" s="814"/>
    </row>
    <row r="667" spans="2:9">
      <c r="B667" s="819"/>
      <c r="C667" s="814"/>
      <c r="D667" s="814"/>
      <c r="E667" s="814"/>
      <c r="F667" s="814"/>
      <c r="H667" s="814"/>
      <c r="I667" s="814"/>
    </row>
    <row r="668" spans="2:9">
      <c r="B668" s="819"/>
      <c r="C668" s="814"/>
      <c r="D668" s="814"/>
      <c r="E668" s="814"/>
      <c r="F668" s="814"/>
      <c r="H668" s="814"/>
      <c r="I668" s="814"/>
    </row>
    <row r="669" spans="2:9">
      <c r="B669" s="819"/>
      <c r="C669" s="814"/>
      <c r="D669" s="814"/>
      <c r="E669" s="814"/>
      <c r="F669" s="814"/>
      <c r="H669" s="814"/>
      <c r="I669" s="814"/>
    </row>
    <row r="670" spans="2:9">
      <c r="B670" s="819"/>
      <c r="C670" s="814"/>
      <c r="D670" s="814"/>
      <c r="E670" s="814"/>
      <c r="F670" s="814"/>
      <c r="H670" s="814"/>
      <c r="I670" s="814"/>
    </row>
    <row r="671" spans="2:9">
      <c r="B671" s="819"/>
      <c r="C671" s="814"/>
      <c r="D671" s="814"/>
      <c r="E671" s="814"/>
      <c r="F671" s="814"/>
      <c r="H671" s="814"/>
      <c r="I671" s="814"/>
    </row>
    <row r="672" spans="2:9">
      <c r="B672" s="819"/>
      <c r="C672" s="814"/>
      <c r="D672" s="814"/>
      <c r="E672" s="814"/>
      <c r="F672" s="814"/>
      <c r="H672" s="814"/>
      <c r="I672" s="814"/>
    </row>
    <row r="673" spans="2:9">
      <c r="B673" s="819"/>
      <c r="C673" s="814"/>
      <c r="D673" s="814"/>
      <c r="E673" s="814"/>
      <c r="F673" s="814"/>
      <c r="H673" s="814"/>
      <c r="I673" s="814"/>
    </row>
    <row r="674" spans="2:9">
      <c r="B674" s="819"/>
      <c r="C674" s="814"/>
      <c r="D674" s="814"/>
      <c r="E674" s="814"/>
      <c r="F674" s="814"/>
      <c r="H674" s="814"/>
      <c r="I674" s="814"/>
    </row>
    <row r="675" spans="2:9">
      <c r="B675" s="819"/>
      <c r="C675" s="814"/>
      <c r="D675" s="814"/>
      <c r="E675" s="814"/>
      <c r="F675" s="814"/>
      <c r="H675" s="814"/>
      <c r="I675" s="814"/>
    </row>
    <row r="676" spans="2:9">
      <c r="B676" s="819"/>
      <c r="C676" s="814"/>
      <c r="D676" s="814"/>
      <c r="E676" s="814"/>
      <c r="F676" s="814"/>
      <c r="H676" s="814"/>
      <c r="I676" s="814"/>
    </row>
    <row r="677" spans="2:9">
      <c r="B677" s="819"/>
      <c r="C677" s="814"/>
      <c r="D677" s="814"/>
      <c r="E677" s="814"/>
      <c r="F677" s="814"/>
      <c r="H677" s="814"/>
      <c r="I677" s="814"/>
    </row>
    <row r="678" spans="2:9">
      <c r="B678" s="819"/>
      <c r="C678" s="814"/>
      <c r="D678" s="814"/>
      <c r="E678" s="814"/>
      <c r="F678" s="814"/>
      <c r="H678" s="814"/>
      <c r="I678" s="814"/>
    </row>
    <row r="679" spans="2:9">
      <c r="B679" s="819"/>
      <c r="C679" s="814"/>
      <c r="D679" s="814"/>
      <c r="E679" s="814"/>
      <c r="F679" s="814"/>
      <c r="H679" s="814"/>
      <c r="I679" s="814"/>
    </row>
    <row r="680" spans="2:9">
      <c r="B680" s="819"/>
      <c r="C680" s="814"/>
      <c r="D680" s="814"/>
      <c r="E680" s="814"/>
      <c r="F680" s="814"/>
      <c r="H680" s="814"/>
      <c r="I680" s="814"/>
    </row>
    <row r="681" spans="2:9">
      <c r="B681" s="819"/>
      <c r="C681" s="814"/>
      <c r="D681" s="814"/>
      <c r="E681" s="814"/>
      <c r="F681" s="814"/>
      <c r="H681" s="814"/>
      <c r="I681" s="814"/>
    </row>
    <row r="682" spans="2:9">
      <c r="B682" s="819"/>
      <c r="C682" s="814"/>
      <c r="D682" s="814"/>
      <c r="E682" s="814"/>
      <c r="F682" s="814"/>
      <c r="H682" s="814"/>
      <c r="I682" s="814"/>
    </row>
    <row r="683" spans="2:9">
      <c r="B683" s="819"/>
      <c r="C683" s="814"/>
      <c r="D683" s="814"/>
      <c r="E683" s="814"/>
      <c r="F683" s="814"/>
      <c r="H683" s="814"/>
      <c r="I683" s="814"/>
    </row>
    <row r="684" spans="2:9">
      <c r="B684" s="819"/>
      <c r="C684" s="814"/>
      <c r="D684" s="814"/>
      <c r="E684" s="814"/>
      <c r="F684" s="814"/>
      <c r="H684" s="814"/>
      <c r="I684" s="814"/>
    </row>
    <row r="685" spans="2:9">
      <c r="B685" s="819"/>
      <c r="C685" s="814"/>
      <c r="D685" s="814"/>
      <c r="E685" s="814"/>
      <c r="F685" s="814"/>
      <c r="H685" s="814"/>
      <c r="I685" s="814"/>
    </row>
    <row r="686" spans="2:9">
      <c r="B686" s="819"/>
      <c r="C686" s="814"/>
      <c r="D686" s="814"/>
      <c r="E686" s="814"/>
      <c r="F686" s="814"/>
      <c r="H686" s="814"/>
      <c r="I686" s="814"/>
    </row>
    <row r="687" spans="2:9">
      <c r="B687" s="819"/>
      <c r="C687" s="814"/>
      <c r="D687" s="814"/>
      <c r="E687" s="814"/>
      <c r="F687" s="814"/>
      <c r="H687" s="814"/>
      <c r="I687" s="814"/>
    </row>
    <row r="688" spans="2:9">
      <c r="B688" s="819"/>
      <c r="C688" s="814"/>
      <c r="D688" s="814"/>
      <c r="E688" s="814"/>
      <c r="F688" s="814"/>
      <c r="H688" s="814"/>
      <c r="I688" s="814"/>
    </row>
    <row r="689" spans="2:9">
      <c r="B689" s="819"/>
      <c r="C689" s="814"/>
      <c r="D689" s="814"/>
      <c r="E689" s="814"/>
      <c r="F689" s="814"/>
      <c r="H689" s="814"/>
      <c r="I689" s="814"/>
    </row>
    <row r="690" spans="2:9">
      <c r="B690" s="819"/>
      <c r="C690" s="814"/>
      <c r="D690" s="814"/>
      <c r="E690" s="814"/>
      <c r="F690" s="814"/>
      <c r="H690" s="814"/>
      <c r="I690" s="814"/>
    </row>
    <row r="691" spans="2:9">
      <c r="B691" s="819"/>
      <c r="C691" s="814"/>
      <c r="D691" s="814"/>
      <c r="E691" s="814"/>
      <c r="F691" s="814"/>
      <c r="H691" s="814"/>
      <c r="I691" s="814"/>
    </row>
    <row r="692" spans="2:9">
      <c r="B692" s="819"/>
      <c r="C692" s="814"/>
      <c r="D692" s="814"/>
      <c r="E692" s="814"/>
      <c r="F692" s="814"/>
      <c r="H692" s="814"/>
      <c r="I692" s="814"/>
    </row>
    <row r="693" spans="2:9">
      <c r="B693" s="819"/>
      <c r="C693" s="814"/>
      <c r="D693" s="814"/>
      <c r="E693" s="814"/>
      <c r="F693" s="814"/>
      <c r="H693" s="814"/>
      <c r="I693" s="814"/>
    </row>
    <row r="694" spans="2:9">
      <c r="B694" s="819"/>
      <c r="C694" s="814"/>
      <c r="D694" s="814"/>
      <c r="E694" s="814"/>
      <c r="F694" s="814"/>
      <c r="H694" s="814"/>
      <c r="I694" s="814"/>
    </row>
    <row r="695" spans="2:9">
      <c r="B695" s="819"/>
      <c r="C695" s="814"/>
      <c r="D695" s="814"/>
      <c r="E695" s="814"/>
      <c r="F695" s="814"/>
      <c r="H695" s="814"/>
      <c r="I695" s="814"/>
    </row>
    <row r="696" spans="2:9">
      <c r="B696" s="819"/>
      <c r="C696" s="814"/>
      <c r="D696" s="814"/>
      <c r="E696" s="814"/>
      <c r="F696" s="814"/>
      <c r="H696" s="814"/>
      <c r="I696" s="814"/>
    </row>
    <row r="697" spans="2:9">
      <c r="B697" s="819"/>
      <c r="C697" s="814"/>
      <c r="D697" s="814"/>
      <c r="E697" s="814"/>
      <c r="F697" s="814"/>
      <c r="H697" s="814"/>
      <c r="I697" s="814"/>
    </row>
    <row r="698" spans="2:9">
      <c r="B698" s="819"/>
      <c r="C698" s="814"/>
      <c r="D698" s="814"/>
      <c r="E698" s="814"/>
      <c r="F698" s="814"/>
      <c r="H698" s="814"/>
      <c r="I698" s="814"/>
    </row>
    <row r="699" spans="2:9">
      <c r="B699" s="819"/>
      <c r="C699" s="814"/>
      <c r="D699" s="814"/>
      <c r="E699" s="814"/>
      <c r="F699" s="814"/>
      <c r="H699" s="814"/>
      <c r="I699" s="814"/>
    </row>
    <row r="700" spans="2:9">
      <c r="B700" s="819"/>
      <c r="C700" s="814"/>
      <c r="D700" s="814"/>
      <c r="E700" s="814"/>
      <c r="F700" s="814"/>
      <c r="H700" s="814"/>
      <c r="I700" s="814"/>
    </row>
    <row r="701" spans="2:9">
      <c r="B701" s="819"/>
      <c r="C701" s="814"/>
      <c r="D701" s="814"/>
      <c r="E701" s="814"/>
      <c r="F701" s="814"/>
      <c r="H701" s="814"/>
      <c r="I701" s="814"/>
    </row>
    <row r="702" spans="2:9">
      <c r="B702" s="819"/>
      <c r="C702" s="814"/>
      <c r="D702" s="814"/>
      <c r="E702" s="814"/>
      <c r="F702" s="814"/>
      <c r="H702" s="814"/>
      <c r="I702" s="814"/>
    </row>
    <row r="703" spans="2:9">
      <c r="B703" s="819"/>
      <c r="C703" s="814"/>
      <c r="D703" s="814"/>
      <c r="E703" s="814"/>
      <c r="F703" s="814"/>
      <c r="H703" s="814"/>
      <c r="I703" s="814"/>
    </row>
    <row r="704" spans="2:9">
      <c r="B704" s="819"/>
      <c r="C704" s="814"/>
      <c r="D704" s="814"/>
      <c r="E704" s="814"/>
      <c r="F704" s="814"/>
      <c r="H704" s="814"/>
      <c r="I704" s="814"/>
    </row>
    <row r="705" spans="2:9">
      <c r="B705" s="819"/>
      <c r="C705" s="814"/>
      <c r="D705" s="814"/>
      <c r="E705" s="814"/>
      <c r="F705" s="814"/>
      <c r="H705" s="814"/>
      <c r="I705" s="814"/>
    </row>
    <row r="706" spans="2:9">
      <c r="B706" s="819"/>
      <c r="C706" s="814"/>
      <c r="D706" s="814"/>
      <c r="E706" s="814"/>
      <c r="F706" s="814"/>
      <c r="H706" s="814"/>
      <c r="I706" s="814"/>
    </row>
    <row r="707" spans="2:9">
      <c r="B707" s="819"/>
      <c r="C707" s="814"/>
      <c r="D707" s="814"/>
      <c r="E707" s="814"/>
      <c r="F707" s="814"/>
      <c r="H707" s="814"/>
      <c r="I707" s="814"/>
    </row>
    <row r="708" spans="2:9">
      <c r="B708" s="819"/>
      <c r="C708" s="814"/>
      <c r="D708" s="814"/>
      <c r="E708" s="814"/>
      <c r="F708" s="814"/>
      <c r="H708" s="814"/>
      <c r="I708" s="814"/>
    </row>
    <row r="709" spans="2:9">
      <c r="B709" s="819"/>
      <c r="C709" s="814"/>
      <c r="D709" s="814"/>
      <c r="E709" s="814"/>
      <c r="F709" s="814"/>
      <c r="H709" s="814"/>
      <c r="I709" s="814"/>
    </row>
    <row r="710" spans="2:9">
      <c r="B710" s="819"/>
      <c r="C710" s="814"/>
      <c r="D710" s="814"/>
      <c r="E710" s="814"/>
      <c r="F710" s="814"/>
      <c r="H710" s="814"/>
      <c r="I710" s="814"/>
    </row>
    <row r="711" spans="2:9">
      <c r="B711" s="819"/>
      <c r="C711" s="814"/>
      <c r="D711" s="814"/>
      <c r="E711" s="814"/>
      <c r="F711" s="814"/>
      <c r="H711" s="814"/>
      <c r="I711" s="814"/>
    </row>
    <row r="712" spans="2:9">
      <c r="B712" s="819"/>
      <c r="C712" s="814"/>
      <c r="D712" s="814"/>
      <c r="E712" s="814"/>
      <c r="F712" s="814"/>
      <c r="H712" s="814"/>
      <c r="I712" s="814"/>
    </row>
    <row r="713" spans="2:9">
      <c r="B713" s="819"/>
      <c r="C713" s="814"/>
      <c r="D713" s="814"/>
      <c r="E713" s="814"/>
      <c r="F713" s="814"/>
      <c r="H713" s="814"/>
      <c r="I713" s="814"/>
    </row>
    <row r="714" spans="2:9">
      <c r="B714" s="819"/>
      <c r="C714" s="814"/>
      <c r="D714" s="814"/>
      <c r="E714" s="814"/>
      <c r="F714" s="814"/>
      <c r="H714" s="814"/>
      <c r="I714" s="814"/>
    </row>
    <row r="715" spans="2:9">
      <c r="B715" s="819"/>
      <c r="C715" s="814"/>
      <c r="D715" s="814"/>
      <c r="E715" s="814"/>
      <c r="F715" s="814"/>
      <c r="H715" s="814"/>
      <c r="I715" s="814"/>
    </row>
    <row r="716" spans="2:9">
      <c r="B716" s="819"/>
      <c r="C716" s="814"/>
      <c r="D716" s="814"/>
      <c r="E716" s="814"/>
      <c r="F716" s="814"/>
      <c r="H716" s="814"/>
      <c r="I716" s="814"/>
    </row>
    <row r="717" spans="2:9">
      <c r="B717" s="819"/>
      <c r="C717" s="814"/>
      <c r="D717" s="814"/>
      <c r="E717" s="814"/>
      <c r="F717" s="814"/>
      <c r="H717" s="814"/>
      <c r="I717" s="814"/>
    </row>
    <row r="718" spans="2:9">
      <c r="B718" s="819"/>
      <c r="C718" s="814"/>
      <c r="D718" s="814"/>
      <c r="E718" s="814"/>
      <c r="F718" s="814"/>
      <c r="H718" s="814"/>
      <c r="I718" s="814"/>
    </row>
    <row r="719" spans="2:9">
      <c r="B719" s="819"/>
      <c r="C719" s="814"/>
      <c r="D719" s="814"/>
      <c r="E719" s="814"/>
      <c r="F719" s="814"/>
      <c r="H719" s="814"/>
      <c r="I719" s="814"/>
    </row>
    <row r="720" spans="2:9">
      <c r="B720" s="819"/>
      <c r="C720" s="814"/>
      <c r="D720" s="814"/>
      <c r="E720" s="814"/>
      <c r="F720" s="814"/>
      <c r="H720" s="814"/>
      <c r="I720" s="814"/>
    </row>
    <row r="721" spans="2:9">
      <c r="B721" s="819"/>
      <c r="C721" s="814"/>
      <c r="D721" s="814"/>
      <c r="E721" s="814"/>
      <c r="F721" s="814"/>
      <c r="H721" s="814"/>
      <c r="I721" s="814"/>
    </row>
    <row r="722" spans="2:9">
      <c r="B722" s="819"/>
      <c r="C722" s="814"/>
      <c r="D722" s="814"/>
      <c r="E722" s="814"/>
      <c r="F722" s="814"/>
      <c r="H722" s="814"/>
      <c r="I722" s="814"/>
    </row>
    <row r="723" spans="2:9">
      <c r="B723" s="819"/>
      <c r="C723" s="814"/>
      <c r="D723" s="814"/>
      <c r="E723" s="814"/>
      <c r="F723" s="814"/>
      <c r="H723" s="814"/>
      <c r="I723" s="814"/>
    </row>
    <row r="724" spans="2:9">
      <c r="B724" s="819"/>
      <c r="C724" s="814"/>
      <c r="D724" s="814"/>
      <c r="E724" s="814"/>
      <c r="F724" s="814"/>
      <c r="H724" s="814"/>
      <c r="I724" s="814"/>
    </row>
    <row r="725" spans="2:9">
      <c r="B725" s="819"/>
      <c r="C725" s="814"/>
      <c r="D725" s="814"/>
      <c r="E725" s="814"/>
      <c r="F725" s="814"/>
      <c r="H725" s="814"/>
      <c r="I725" s="814"/>
    </row>
    <row r="726" spans="2:9">
      <c r="B726" s="819"/>
      <c r="C726" s="814"/>
      <c r="D726" s="814"/>
      <c r="E726" s="814"/>
      <c r="F726" s="814"/>
      <c r="H726" s="814"/>
      <c r="I726" s="814"/>
    </row>
    <row r="727" spans="2:9">
      <c r="B727" s="819"/>
      <c r="C727" s="814"/>
      <c r="D727" s="814"/>
      <c r="E727" s="814"/>
      <c r="F727" s="814"/>
      <c r="H727" s="814"/>
      <c r="I727" s="814"/>
    </row>
    <row r="728" spans="2:9">
      <c r="B728" s="819"/>
      <c r="C728" s="814"/>
      <c r="D728" s="814"/>
      <c r="E728" s="814"/>
      <c r="F728" s="814"/>
      <c r="H728" s="814"/>
      <c r="I728" s="814"/>
    </row>
    <row r="729" spans="2:9">
      <c r="B729" s="819"/>
      <c r="C729" s="814"/>
      <c r="D729" s="814"/>
      <c r="E729" s="814"/>
      <c r="F729" s="814"/>
      <c r="H729" s="814"/>
      <c r="I729" s="814"/>
    </row>
    <row r="730" spans="2:9">
      <c r="B730" s="819"/>
      <c r="C730" s="814"/>
      <c r="D730" s="814"/>
      <c r="E730" s="814"/>
      <c r="F730" s="814"/>
      <c r="H730" s="814"/>
      <c r="I730" s="814"/>
    </row>
    <row r="731" spans="2:9">
      <c r="B731" s="819"/>
      <c r="C731" s="814"/>
      <c r="D731" s="814"/>
      <c r="E731" s="814"/>
      <c r="F731" s="814"/>
      <c r="H731" s="814"/>
      <c r="I731" s="814"/>
    </row>
    <row r="732" spans="2:9">
      <c r="B732" s="819"/>
      <c r="C732" s="814"/>
      <c r="D732" s="814"/>
      <c r="E732" s="814"/>
      <c r="F732" s="814"/>
      <c r="H732" s="814"/>
      <c r="I732" s="814"/>
    </row>
    <row r="733" spans="2:9">
      <c r="B733" s="819"/>
      <c r="C733" s="814"/>
      <c r="D733" s="814"/>
      <c r="E733" s="814"/>
      <c r="F733" s="814"/>
      <c r="H733" s="814"/>
      <c r="I733" s="814"/>
    </row>
    <row r="734" spans="2:9">
      <c r="B734" s="819"/>
      <c r="C734" s="814"/>
      <c r="D734" s="814"/>
      <c r="E734" s="814"/>
      <c r="F734" s="814"/>
      <c r="H734" s="814"/>
      <c r="I734" s="814"/>
    </row>
    <row r="735" spans="2:9">
      <c r="B735" s="819"/>
      <c r="C735" s="814"/>
      <c r="D735" s="814"/>
      <c r="E735" s="814"/>
      <c r="F735" s="814"/>
      <c r="H735" s="814"/>
      <c r="I735" s="814"/>
    </row>
    <row r="736" spans="2:9">
      <c r="B736" s="819"/>
      <c r="C736" s="814"/>
      <c r="D736" s="814"/>
      <c r="E736" s="814"/>
      <c r="F736" s="814"/>
      <c r="H736" s="814"/>
      <c r="I736" s="814"/>
    </row>
    <row r="737" spans="2:9">
      <c r="B737" s="819"/>
      <c r="C737" s="814"/>
      <c r="D737" s="814"/>
      <c r="E737" s="814"/>
      <c r="F737" s="814"/>
      <c r="H737" s="814"/>
      <c r="I737" s="814"/>
    </row>
    <row r="738" spans="2:9">
      <c r="B738" s="819"/>
      <c r="C738" s="814"/>
      <c r="D738" s="814"/>
      <c r="E738" s="814"/>
      <c r="F738" s="814"/>
      <c r="H738" s="814"/>
      <c r="I738" s="814"/>
    </row>
    <row r="739" spans="2:9">
      <c r="B739" s="819"/>
      <c r="C739" s="814"/>
      <c r="D739" s="814"/>
      <c r="E739" s="814"/>
      <c r="F739" s="814"/>
      <c r="H739" s="814"/>
      <c r="I739" s="814"/>
    </row>
    <row r="740" spans="2:9">
      <c r="B740" s="819"/>
      <c r="C740" s="814"/>
      <c r="D740" s="814"/>
      <c r="E740" s="814"/>
      <c r="F740" s="814"/>
      <c r="H740" s="814"/>
      <c r="I740" s="814"/>
    </row>
    <row r="741" spans="2:9">
      <c r="B741" s="819"/>
      <c r="C741" s="814"/>
      <c r="D741" s="814"/>
      <c r="E741" s="814"/>
      <c r="F741" s="814"/>
      <c r="H741" s="814"/>
      <c r="I741" s="814"/>
    </row>
    <row r="742" spans="2:9">
      <c r="B742" s="819"/>
      <c r="C742" s="814"/>
      <c r="D742" s="814"/>
      <c r="E742" s="814"/>
      <c r="F742" s="814"/>
      <c r="H742" s="814"/>
      <c r="I742" s="814"/>
    </row>
    <row r="743" spans="2:9">
      <c r="B743" s="819"/>
      <c r="C743" s="814"/>
      <c r="D743" s="814"/>
      <c r="E743" s="814"/>
      <c r="F743" s="814"/>
      <c r="H743" s="814"/>
      <c r="I743" s="814"/>
    </row>
    <row r="744" spans="2:9">
      <c r="B744" s="819"/>
      <c r="C744" s="814"/>
      <c r="D744" s="814"/>
      <c r="E744" s="814"/>
      <c r="F744" s="814"/>
      <c r="H744" s="814"/>
      <c r="I744" s="814"/>
    </row>
    <row r="745" spans="2:9">
      <c r="B745" s="819"/>
      <c r="C745" s="814"/>
      <c r="D745" s="814"/>
      <c r="E745" s="814"/>
      <c r="F745" s="814"/>
      <c r="H745" s="814"/>
      <c r="I745" s="814"/>
    </row>
    <row r="746" spans="2:9">
      <c r="B746" s="819"/>
      <c r="C746" s="814"/>
      <c r="D746" s="814"/>
      <c r="E746" s="814"/>
      <c r="F746" s="814"/>
      <c r="H746" s="814"/>
      <c r="I746" s="814"/>
    </row>
    <row r="747" spans="2:9">
      <c r="B747" s="819"/>
      <c r="C747" s="814"/>
      <c r="D747" s="814"/>
      <c r="E747" s="814"/>
      <c r="F747" s="814"/>
      <c r="H747" s="814"/>
      <c r="I747" s="814"/>
    </row>
    <row r="748" spans="2:9">
      <c r="B748" s="819"/>
      <c r="C748" s="814"/>
      <c r="D748" s="814"/>
      <c r="E748" s="814"/>
      <c r="F748" s="814"/>
      <c r="H748" s="814"/>
      <c r="I748" s="814"/>
    </row>
    <row r="749" spans="2:9">
      <c r="B749" s="819"/>
      <c r="C749" s="814"/>
      <c r="D749" s="814"/>
      <c r="E749" s="814"/>
      <c r="F749" s="814"/>
      <c r="H749" s="814"/>
      <c r="I749" s="814"/>
    </row>
    <row r="750" spans="2:9">
      <c r="B750" s="819"/>
      <c r="C750" s="814"/>
      <c r="D750" s="814"/>
      <c r="E750" s="814"/>
      <c r="F750" s="814"/>
      <c r="H750" s="814"/>
      <c r="I750" s="814"/>
    </row>
    <row r="751" spans="2:9">
      <c r="B751" s="819"/>
      <c r="C751" s="814"/>
      <c r="D751" s="814"/>
      <c r="E751" s="814"/>
      <c r="F751" s="814"/>
      <c r="H751" s="814"/>
      <c r="I751" s="814"/>
    </row>
    <row r="752" spans="2:9">
      <c r="B752" s="819"/>
      <c r="C752" s="814"/>
      <c r="D752" s="814"/>
      <c r="E752" s="814"/>
      <c r="F752" s="814"/>
      <c r="H752" s="814"/>
      <c r="I752" s="814"/>
    </row>
    <row r="753" spans="2:9">
      <c r="B753" s="819"/>
      <c r="C753" s="814"/>
      <c r="D753" s="814"/>
      <c r="E753" s="814"/>
      <c r="F753" s="814"/>
      <c r="H753" s="814"/>
      <c r="I753" s="814"/>
    </row>
    <row r="754" spans="2:9">
      <c r="B754" s="819"/>
      <c r="C754" s="814"/>
      <c r="D754" s="814"/>
      <c r="E754" s="814"/>
      <c r="F754" s="814"/>
      <c r="H754" s="814"/>
      <c r="I754" s="814"/>
    </row>
    <row r="755" spans="2:9">
      <c r="B755" s="819"/>
      <c r="C755" s="814"/>
      <c r="D755" s="814"/>
      <c r="E755" s="814"/>
      <c r="F755" s="814"/>
      <c r="H755" s="814"/>
      <c r="I755" s="814"/>
    </row>
    <row r="756" spans="2:9">
      <c r="B756" s="819"/>
      <c r="C756" s="814"/>
      <c r="D756" s="814"/>
      <c r="E756" s="814"/>
      <c r="F756" s="814"/>
      <c r="H756" s="814"/>
      <c r="I756" s="814"/>
    </row>
    <row r="757" spans="2:9">
      <c r="B757" s="819"/>
      <c r="C757" s="814"/>
      <c r="D757" s="814"/>
      <c r="E757" s="814"/>
      <c r="F757" s="814"/>
      <c r="H757" s="814"/>
      <c r="I757" s="814"/>
    </row>
    <row r="758" spans="2:9">
      <c r="B758" s="819"/>
      <c r="C758" s="814"/>
      <c r="D758" s="814"/>
      <c r="E758" s="814"/>
      <c r="F758" s="814"/>
      <c r="H758" s="814"/>
      <c r="I758" s="814"/>
    </row>
    <row r="759" spans="2:9">
      <c r="B759" s="819"/>
      <c r="C759" s="814"/>
      <c r="D759" s="814"/>
      <c r="E759" s="814"/>
      <c r="F759" s="814"/>
      <c r="H759" s="814"/>
      <c r="I759" s="814"/>
    </row>
    <row r="760" spans="2:9">
      <c r="B760" s="819"/>
      <c r="C760" s="814"/>
      <c r="D760" s="814"/>
      <c r="E760" s="814"/>
      <c r="F760" s="814"/>
      <c r="H760" s="814"/>
      <c r="I760" s="814"/>
    </row>
    <row r="761" spans="2:9">
      <c r="B761" s="819"/>
      <c r="C761" s="814"/>
      <c r="D761" s="814"/>
      <c r="E761" s="814"/>
      <c r="F761" s="814"/>
      <c r="H761" s="814"/>
      <c r="I761" s="814"/>
    </row>
    <row r="762" spans="2:9">
      <c r="B762" s="819"/>
      <c r="C762" s="814"/>
      <c r="D762" s="814"/>
      <c r="E762" s="814"/>
      <c r="F762" s="814"/>
      <c r="H762" s="814"/>
      <c r="I762" s="814"/>
    </row>
    <row r="763" spans="2:9">
      <c r="B763" s="819"/>
      <c r="C763" s="814"/>
      <c r="D763" s="814"/>
      <c r="E763" s="814"/>
      <c r="F763" s="814"/>
      <c r="H763" s="814"/>
      <c r="I763" s="814"/>
    </row>
    <row r="764" spans="2:9">
      <c r="B764" s="819"/>
      <c r="C764" s="814"/>
      <c r="D764" s="814"/>
      <c r="E764" s="814"/>
      <c r="F764" s="814"/>
      <c r="H764" s="814"/>
      <c r="I764" s="814"/>
    </row>
    <row r="765" spans="2:9">
      <c r="B765" s="819"/>
      <c r="C765" s="814"/>
      <c r="D765" s="814"/>
      <c r="E765" s="814"/>
      <c r="F765" s="814"/>
      <c r="H765" s="814"/>
      <c r="I765" s="814"/>
    </row>
    <row r="766" spans="2:9">
      <c r="B766" s="819"/>
      <c r="C766" s="814"/>
      <c r="D766" s="814"/>
      <c r="E766" s="814"/>
      <c r="F766" s="814"/>
      <c r="H766" s="814"/>
      <c r="I766" s="814"/>
    </row>
    <row r="767" spans="2:9">
      <c r="B767" s="819"/>
      <c r="C767" s="814"/>
      <c r="D767" s="814"/>
      <c r="E767" s="814"/>
      <c r="F767" s="814"/>
      <c r="H767" s="814"/>
      <c r="I767" s="814"/>
    </row>
    <row r="768" spans="2:9">
      <c r="B768" s="819"/>
      <c r="C768" s="814"/>
      <c r="D768" s="814"/>
      <c r="E768" s="814"/>
      <c r="F768" s="814"/>
      <c r="H768" s="814"/>
      <c r="I768" s="814"/>
    </row>
    <row r="769" spans="2:9">
      <c r="B769" s="819"/>
      <c r="C769" s="814"/>
      <c r="D769" s="814"/>
      <c r="E769" s="814"/>
      <c r="F769" s="814"/>
      <c r="H769" s="814"/>
      <c r="I769" s="814"/>
    </row>
    <row r="770" spans="2:9">
      <c r="B770" s="819"/>
      <c r="C770" s="814"/>
      <c r="D770" s="814"/>
      <c r="E770" s="814"/>
      <c r="F770" s="814"/>
      <c r="H770" s="814"/>
      <c r="I770" s="814"/>
    </row>
    <row r="771" spans="2:9">
      <c r="B771" s="819"/>
      <c r="C771" s="814"/>
      <c r="D771" s="814"/>
      <c r="E771" s="814"/>
      <c r="F771" s="814"/>
      <c r="H771" s="814"/>
      <c r="I771" s="814"/>
    </row>
    <row r="772" spans="2:9">
      <c r="B772" s="819"/>
      <c r="C772" s="814"/>
      <c r="D772" s="814"/>
      <c r="E772" s="814"/>
      <c r="F772" s="814"/>
      <c r="H772" s="814"/>
      <c r="I772" s="814"/>
    </row>
    <row r="773" spans="2:9">
      <c r="B773" s="819"/>
      <c r="C773" s="814"/>
      <c r="D773" s="814"/>
      <c r="E773" s="814"/>
      <c r="F773" s="814"/>
      <c r="H773" s="814"/>
      <c r="I773" s="814"/>
    </row>
    <row r="774" spans="2:9">
      <c r="B774" s="819"/>
      <c r="C774" s="814"/>
      <c r="D774" s="814"/>
      <c r="E774" s="814"/>
      <c r="F774" s="814"/>
      <c r="H774" s="814"/>
      <c r="I774" s="814"/>
    </row>
    <row r="775" spans="2:9">
      <c r="B775" s="819"/>
      <c r="C775" s="814"/>
      <c r="D775" s="814"/>
      <c r="E775" s="814"/>
      <c r="F775" s="814"/>
      <c r="H775" s="814"/>
      <c r="I775" s="814"/>
    </row>
    <row r="776" spans="2:9">
      <c r="B776" s="819"/>
      <c r="C776" s="814"/>
      <c r="D776" s="814"/>
      <c r="E776" s="814"/>
      <c r="F776" s="814"/>
      <c r="H776" s="814"/>
      <c r="I776" s="814"/>
    </row>
    <row r="777" spans="2:9">
      <c r="B777" s="819"/>
      <c r="C777" s="814"/>
      <c r="D777" s="814"/>
      <c r="E777" s="814"/>
      <c r="F777" s="814"/>
      <c r="H777" s="814"/>
      <c r="I777" s="814"/>
    </row>
    <row r="778" spans="2:9">
      <c r="B778" s="819"/>
      <c r="C778" s="814"/>
      <c r="D778" s="814"/>
      <c r="E778" s="814"/>
      <c r="F778" s="814"/>
      <c r="H778" s="814"/>
      <c r="I778" s="814"/>
    </row>
    <row r="779" spans="2:9">
      <c r="B779" s="819"/>
      <c r="C779" s="814"/>
      <c r="D779" s="814"/>
      <c r="E779" s="814"/>
      <c r="F779" s="814"/>
      <c r="H779" s="814"/>
      <c r="I779" s="814"/>
    </row>
    <row r="780" spans="2:9">
      <c r="B780" s="819"/>
      <c r="C780" s="814"/>
      <c r="D780" s="814"/>
      <c r="E780" s="814"/>
      <c r="F780" s="814"/>
      <c r="H780" s="814"/>
      <c r="I780" s="814"/>
    </row>
    <row r="781" spans="2:9">
      <c r="B781" s="819"/>
      <c r="C781" s="814"/>
      <c r="D781" s="814"/>
      <c r="E781" s="814"/>
      <c r="F781" s="814"/>
      <c r="H781" s="814"/>
      <c r="I781" s="814"/>
    </row>
    <row r="782" spans="2:9">
      <c r="B782" s="819"/>
      <c r="C782" s="814"/>
      <c r="D782" s="814"/>
      <c r="E782" s="814"/>
      <c r="F782" s="814"/>
      <c r="H782" s="814"/>
      <c r="I782" s="814"/>
    </row>
    <row r="783" spans="2:9">
      <c r="B783" s="819"/>
      <c r="C783" s="814"/>
      <c r="D783" s="814"/>
      <c r="E783" s="814"/>
      <c r="F783" s="814"/>
      <c r="H783" s="814"/>
      <c r="I783" s="814"/>
    </row>
    <row r="784" spans="2:9">
      <c r="B784" s="819"/>
      <c r="C784" s="814"/>
      <c r="D784" s="814"/>
      <c r="E784" s="814"/>
      <c r="F784" s="814"/>
      <c r="H784" s="814"/>
      <c r="I784" s="814"/>
    </row>
    <row r="785" spans="2:9">
      <c r="B785" s="819"/>
      <c r="C785" s="814"/>
      <c r="D785" s="814"/>
      <c r="E785" s="814"/>
      <c r="F785" s="814"/>
      <c r="H785" s="814"/>
      <c r="I785" s="814"/>
    </row>
    <row r="786" spans="2:9">
      <c r="B786" s="819"/>
      <c r="C786" s="814"/>
      <c r="D786" s="814"/>
      <c r="E786" s="814"/>
      <c r="F786" s="814"/>
      <c r="H786" s="814"/>
      <c r="I786" s="814"/>
    </row>
    <row r="787" spans="2:9">
      <c r="B787" s="819"/>
      <c r="C787" s="814"/>
      <c r="D787" s="814"/>
      <c r="E787" s="814"/>
      <c r="F787" s="814"/>
      <c r="H787" s="814"/>
      <c r="I787" s="814"/>
    </row>
    <row r="788" spans="2:9">
      <c r="B788" s="819"/>
      <c r="C788" s="814"/>
      <c r="D788" s="814"/>
      <c r="E788" s="814"/>
      <c r="F788" s="814"/>
      <c r="H788" s="814"/>
      <c r="I788" s="814"/>
    </row>
    <row r="789" spans="2:9">
      <c r="B789" s="819"/>
      <c r="C789" s="814"/>
      <c r="D789" s="814"/>
      <c r="E789" s="814"/>
      <c r="F789" s="814"/>
      <c r="H789" s="814"/>
      <c r="I789" s="814"/>
    </row>
    <row r="790" spans="2:9">
      <c r="B790" s="819"/>
      <c r="C790" s="814"/>
      <c r="D790" s="814"/>
      <c r="E790" s="814"/>
      <c r="F790" s="814"/>
      <c r="H790" s="814"/>
      <c r="I790" s="814"/>
    </row>
    <row r="791" spans="2:9">
      <c r="B791" s="819"/>
      <c r="C791" s="814"/>
      <c r="D791" s="814"/>
      <c r="E791" s="814"/>
      <c r="F791" s="814"/>
      <c r="H791" s="814"/>
      <c r="I791" s="814"/>
    </row>
    <row r="792" spans="2:9">
      <c r="B792" s="819"/>
      <c r="C792" s="814"/>
      <c r="D792" s="814"/>
      <c r="E792" s="814"/>
      <c r="F792" s="814"/>
      <c r="H792" s="814"/>
      <c r="I792" s="814"/>
    </row>
    <row r="793" spans="2:9">
      <c r="B793" s="819"/>
      <c r="C793" s="814"/>
      <c r="D793" s="814"/>
      <c r="E793" s="814"/>
      <c r="F793" s="814"/>
      <c r="H793" s="814"/>
      <c r="I793" s="814"/>
    </row>
    <row r="794" spans="2:9">
      <c r="B794" s="819"/>
      <c r="C794" s="814"/>
      <c r="D794" s="814"/>
      <c r="E794" s="814"/>
      <c r="F794" s="814"/>
      <c r="H794" s="814"/>
      <c r="I794" s="814"/>
    </row>
    <row r="795" spans="2:9">
      <c r="B795" s="819"/>
      <c r="C795" s="814"/>
      <c r="D795" s="814"/>
      <c r="E795" s="814"/>
      <c r="F795" s="814"/>
      <c r="H795" s="814"/>
      <c r="I795" s="814"/>
    </row>
    <row r="796" spans="2:9">
      <c r="B796" s="819"/>
      <c r="C796" s="814"/>
      <c r="D796" s="814"/>
      <c r="E796" s="814"/>
      <c r="F796" s="814"/>
      <c r="H796" s="814"/>
      <c r="I796" s="814"/>
    </row>
    <row r="797" spans="2:9">
      <c r="B797" s="819"/>
      <c r="C797" s="814"/>
      <c r="D797" s="814"/>
      <c r="E797" s="814"/>
      <c r="F797" s="814"/>
      <c r="H797" s="814"/>
      <c r="I797" s="814"/>
    </row>
    <row r="798" spans="2:9">
      <c r="B798" s="819"/>
      <c r="C798" s="814"/>
      <c r="D798" s="814"/>
      <c r="E798" s="814"/>
      <c r="F798" s="814"/>
      <c r="H798" s="814"/>
      <c r="I798" s="814"/>
    </row>
    <row r="799" spans="2:9">
      <c r="B799" s="819"/>
      <c r="C799" s="814"/>
      <c r="D799" s="814"/>
      <c r="E799" s="814"/>
      <c r="F799" s="814"/>
      <c r="H799" s="814"/>
      <c r="I799" s="814"/>
    </row>
    <row r="800" spans="2:9">
      <c r="B800" s="819"/>
      <c r="C800" s="814"/>
      <c r="D800" s="814"/>
      <c r="E800" s="814"/>
      <c r="F800" s="814"/>
      <c r="H800" s="814"/>
      <c r="I800" s="814"/>
    </row>
    <row r="801" spans="2:9">
      <c r="B801" s="819"/>
      <c r="C801" s="814"/>
      <c r="D801" s="814"/>
      <c r="E801" s="814"/>
      <c r="F801" s="814"/>
      <c r="H801" s="814"/>
      <c r="I801" s="814"/>
    </row>
    <row r="802" spans="2:9">
      <c r="B802" s="819"/>
      <c r="C802" s="814"/>
      <c r="D802" s="814"/>
      <c r="E802" s="814"/>
      <c r="F802" s="814"/>
      <c r="H802" s="814"/>
      <c r="I802" s="814"/>
    </row>
    <row r="803" spans="2:9">
      <c r="B803" s="819"/>
      <c r="C803" s="814"/>
      <c r="D803" s="814"/>
      <c r="E803" s="814"/>
      <c r="F803" s="814"/>
      <c r="H803" s="814"/>
      <c r="I803" s="814"/>
    </row>
    <row r="804" spans="2:9">
      <c r="B804" s="819"/>
      <c r="C804" s="814"/>
      <c r="D804" s="814"/>
      <c r="E804" s="814"/>
      <c r="F804" s="814"/>
      <c r="H804" s="814"/>
      <c r="I804" s="814"/>
    </row>
    <row r="805" spans="2:9">
      <c r="B805" s="819"/>
      <c r="C805" s="814"/>
      <c r="D805" s="814"/>
      <c r="E805" s="814"/>
      <c r="F805" s="814"/>
      <c r="H805" s="814"/>
      <c r="I805" s="814"/>
    </row>
    <row r="806" spans="2:9">
      <c r="B806" s="819"/>
      <c r="C806" s="814"/>
      <c r="D806" s="814"/>
      <c r="E806" s="814"/>
      <c r="F806" s="814"/>
      <c r="H806" s="814"/>
      <c r="I806" s="814"/>
    </row>
    <row r="807" spans="2:9">
      <c r="B807" s="819"/>
      <c r="C807" s="814"/>
      <c r="D807" s="814"/>
      <c r="E807" s="814"/>
      <c r="F807" s="814"/>
      <c r="H807" s="814"/>
      <c r="I807" s="814"/>
    </row>
    <row r="808" spans="2:9">
      <c r="B808" s="819"/>
      <c r="C808" s="814"/>
      <c r="D808" s="814"/>
      <c r="E808" s="814"/>
      <c r="F808" s="814"/>
      <c r="H808" s="814"/>
      <c r="I808" s="814"/>
    </row>
    <row r="809" spans="2:9">
      <c r="B809" s="819"/>
      <c r="C809" s="814"/>
      <c r="D809" s="814"/>
      <c r="E809" s="814"/>
      <c r="F809" s="814"/>
      <c r="H809" s="814"/>
      <c r="I809" s="814"/>
    </row>
    <row r="810" spans="2:9">
      <c r="B810" s="819"/>
      <c r="C810" s="814"/>
      <c r="D810" s="814"/>
      <c r="E810" s="814"/>
      <c r="F810" s="814"/>
      <c r="H810" s="814"/>
      <c r="I810" s="814"/>
    </row>
    <row r="811" spans="2:9">
      <c r="B811" s="819"/>
      <c r="C811" s="814"/>
      <c r="D811" s="814"/>
      <c r="E811" s="814"/>
      <c r="F811" s="814"/>
      <c r="H811" s="814"/>
      <c r="I811" s="814"/>
    </row>
    <row r="812" spans="2:9">
      <c r="B812" s="819"/>
      <c r="C812" s="814"/>
      <c r="D812" s="814"/>
      <c r="E812" s="814"/>
      <c r="F812" s="814"/>
      <c r="H812" s="814"/>
      <c r="I812" s="814"/>
    </row>
    <row r="813" spans="2:9">
      <c r="B813" s="819"/>
      <c r="C813" s="814"/>
      <c r="D813" s="814"/>
      <c r="E813" s="814"/>
      <c r="F813" s="814"/>
      <c r="H813" s="814"/>
      <c r="I813" s="814"/>
    </row>
    <row r="814" spans="2:9">
      <c r="B814" s="819"/>
      <c r="C814" s="814"/>
      <c r="D814" s="814"/>
      <c r="E814" s="814"/>
      <c r="F814" s="814"/>
      <c r="H814" s="814"/>
      <c r="I814" s="814"/>
    </row>
    <row r="815" spans="2:9">
      <c r="B815" s="819"/>
      <c r="C815" s="814"/>
      <c r="D815" s="814"/>
      <c r="E815" s="814"/>
      <c r="F815" s="814"/>
      <c r="H815" s="814"/>
      <c r="I815" s="814"/>
    </row>
    <row r="816" spans="2:9">
      <c r="B816" s="819"/>
      <c r="C816" s="814"/>
      <c r="D816" s="814"/>
      <c r="E816" s="814"/>
      <c r="F816" s="814"/>
      <c r="H816" s="814"/>
      <c r="I816" s="814"/>
    </row>
    <row r="817" spans="2:9">
      <c r="B817" s="819"/>
      <c r="C817" s="814"/>
      <c r="D817" s="814"/>
      <c r="E817" s="814"/>
      <c r="F817" s="814"/>
      <c r="H817" s="814"/>
      <c r="I817" s="814"/>
    </row>
    <row r="818" spans="2:9">
      <c r="B818" s="819"/>
      <c r="C818" s="814"/>
      <c r="D818" s="814"/>
      <c r="E818" s="814"/>
      <c r="F818" s="814"/>
      <c r="H818" s="814"/>
      <c r="I818" s="814"/>
    </row>
    <row r="819" spans="2:9">
      <c r="B819" s="819"/>
      <c r="C819" s="814"/>
      <c r="D819" s="814"/>
      <c r="E819" s="814"/>
      <c r="F819" s="814"/>
      <c r="H819" s="814"/>
      <c r="I819" s="814"/>
    </row>
    <row r="820" spans="2:9">
      <c r="B820" s="819"/>
      <c r="C820" s="814"/>
      <c r="D820" s="814"/>
      <c r="E820" s="814"/>
      <c r="F820" s="814"/>
      <c r="H820" s="814"/>
      <c r="I820" s="814"/>
    </row>
    <row r="821" spans="2:9">
      <c r="B821" s="819"/>
      <c r="C821" s="814"/>
      <c r="D821" s="814"/>
      <c r="E821" s="814"/>
      <c r="F821" s="814"/>
      <c r="H821" s="814"/>
      <c r="I821" s="814"/>
    </row>
    <row r="822" spans="2:9">
      <c r="B822" s="819"/>
      <c r="C822" s="814"/>
      <c r="D822" s="814"/>
      <c r="E822" s="814"/>
      <c r="F822" s="814"/>
      <c r="H822" s="814"/>
      <c r="I822" s="814"/>
    </row>
    <row r="823" spans="2:9">
      <c r="B823" s="819"/>
      <c r="C823" s="814"/>
      <c r="D823" s="814"/>
      <c r="E823" s="814"/>
      <c r="F823" s="814"/>
      <c r="H823" s="814"/>
      <c r="I823" s="814"/>
    </row>
    <row r="824" spans="2:9">
      <c r="B824" s="819"/>
      <c r="C824" s="814"/>
      <c r="D824" s="814"/>
      <c r="E824" s="814"/>
      <c r="F824" s="814"/>
      <c r="H824" s="814"/>
      <c r="I824" s="814"/>
    </row>
    <row r="825" spans="2:9">
      <c r="B825" s="819"/>
      <c r="C825" s="814"/>
      <c r="D825" s="814"/>
      <c r="E825" s="814"/>
      <c r="F825" s="814"/>
      <c r="H825" s="814"/>
      <c r="I825" s="814"/>
    </row>
    <row r="826" spans="2:9">
      <c r="B826" s="819"/>
      <c r="C826" s="814"/>
      <c r="D826" s="814"/>
      <c r="E826" s="814"/>
      <c r="F826" s="814"/>
      <c r="H826" s="814"/>
      <c r="I826" s="814"/>
    </row>
    <row r="827" spans="2:9">
      <c r="B827" s="819"/>
      <c r="C827" s="814"/>
      <c r="D827" s="814"/>
      <c r="E827" s="814"/>
      <c r="F827" s="814"/>
      <c r="H827" s="814"/>
      <c r="I827" s="814"/>
    </row>
    <row r="828" spans="2:9">
      <c r="B828" s="819"/>
      <c r="C828" s="814"/>
      <c r="D828" s="814"/>
      <c r="E828" s="814"/>
      <c r="F828" s="814"/>
      <c r="H828" s="814"/>
      <c r="I828" s="814"/>
    </row>
    <row r="829" spans="2:9">
      <c r="B829" s="819"/>
      <c r="C829" s="814"/>
      <c r="D829" s="814"/>
      <c r="E829" s="814"/>
      <c r="F829" s="814"/>
      <c r="H829" s="814"/>
      <c r="I829" s="814"/>
    </row>
    <row r="830" spans="2:9">
      <c r="B830" s="819"/>
      <c r="C830" s="814"/>
      <c r="D830" s="814"/>
      <c r="E830" s="814"/>
      <c r="F830" s="814"/>
      <c r="H830" s="814"/>
      <c r="I830" s="814"/>
    </row>
    <row r="831" spans="2:9">
      <c r="B831" s="819"/>
      <c r="C831" s="814"/>
      <c r="D831" s="814"/>
      <c r="E831" s="814"/>
      <c r="F831" s="814"/>
      <c r="H831" s="814"/>
      <c r="I831" s="814"/>
    </row>
    <row r="832" spans="2:9">
      <c r="B832" s="819"/>
      <c r="C832" s="814"/>
      <c r="D832" s="814"/>
      <c r="E832" s="814"/>
      <c r="F832" s="814"/>
      <c r="H832" s="814"/>
      <c r="I832" s="814"/>
    </row>
    <row r="833" spans="2:9">
      <c r="B833" s="819"/>
      <c r="C833" s="814"/>
      <c r="D833" s="814"/>
      <c r="E833" s="814"/>
      <c r="F833" s="814"/>
      <c r="H833" s="814"/>
      <c r="I833" s="814"/>
    </row>
    <row r="834" spans="2:9">
      <c r="B834" s="819"/>
      <c r="C834" s="814"/>
      <c r="D834" s="814"/>
      <c r="E834" s="814"/>
      <c r="F834" s="814"/>
      <c r="H834" s="814"/>
      <c r="I834" s="814"/>
    </row>
    <row r="835" spans="2:9">
      <c r="B835" s="819"/>
      <c r="C835" s="814"/>
      <c r="D835" s="814"/>
      <c r="E835" s="814"/>
      <c r="F835" s="814"/>
      <c r="H835" s="814"/>
      <c r="I835" s="814"/>
    </row>
    <row r="836" spans="2:9">
      <c r="B836" s="819"/>
      <c r="C836" s="814"/>
      <c r="D836" s="814"/>
      <c r="E836" s="814"/>
      <c r="F836" s="814"/>
      <c r="H836" s="814"/>
      <c r="I836" s="814"/>
    </row>
    <row r="837" spans="2:9">
      <c r="B837" s="819"/>
      <c r="C837" s="814"/>
      <c r="D837" s="814"/>
      <c r="E837" s="814"/>
      <c r="F837" s="814"/>
      <c r="H837" s="814"/>
      <c r="I837" s="814"/>
    </row>
    <row r="838" spans="2:9">
      <c r="B838" s="819"/>
      <c r="C838" s="814"/>
      <c r="D838" s="814"/>
      <c r="E838" s="814"/>
      <c r="F838" s="814"/>
      <c r="H838" s="814"/>
      <c r="I838" s="814"/>
    </row>
    <row r="839" spans="2:9">
      <c r="B839" s="819"/>
      <c r="C839" s="814"/>
      <c r="D839" s="814"/>
      <c r="E839" s="814"/>
      <c r="F839" s="814"/>
      <c r="H839" s="814"/>
      <c r="I839" s="814"/>
    </row>
    <row r="840" spans="2:9">
      <c r="B840" s="819"/>
      <c r="C840" s="814"/>
      <c r="D840" s="814"/>
      <c r="E840" s="814"/>
      <c r="F840" s="814"/>
      <c r="H840" s="814"/>
      <c r="I840" s="814"/>
    </row>
    <row r="841" spans="2:9">
      <c r="B841" s="819"/>
      <c r="C841" s="814"/>
      <c r="D841" s="814"/>
      <c r="E841" s="814"/>
      <c r="F841" s="814"/>
      <c r="H841" s="814"/>
      <c r="I841" s="814"/>
    </row>
    <row r="842" spans="2:9">
      <c r="B842" s="819"/>
      <c r="C842" s="814"/>
      <c r="D842" s="814"/>
      <c r="E842" s="814"/>
      <c r="F842" s="814"/>
      <c r="H842" s="814"/>
      <c r="I842" s="814"/>
    </row>
    <row r="843" spans="2:9">
      <c r="B843" s="819"/>
      <c r="C843" s="814"/>
      <c r="D843" s="814"/>
      <c r="E843" s="814"/>
      <c r="F843" s="814"/>
      <c r="H843" s="814"/>
      <c r="I843" s="814"/>
    </row>
    <row r="844" spans="2:9">
      <c r="B844" s="819"/>
      <c r="C844" s="814"/>
      <c r="D844" s="814"/>
      <c r="E844" s="814"/>
      <c r="F844" s="814"/>
      <c r="H844" s="814"/>
      <c r="I844" s="814"/>
    </row>
    <row r="845" spans="2:9">
      <c r="B845" s="819"/>
      <c r="C845" s="814"/>
      <c r="D845" s="814"/>
      <c r="E845" s="814"/>
      <c r="F845" s="814"/>
      <c r="H845" s="814"/>
      <c r="I845" s="814"/>
    </row>
    <row r="846" spans="2:9">
      <c r="B846" s="819"/>
      <c r="C846" s="814"/>
      <c r="D846" s="814"/>
      <c r="E846" s="814"/>
      <c r="F846" s="814"/>
      <c r="H846" s="814"/>
      <c r="I846" s="814"/>
    </row>
    <row r="847" spans="2:9">
      <c r="B847" s="819"/>
      <c r="C847" s="814"/>
      <c r="D847" s="814"/>
      <c r="E847" s="814"/>
      <c r="F847" s="814"/>
      <c r="H847" s="814"/>
      <c r="I847" s="814"/>
    </row>
    <row r="848" spans="2:9">
      <c r="B848" s="819"/>
      <c r="C848" s="814"/>
      <c r="D848" s="814"/>
      <c r="E848" s="814"/>
      <c r="F848" s="814"/>
      <c r="H848" s="814"/>
      <c r="I848" s="814"/>
    </row>
    <row r="849" spans="2:9">
      <c r="B849" s="819"/>
      <c r="C849" s="814"/>
      <c r="D849" s="814"/>
      <c r="E849" s="814"/>
      <c r="F849" s="814"/>
      <c r="H849" s="814"/>
      <c r="I849" s="814"/>
    </row>
    <row r="850" spans="2:9">
      <c r="B850" s="819"/>
      <c r="C850" s="814"/>
      <c r="D850" s="814"/>
      <c r="E850" s="814"/>
      <c r="F850" s="814"/>
      <c r="H850" s="814"/>
      <c r="I850" s="814"/>
    </row>
    <row r="851" spans="2:9">
      <c r="B851" s="819"/>
      <c r="C851" s="814"/>
      <c r="D851" s="814"/>
      <c r="E851" s="814"/>
      <c r="F851" s="814"/>
      <c r="H851" s="814"/>
      <c r="I851" s="814"/>
    </row>
    <row r="852" spans="2:9">
      <c r="B852" s="819"/>
      <c r="C852" s="814"/>
      <c r="D852" s="814"/>
      <c r="E852" s="814"/>
      <c r="F852" s="814"/>
      <c r="H852" s="814"/>
      <c r="I852" s="814"/>
    </row>
    <row r="853" spans="2:9">
      <c r="B853" s="819"/>
      <c r="C853" s="814"/>
      <c r="D853" s="814"/>
      <c r="E853" s="814"/>
      <c r="F853" s="814"/>
      <c r="H853" s="814"/>
      <c r="I853" s="814"/>
    </row>
    <row r="854" spans="2:9">
      <c r="B854" s="819"/>
      <c r="C854" s="814"/>
      <c r="D854" s="814"/>
      <c r="E854" s="814"/>
      <c r="F854" s="814"/>
      <c r="H854" s="814"/>
      <c r="I854" s="814"/>
    </row>
    <row r="855" spans="2:9">
      <c r="B855" s="819"/>
      <c r="C855" s="814"/>
      <c r="D855" s="814"/>
      <c r="E855" s="814"/>
      <c r="F855" s="814"/>
      <c r="H855" s="814"/>
      <c r="I855" s="814"/>
    </row>
    <row r="856" spans="2:9">
      <c r="B856" s="819"/>
      <c r="C856" s="814"/>
      <c r="D856" s="814"/>
      <c r="E856" s="814"/>
      <c r="F856" s="814"/>
      <c r="H856" s="814"/>
      <c r="I856" s="814"/>
    </row>
    <row r="857" spans="2:9">
      <c r="B857" s="819"/>
      <c r="C857" s="814"/>
      <c r="D857" s="814"/>
      <c r="E857" s="814"/>
      <c r="F857" s="814"/>
      <c r="H857" s="814"/>
      <c r="I857" s="814"/>
    </row>
    <row r="858" spans="2:9">
      <c r="B858" s="819"/>
      <c r="C858" s="814"/>
      <c r="D858" s="814"/>
      <c r="E858" s="814"/>
      <c r="F858" s="814"/>
      <c r="H858" s="814"/>
      <c r="I858" s="814"/>
    </row>
    <row r="859" spans="2:9">
      <c r="B859" s="819"/>
      <c r="C859" s="814"/>
      <c r="D859" s="814"/>
      <c r="E859" s="814"/>
      <c r="F859" s="814"/>
      <c r="H859" s="814"/>
      <c r="I859" s="814"/>
    </row>
    <row r="860" spans="2:9">
      <c r="B860" s="819"/>
      <c r="C860" s="814"/>
      <c r="D860" s="814"/>
      <c r="E860" s="814"/>
      <c r="F860" s="814"/>
      <c r="H860" s="814"/>
      <c r="I860" s="814"/>
    </row>
    <row r="861" spans="2:9">
      <c r="B861" s="819"/>
      <c r="C861" s="814"/>
      <c r="D861" s="814"/>
      <c r="E861" s="814"/>
      <c r="F861" s="814"/>
      <c r="H861" s="814"/>
      <c r="I861" s="814"/>
    </row>
    <row r="862" spans="2:9">
      <c r="B862" s="819"/>
      <c r="C862" s="814"/>
      <c r="D862" s="814"/>
      <c r="E862" s="814"/>
      <c r="F862" s="814"/>
      <c r="H862" s="814"/>
      <c r="I862" s="814"/>
    </row>
    <row r="863" spans="2:9">
      <c r="B863" s="819"/>
      <c r="C863" s="814"/>
      <c r="D863" s="814"/>
      <c r="E863" s="814"/>
      <c r="F863" s="814"/>
      <c r="H863" s="814"/>
      <c r="I863" s="814"/>
    </row>
    <row r="864" spans="2:9">
      <c r="B864" s="819"/>
      <c r="C864" s="814"/>
      <c r="D864" s="814"/>
      <c r="E864" s="814"/>
      <c r="F864" s="814"/>
      <c r="H864" s="814"/>
      <c r="I864" s="814"/>
    </row>
    <row r="865" spans="2:9">
      <c r="B865" s="819"/>
      <c r="C865" s="814"/>
      <c r="D865" s="814"/>
      <c r="E865" s="814"/>
      <c r="F865" s="814"/>
      <c r="H865" s="814"/>
      <c r="I865" s="814"/>
    </row>
    <row r="866" spans="2:9">
      <c r="B866" s="819"/>
      <c r="C866" s="814"/>
      <c r="D866" s="814"/>
      <c r="E866" s="814"/>
      <c r="F866" s="814"/>
      <c r="H866" s="814"/>
      <c r="I866" s="814"/>
    </row>
    <row r="867" spans="2:9">
      <c r="B867" s="819"/>
      <c r="C867" s="814"/>
      <c r="D867" s="814"/>
      <c r="E867" s="814"/>
      <c r="F867" s="814"/>
      <c r="H867" s="814"/>
      <c r="I867" s="814"/>
    </row>
    <row r="868" spans="2:9">
      <c r="B868" s="819"/>
      <c r="C868" s="814"/>
      <c r="D868" s="814"/>
      <c r="E868" s="814"/>
      <c r="F868" s="814"/>
      <c r="H868" s="814"/>
      <c r="I868" s="814"/>
    </row>
    <row r="869" spans="2:9">
      <c r="B869" s="819"/>
      <c r="C869" s="814"/>
      <c r="D869" s="814"/>
      <c r="E869" s="814"/>
      <c r="F869" s="814"/>
      <c r="H869" s="814"/>
      <c r="I869" s="814"/>
    </row>
    <row r="870" spans="2:9">
      <c r="B870" s="819"/>
      <c r="C870" s="814"/>
      <c r="D870" s="814"/>
      <c r="E870" s="814"/>
      <c r="F870" s="814"/>
      <c r="H870" s="814"/>
      <c r="I870" s="814"/>
    </row>
    <row r="871" spans="2:9">
      <c r="B871" s="819"/>
      <c r="C871" s="814"/>
      <c r="D871" s="814"/>
      <c r="E871" s="814"/>
      <c r="F871" s="814"/>
      <c r="H871" s="814"/>
      <c r="I871" s="814"/>
    </row>
    <row r="872" spans="2:9">
      <c r="B872" s="819"/>
      <c r="C872" s="814"/>
      <c r="D872" s="814"/>
      <c r="E872" s="814"/>
      <c r="F872" s="814"/>
      <c r="H872" s="814"/>
      <c r="I872" s="814"/>
    </row>
    <row r="873" spans="2:9">
      <c r="B873" s="819"/>
      <c r="C873" s="814"/>
      <c r="D873" s="814"/>
      <c r="E873" s="814"/>
      <c r="F873" s="814"/>
      <c r="H873" s="814"/>
      <c r="I873" s="814"/>
    </row>
    <row r="874" spans="2:9">
      <c r="B874" s="819"/>
      <c r="C874" s="814"/>
      <c r="D874" s="814"/>
      <c r="E874" s="814"/>
      <c r="F874" s="814"/>
      <c r="H874" s="814"/>
      <c r="I874" s="814"/>
    </row>
    <row r="875" spans="2:9">
      <c r="B875" s="819"/>
      <c r="C875" s="814"/>
      <c r="D875" s="814"/>
      <c r="E875" s="814"/>
      <c r="F875" s="814"/>
      <c r="H875" s="814"/>
      <c r="I875" s="814"/>
    </row>
    <row r="876" spans="2:9">
      <c r="B876" s="819"/>
      <c r="C876" s="814"/>
      <c r="D876" s="814"/>
      <c r="E876" s="814"/>
      <c r="F876" s="814"/>
      <c r="H876" s="814"/>
      <c r="I876" s="814"/>
    </row>
    <row r="877" spans="2:9">
      <c r="B877" s="819"/>
      <c r="C877" s="814"/>
      <c r="D877" s="814"/>
      <c r="E877" s="814"/>
      <c r="F877" s="814"/>
      <c r="H877" s="814"/>
      <c r="I877" s="814"/>
    </row>
    <row r="878" spans="2:9">
      <c r="B878" s="819"/>
      <c r="C878" s="814"/>
      <c r="D878" s="814"/>
      <c r="E878" s="814"/>
      <c r="F878" s="814"/>
      <c r="H878" s="814"/>
      <c r="I878" s="814"/>
    </row>
    <row r="879" spans="2:9">
      <c r="B879" s="819"/>
      <c r="C879" s="814"/>
      <c r="D879" s="814"/>
      <c r="E879" s="814"/>
      <c r="F879" s="814"/>
      <c r="H879" s="814"/>
      <c r="I879" s="814"/>
    </row>
    <row r="880" spans="2:9">
      <c r="B880" s="819"/>
      <c r="C880" s="814"/>
      <c r="D880" s="814"/>
      <c r="E880" s="814"/>
      <c r="F880" s="814"/>
      <c r="H880" s="814"/>
      <c r="I880" s="814"/>
    </row>
    <row r="881" spans="2:9">
      <c r="B881" s="819"/>
      <c r="C881" s="814"/>
      <c r="D881" s="814"/>
      <c r="E881" s="814"/>
      <c r="F881" s="814"/>
      <c r="H881" s="814"/>
      <c r="I881" s="814"/>
    </row>
    <row r="882" spans="2:9">
      <c r="B882" s="819"/>
      <c r="C882" s="814"/>
      <c r="D882" s="814"/>
      <c r="E882" s="814"/>
      <c r="F882" s="814"/>
      <c r="H882" s="814"/>
      <c r="I882" s="814"/>
    </row>
    <row r="883" spans="2:9">
      <c r="B883" s="819"/>
      <c r="C883" s="814"/>
      <c r="D883" s="814"/>
      <c r="E883" s="814"/>
      <c r="F883" s="814"/>
      <c r="H883" s="814"/>
      <c r="I883" s="814"/>
    </row>
    <row r="884" spans="2:9">
      <c r="B884" s="819"/>
      <c r="C884" s="814"/>
      <c r="D884" s="814"/>
      <c r="E884" s="814"/>
      <c r="F884" s="814"/>
      <c r="H884" s="814"/>
      <c r="I884" s="814"/>
    </row>
    <row r="885" spans="2:9">
      <c r="B885" s="819"/>
      <c r="C885" s="814"/>
      <c r="D885" s="814"/>
      <c r="E885" s="814"/>
      <c r="F885" s="814"/>
      <c r="H885" s="814"/>
      <c r="I885" s="814"/>
    </row>
    <row r="886" spans="2:9">
      <c r="B886" s="819"/>
      <c r="C886" s="814"/>
      <c r="D886" s="814"/>
      <c r="E886" s="814"/>
      <c r="F886" s="814"/>
      <c r="H886" s="814"/>
      <c r="I886" s="814"/>
    </row>
    <row r="887" spans="2:9">
      <c r="B887" s="819"/>
      <c r="C887" s="814"/>
      <c r="D887" s="814"/>
      <c r="E887" s="814"/>
      <c r="F887" s="814"/>
      <c r="H887" s="814"/>
      <c r="I887" s="814"/>
    </row>
    <row r="888" spans="2:9">
      <c r="B888" s="819"/>
      <c r="C888" s="814"/>
      <c r="D888" s="814"/>
      <c r="E888" s="814"/>
      <c r="F888" s="814"/>
      <c r="H888" s="814"/>
      <c r="I888" s="814"/>
    </row>
    <row r="889" spans="2:9">
      <c r="B889" s="819"/>
      <c r="C889" s="814"/>
      <c r="D889" s="814"/>
      <c r="E889" s="814"/>
      <c r="F889" s="814"/>
      <c r="H889" s="814"/>
      <c r="I889" s="814"/>
    </row>
    <row r="890" spans="2:9">
      <c r="B890" s="819"/>
      <c r="C890" s="814"/>
      <c r="D890" s="814"/>
      <c r="E890" s="814"/>
      <c r="F890" s="814"/>
      <c r="H890" s="814"/>
      <c r="I890" s="814"/>
    </row>
    <row r="891" spans="2:9">
      <c r="B891" s="819"/>
      <c r="C891" s="814"/>
      <c r="D891" s="814"/>
      <c r="E891" s="814"/>
      <c r="F891" s="814"/>
      <c r="H891" s="814"/>
      <c r="I891" s="814"/>
    </row>
    <row r="892" spans="2:9">
      <c r="B892" s="819"/>
      <c r="C892" s="814"/>
      <c r="D892" s="814"/>
      <c r="E892" s="814"/>
      <c r="F892" s="814"/>
      <c r="H892" s="814"/>
      <c r="I892" s="814"/>
    </row>
    <row r="893" spans="2:9">
      <c r="B893" s="819"/>
      <c r="C893" s="814"/>
      <c r="D893" s="814"/>
      <c r="E893" s="814"/>
      <c r="F893" s="814"/>
      <c r="H893" s="814"/>
      <c r="I893" s="814"/>
    </row>
    <row r="894" spans="2:9">
      <c r="B894" s="819"/>
      <c r="C894" s="814"/>
      <c r="D894" s="814"/>
      <c r="E894" s="814"/>
      <c r="F894" s="814"/>
      <c r="H894" s="814"/>
      <c r="I894" s="814"/>
    </row>
    <row r="895" spans="2:9">
      <c r="B895" s="819"/>
      <c r="C895" s="814"/>
      <c r="D895" s="814"/>
      <c r="E895" s="814"/>
      <c r="F895" s="814"/>
      <c r="H895" s="814"/>
      <c r="I895" s="814"/>
    </row>
    <row r="896" spans="2:9">
      <c r="B896" s="819"/>
      <c r="C896" s="814"/>
      <c r="D896" s="814"/>
      <c r="E896" s="814"/>
      <c r="F896" s="814"/>
      <c r="H896" s="814"/>
      <c r="I896" s="814"/>
    </row>
    <row r="897" spans="2:9">
      <c r="B897" s="819"/>
      <c r="C897" s="814"/>
      <c r="D897" s="814"/>
      <c r="E897" s="814"/>
      <c r="F897" s="814"/>
      <c r="H897" s="814"/>
      <c r="I897" s="814"/>
    </row>
    <row r="898" spans="2:9">
      <c r="B898" s="819"/>
      <c r="C898" s="814"/>
      <c r="D898" s="814"/>
      <c r="E898" s="814"/>
      <c r="F898" s="814"/>
      <c r="H898" s="814"/>
      <c r="I898" s="814"/>
    </row>
    <row r="899" spans="2:9">
      <c r="B899" s="819"/>
      <c r="C899" s="814"/>
      <c r="D899" s="814"/>
      <c r="E899" s="814"/>
      <c r="F899" s="814"/>
      <c r="H899" s="814"/>
      <c r="I899" s="814"/>
    </row>
    <row r="900" spans="2:9">
      <c r="B900" s="819"/>
      <c r="C900" s="814"/>
      <c r="D900" s="814"/>
      <c r="E900" s="814"/>
      <c r="F900" s="814"/>
      <c r="H900" s="814"/>
      <c r="I900" s="814"/>
    </row>
    <row r="901" spans="2:9">
      <c r="B901" s="819"/>
      <c r="C901" s="814"/>
      <c r="D901" s="814"/>
      <c r="E901" s="814"/>
      <c r="F901" s="814"/>
      <c r="H901" s="814"/>
      <c r="I901" s="814"/>
    </row>
    <row r="902" spans="2:9">
      <c r="B902" s="819"/>
      <c r="C902" s="814"/>
      <c r="D902" s="814"/>
      <c r="E902" s="814"/>
      <c r="F902" s="814"/>
      <c r="H902" s="814"/>
      <c r="I902" s="814"/>
    </row>
    <row r="903" spans="2:9">
      <c r="B903" s="819"/>
      <c r="C903" s="814"/>
      <c r="D903" s="814"/>
      <c r="E903" s="814"/>
      <c r="F903" s="814"/>
      <c r="H903" s="814"/>
      <c r="I903" s="814"/>
    </row>
    <row r="904" spans="2:9">
      <c r="B904" s="819"/>
      <c r="C904" s="814"/>
      <c r="D904" s="814"/>
      <c r="E904" s="814"/>
      <c r="F904" s="814"/>
      <c r="H904" s="814"/>
      <c r="I904" s="814"/>
    </row>
    <row r="905" spans="2:9">
      <c r="B905" s="819"/>
      <c r="C905" s="814"/>
      <c r="D905" s="814"/>
      <c r="E905" s="814"/>
      <c r="F905" s="814"/>
      <c r="H905" s="814"/>
      <c r="I905" s="814"/>
    </row>
    <row r="906" spans="2:9">
      <c r="B906" s="819"/>
      <c r="C906" s="814"/>
      <c r="D906" s="814"/>
      <c r="E906" s="814"/>
      <c r="F906" s="814"/>
      <c r="H906" s="814"/>
      <c r="I906" s="814"/>
    </row>
    <row r="907" spans="2:9">
      <c r="B907" s="819"/>
      <c r="C907" s="814"/>
      <c r="D907" s="814"/>
      <c r="E907" s="814"/>
      <c r="F907" s="814"/>
      <c r="H907" s="814"/>
      <c r="I907" s="814"/>
    </row>
    <row r="908" spans="2:9">
      <c r="B908" s="819"/>
      <c r="C908" s="814"/>
      <c r="D908" s="814"/>
      <c r="E908" s="814"/>
      <c r="F908" s="814"/>
      <c r="H908" s="814"/>
      <c r="I908" s="814"/>
    </row>
    <row r="909" spans="2:9">
      <c r="B909" s="819"/>
      <c r="C909" s="814"/>
      <c r="D909" s="814"/>
      <c r="E909" s="814"/>
      <c r="F909" s="814"/>
      <c r="H909" s="814"/>
      <c r="I909" s="814"/>
    </row>
    <row r="910" spans="2:9">
      <c r="B910" s="819"/>
      <c r="C910" s="814"/>
      <c r="D910" s="814"/>
      <c r="E910" s="814"/>
      <c r="F910" s="814"/>
      <c r="H910" s="814"/>
      <c r="I910" s="814"/>
    </row>
    <row r="911" spans="2:9">
      <c r="B911" s="819"/>
      <c r="C911" s="814"/>
      <c r="D911" s="814"/>
      <c r="E911" s="814"/>
      <c r="F911" s="814"/>
      <c r="H911" s="814"/>
      <c r="I911" s="814"/>
    </row>
    <row r="912" spans="2:9">
      <c r="B912" s="819"/>
      <c r="C912" s="814"/>
      <c r="D912" s="814"/>
      <c r="E912" s="814"/>
      <c r="F912" s="814"/>
      <c r="H912" s="814"/>
      <c r="I912" s="814"/>
    </row>
    <row r="913" spans="2:9">
      <c r="B913" s="819"/>
      <c r="C913" s="814"/>
      <c r="D913" s="814"/>
      <c r="E913" s="814"/>
      <c r="F913" s="814"/>
      <c r="H913" s="814"/>
      <c r="I913" s="814"/>
    </row>
    <row r="914" spans="2:9">
      <c r="B914" s="819"/>
      <c r="C914" s="814"/>
      <c r="D914" s="814"/>
      <c r="E914" s="814"/>
      <c r="F914" s="814"/>
      <c r="H914" s="814"/>
      <c r="I914" s="814"/>
    </row>
    <row r="915" spans="2:9">
      <c r="B915" s="819"/>
      <c r="C915" s="814"/>
      <c r="D915" s="814"/>
      <c r="E915" s="814"/>
      <c r="F915" s="814"/>
      <c r="H915" s="814"/>
      <c r="I915" s="814"/>
    </row>
    <row r="916" spans="2:9">
      <c r="B916" s="819"/>
      <c r="C916" s="814"/>
      <c r="D916" s="814"/>
      <c r="E916" s="814"/>
      <c r="F916" s="814"/>
      <c r="H916" s="814"/>
      <c r="I916" s="814"/>
    </row>
    <row r="917" spans="2:9">
      <c r="B917" s="819"/>
      <c r="C917" s="814"/>
      <c r="D917" s="814"/>
      <c r="E917" s="814"/>
      <c r="F917" s="814"/>
      <c r="H917" s="814"/>
      <c r="I917" s="814"/>
    </row>
    <row r="918" spans="2:9">
      <c r="B918" s="819"/>
      <c r="C918" s="814"/>
      <c r="D918" s="814"/>
      <c r="E918" s="814"/>
      <c r="F918" s="814"/>
      <c r="H918" s="814"/>
      <c r="I918" s="814"/>
    </row>
    <row r="919" spans="2:9">
      <c r="B919" s="819"/>
      <c r="C919" s="814"/>
      <c r="D919" s="814"/>
      <c r="E919" s="814"/>
      <c r="F919" s="814"/>
      <c r="H919" s="814"/>
      <c r="I919" s="814"/>
    </row>
    <row r="920" spans="2:9">
      <c r="B920" s="819"/>
      <c r="C920" s="814"/>
      <c r="D920" s="814"/>
      <c r="E920" s="814"/>
      <c r="F920" s="814"/>
      <c r="H920" s="814"/>
      <c r="I920" s="814"/>
    </row>
    <row r="921" spans="2:9">
      <c r="B921" s="819"/>
      <c r="C921" s="814"/>
      <c r="D921" s="814"/>
      <c r="E921" s="814"/>
      <c r="F921" s="814"/>
      <c r="H921" s="814"/>
      <c r="I921" s="814"/>
    </row>
    <row r="922" spans="2:9">
      <c r="B922" s="819"/>
      <c r="C922" s="814"/>
      <c r="D922" s="814"/>
      <c r="E922" s="814"/>
      <c r="F922" s="814"/>
      <c r="H922" s="814"/>
      <c r="I922" s="814"/>
    </row>
    <row r="923" spans="2:9">
      <c r="B923" s="819"/>
      <c r="C923" s="814"/>
      <c r="D923" s="814"/>
      <c r="E923" s="814"/>
      <c r="F923" s="814"/>
      <c r="H923" s="814"/>
      <c r="I923" s="814"/>
    </row>
    <row r="924" spans="2:9">
      <c r="B924" s="819"/>
      <c r="C924" s="814"/>
      <c r="D924" s="814"/>
      <c r="E924" s="814"/>
      <c r="F924" s="814"/>
      <c r="H924" s="814"/>
      <c r="I924" s="814"/>
    </row>
    <row r="925" spans="2:9">
      <c r="B925" s="819"/>
      <c r="C925" s="814"/>
      <c r="D925" s="814"/>
      <c r="E925" s="814"/>
      <c r="F925" s="814"/>
      <c r="H925" s="814"/>
      <c r="I925" s="814"/>
    </row>
    <row r="926" spans="2:9">
      <c r="B926" s="819"/>
      <c r="C926" s="814"/>
      <c r="D926" s="814"/>
      <c r="E926" s="814"/>
      <c r="F926" s="814"/>
      <c r="H926" s="814"/>
      <c r="I926" s="814"/>
    </row>
    <row r="927" spans="2:9">
      <c r="B927" s="819"/>
      <c r="C927" s="814"/>
      <c r="D927" s="814"/>
      <c r="E927" s="814"/>
      <c r="F927" s="814"/>
      <c r="H927" s="814"/>
      <c r="I927" s="814"/>
    </row>
    <row r="928" spans="2:9">
      <c r="B928" s="819"/>
      <c r="C928" s="814"/>
      <c r="D928" s="814"/>
      <c r="E928" s="814"/>
      <c r="F928" s="814"/>
      <c r="H928" s="814"/>
      <c r="I928" s="814"/>
    </row>
    <row r="929" spans="2:9">
      <c r="B929" s="819"/>
      <c r="C929" s="814"/>
      <c r="D929" s="814"/>
      <c r="E929" s="814"/>
      <c r="F929" s="814"/>
      <c r="H929" s="814"/>
      <c r="I929" s="814"/>
    </row>
    <row r="930" spans="2:9">
      <c r="B930" s="819"/>
      <c r="C930" s="814"/>
      <c r="D930" s="814"/>
      <c r="E930" s="814"/>
      <c r="F930" s="814"/>
      <c r="H930" s="814"/>
      <c r="I930" s="814"/>
    </row>
    <row r="931" spans="2:9">
      <c r="B931" s="819"/>
      <c r="C931" s="814"/>
      <c r="D931" s="814"/>
      <c r="E931" s="814"/>
      <c r="F931" s="814"/>
      <c r="H931" s="814"/>
      <c r="I931" s="814"/>
    </row>
    <row r="932" spans="2:9">
      <c r="B932" s="819"/>
      <c r="C932" s="814"/>
      <c r="D932" s="814"/>
      <c r="E932" s="814"/>
      <c r="F932" s="814"/>
      <c r="H932" s="814"/>
      <c r="I932" s="814"/>
    </row>
    <row r="933" spans="2:9">
      <c r="B933" s="819"/>
      <c r="C933" s="814"/>
      <c r="D933" s="814"/>
      <c r="E933" s="814"/>
      <c r="F933" s="814"/>
      <c r="H933" s="814"/>
      <c r="I933" s="814"/>
    </row>
    <row r="934" spans="2:9">
      <c r="B934" s="819"/>
      <c r="C934" s="814"/>
      <c r="D934" s="814"/>
      <c r="E934" s="814"/>
      <c r="F934" s="814"/>
      <c r="H934" s="814"/>
      <c r="I934" s="814"/>
    </row>
    <row r="935" spans="2:9">
      <c r="B935" s="819"/>
      <c r="C935" s="814"/>
      <c r="D935" s="814"/>
      <c r="E935" s="814"/>
      <c r="F935" s="814"/>
      <c r="H935" s="814"/>
      <c r="I935" s="814"/>
    </row>
    <row r="936" spans="2:9">
      <c r="B936" s="819"/>
      <c r="C936" s="814"/>
      <c r="D936" s="814"/>
      <c r="E936" s="814"/>
      <c r="F936" s="814"/>
      <c r="H936" s="814"/>
      <c r="I936" s="814"/>
    </row>
    <row r="937" spans="2:9">
      <c r="B937" s="819"/>
      <c r="C937" s="814"/>
      <c r="D937" s="814"/>
      <c r="E937" s="814"/>
      <c r="F937" s="814"/>
      <c r="H937" s="814"/>
      <c r="I937" s="814"/>
    </row>
    <row r="938" spans="2:9">
      <c r="B938" s="819"/>
      <c r="C938" s="814"/>
      <c r="D938" s="814"/>
      <c r="E938" s="814"/>
      <c r="F938" s="814"/>
      <c r="H938" s="814"/>
      <c r="I938" s="814"/>
    </row>
    <row r="939" spans="2:9">
      <c r="B939" s="819"/>
      <c r="C939" s="814"/>
      <c r="D939" s="814"/>
      <c r="E939" s="814"/>
      <c r="F939" s="814"/>
      <c r="H939" s="814"/>
      <c r="I939" s="814"/>
    </row>
    <row r="940" spans="2:9">
      <c r="B940" s="819"/>
      <c r="C940" s="814"/>
      <c r="D940" s="814"/>
      <c r="E940" s="814"/>
      <c r="F940" s="814"/>
      <c r="H940" s="814"/>
      <c r="I940" s="814"/>
    </row>
    <row r="941" spans="2:9">
      <c r="B941" s="819"/>
      <c r="C941" s="814"/>
      <c r="D941" s="814"/>
      <c r="E941" s="814"/>
      <c r="F941" s="814"/>
      <c r="H941" s="814"/>
      <c r="I941" s="814"/>
    </row>
    <row r="942" spans="2:9">
      <c r="B942" s="819"/>
      <c r="C942" s="814"/>
      <c r="D942" s="814"/>
      <c r="E942" s="814"/>
      <c r="F942" s="814"/>
      <c r="H942" s="814"/>
      <c r="I942" s="814"/>
    </row>
    <row r="943" spans="2:9">
      <c r="B943" s="819"/>
      <c r="C943" s="814"/>
      <c r="D943" s="814"/>
      <c r="E943" s="814"/>
      <c r="F943" s="814"/>
      <c r="H943" s="814"/>
      <c r="I943" s="814"/>
    </row>
    <row r="944" spans="2:9">
      <c r="B944" s="819"/>
      <c r="C944" s="814"/>
      <c r="D944" s="814"/>
      <c r="E944" s="814"/>
      <c r="F944" s="814"/>
      <c r="H944" s="814"/>
      <c r="I944" s="814"/>
    </row>
    <row r="945" spans="2:9">
      <c r="B945" s="819"/>
      <c r="C945" s="814"/>
      <c r="D945" s="814"/>
      <c r="E945" s="814"/>
      <c r="F945" s="814"/>
      <c r="H945" s="814"/>
      <c r="I945" s="814"/>
    </row>
    <row r="946" spans="2:9">
      <c r="B946" s="819"/>
      <c r="C946" s="814"/>
      <c r="D946" s="814"/>
      <c r="E946" s="814"/>
      <c r="F946" s="814"/>
      <c r="H946" s="814"/>
      <c r="I946" s="814"/>
    </row>
    <row r="947" spans="2:9">
      <c r="B947" s="819"/>
      <c r="C947" s="814"/>
      <c r="D947" s="814"/>
      <c r="E947" s="814"/>
      <c r="F947" s="814"/>
      <c r="H947" s="814"/>
      <c r="I947" s="814"/>
    </row>
    <row r="948" spans="2:9">
      <c r="B948" s="819"/>
      <c r="C948" s="814"/>
      <c r="D948" s="814"/>
      <c r="E948" s="814"/>
      <c r="F948" s="814"/>
      <c r="H948" s="814"/>
      <c r="I948" s="814"/>
    </row>
    <row r="949" spans="2:9">
      <c r="B949" s="819"/>
      <c r="C949" s="814"/>
      <c r="D949" s="814"/>
      <c r="E949" s="814"/>
      <c r="F949" s="814"/>
      <c r="H949" s="814"/>
      <c r="I949" s="814"/>
    </row>
    <row r="950" spans="2:9">
      <c r="B950" s="819"/>
      <c r="C950" s="814"/>
      <c r="D950" s="814"/>
      <c r="E950" s="814"/>
      <c r="F950" s="814"/>
      <c r="H950" s="814"/>
      <c r="I950" s="814"/>
    </row>
    <row r="951" spans="2:9">
      <c r="B951" s="819"/>
      <c r="C951" s="814"/>
      <c r="D951" s="814"/>
      <c r="E951" s="814"/>
      <c r="F951" s="814"/>
      <c r="H951" s="814"/>
      <c r="I951" s="814"/>
    </row>
    <row r="952" spans="2:9">
      <c r="B952" s="819"/>
      <c r="C952" s="814"/>
      <c r="D952" s="814"/>
      <c r="E952" s="814"/>
      <c r="F952" s="814"/>
      <c r="H952" s="814"/>
      <c r="I952" s="814"/>
    </row>
    <row r="953" spans="2:9">
      <c r="B953" s="819"/>
      <c r="C953" s="814"/>
      <c r="D953" s="814"/>
      <c r="E953" s="814"/>
      <c r="F953" s="814"/>
      <c r="H953" s="814"/>
      <c r="I953" s="814"/>
    </row>
    <row r="954" spans="2:9">
      <c r="B954" s="819"/>
      <c r="C954" s="814"/>
      <c r="D954" s="814"/>
      <c r="E954" s="814"/>
      <c r="F954" s="814"/>
      <c r="H954" s="814"/>
      <c r="I954" s="814"/>
    </row>
    <row r="955" spans="2:9">
      <c r="B955" s="819"/>
      <c r="C955" s="814"/>
      <c r="D955" s="814"/>
      <c r="E955" s="814"/>
      <c r="F955" s="814"/>
      <c r="H955" s="814"/>
      <c r="I955" s="814"/>
    </row>
    <row r="956" spans="2:9">
      <c r="B956" s="819"/>
      <c r="C956" s="814"/>
      <c r="D956" s="814"/>
      <c r="E956" s="814"/>
      <c r="F956" s="814"/>
      <c r="H956" s="814"/>
      <c r="I956" s="814"/>
    </row>
    <row r="957" spans="2:9">
      <c r="B957" s="819"/>
      <c r="C957" s="814"/>
      <c r="D957" s="814"/>
      <c r="E957" s="814"/>
      <c r="F957" s="814"/>
      <c r="H957" s="814"/>
      <c r="I957" s="814"/>
    </row>
    <row r="958" spans="2:9">
      <c r="B958" s="819"/>
      <c r="C958" s="814"/>
      <c r="D958" s="814"/>
      <c r="E958" s="814"/>
      <c r="F958" s="814"/>
      <c r="H958" s="814"/>
      <c r="I958" s="814"/>
    </row>
    <row r="959" spans="2:9">
      <c r="B959" s="819"/>
      <c r="C959" s="814"/>
      <c r="D959" s="814"/>
      <c r="E959" s="814"/>
      <c r="F959" s="814"/>
      <c r="H959" s="814"/>
      <c r="I959" s="814"/>
    </row>
    <row r="960" spans="2:9">
      <c r="B960" s="819"/>
      <c r="C960" s="814"/>
      <c r="D960" s="814"/>
      <c r="E960" s="814"/>
      <c r="F960" s="814"/>
      <c r="H960" s="814"/>
      <c r="I960" s="814"/>
    </row>
    <row r="961" spans="2:9">
      <c r="B961" s="819"/>
      <c r="C961" s="814"/>
      <c r="D961" s="814"/>
      <c r="E961" s="814"/>
      <c r="F961" s="814"/>
      <c r="H961" s="814"/>
      <c r="I961" s="814"/>
    </row>
    <row r="962" spans="2:9">
      <c r="B962" s="819"/>
      <c r="C962" s="814"/>
      <c r="D962" s="814"/>
      <c r="E962" s="814"/>
      <c r="F962" s="814"/>
      <c r="H962" s="814"/>
      <c r="I962" s="814"/>
    </row>
  </sheetData>
  <customSheetViews>
    <customSheetView guid="{FAA8FFD9-C96B-4A1B-8B9E-B863FD90DDBA}" scale="75" showRuler="0">
      <selection activeCell="I1" sqref="I1:I2"/>
      <pageMargins left="0.25" right="0.25" top="0.5" bottom="0.5" header="0" footer="0"/>
      <printOptions horizontalCentered="1"/>
      <pageSetup scale="50" orientation="portrait" verticalDpi="300" r:id="rId1"/>
      <headerFooter alignWithMargins="0"/>
    </customSheetView>
  </customSheetViews>
  <mergeCells count="7">
    <mergeCell ref="D7:H7"/>
    <mergeCell ref="D8:H8"/>
    <mergeCell ref="D9:H9"/>
    <mergeCell ref="D3:H3"/>
    <mergeCell ref="D4:H4"/>
    <mergeCell ref="D5:H5"/>
    <mergeCell ref="D6:H6"/>
  </mergeCells>
  <phoneticPr fontId="28" type="noConversion"/>
  <printOptions horizontalCentered="1" gridLines="1"/>
  <pageMargins left="0.5" right="0.5" top="0.5" bottom="0.5" header="0" footer="0"/>
  <pageSetup scale="76"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pageSetUpPr fitToPage="1"/>
  </sheetPr>
  <dimension ref="A1:W176"/>
  <sheetViews>
    <sheetView view="pageBreakPreview" topLeftCell="A46" zoomScale="75" zoomScaleNormal="100" zoomScaleSheetLayoutView="75" workbookViewId="0">
      <selection activeCell="O67" sqref="O67"/>
    </sheetView>
  </sheetViews>
  <sheetFormatPr defaultRowHeight="15"/>
  <cols>
    <col min="1" max="1" width="3.6640625" style="26" customWidth="1"/>
    <col min="2" max="2" width="3.77734375" style="26" customWidth="1"/>
    <col min="3" max="3" width="3.21875" style="26" customWidth="1"/>
    <col min="4" max="4" width="6.88671875" style="26" customWidth="1"/>
    <col min="5" max="5" width="15.109375" style="26" customWidth="1"/>
    <col min="6" max="6" width="15.77734375" style="26" customWidth="1"/>
    <col min="7" max="7" width="5.44140625" style="26" customWidth="1"/>
    <col min="8" max="8" width="7.33203125" style="26" customWidth="1"/>
    <col min="9" max="9" width="4.44140625" style="26" customWidth="1"/>
    <col min="10" max="10" width="2.44140625" style="26" customWidth="1"/>
    <col min="11" max="11" width="11.6640625" style="26" customWidth="1"/>
    <col min="12" max="12" width="10.21875" style="26" customWidth="1"/>
    <col min="13" max="13" width="13.33203125" style="26" customWidth="1"/>
    <col min="14" max="14" width="16.6640625" style="481" customWidth="1"/>
    <col min="15" max="15" width="3.33203125" style="26" customWidth="1"/>
    <col min="16" max="16" width="14.33203125" style="26" customWidth="1"/>
    <col min="17" max="20" width="9.88671875" style="26" customWidth="1"/>
    <col min="21" max="16384" width="8.88671875" style="26"/>
  </cols>
  <sheetData>
    <row r="1" spans="1:16" ht="20.25">
      <c r="A1" s="701" t="s">
        <v>1469</v>
      </c>
      <c r="M1" s="1098"/>
      <c r="N1" s="1952" t="s">
        <v>158</v>
      </c>
    </row>
    <row r="2" spans="1:16" ht="15.75">
      <c r="A2" s="1422" t="s">
        <v>1825</v>
      </c>
      <c r="M2" s="1099"/>
      <c r="N2" s="1905" t="s">
        <v>1119</v>
      </c>
      <c r="O2" s="29"/>
    </row>
    <row r="3" spans="1:16" ht="30" customHeight="1" thickBot="1">
      <c r="B3" s="46"/>
      <c r="C3" s="47"/>
      <c r="D3" s="39"/>
      <c r="E3" s="39"/>
      <c r="F3" s="39"/>
      <c r="G3" s="39"/>
      <c r="H3" s="39"/>
      <c r="I3" s="39"/>
      <c r="J3" s="481"/>
      <c r="K3" s="1022" t="s">
        <v>830</v>
      </c>
      <c r="L3" s="17"/>
      <c r="M3" s="1022" t="s">
        <v>831</v>
      </c>
      <c r="N3" s="1023" t="s">
        <v>452</v>
      </c>
      <c r="O3" s="25"/>
      <c r="P3" s="688"/>
    </row>
    <row r="4" spans="1:16" ht="15.75">
      <c r="A4" s="723">
        <v>1</v>
      </c>
      <c r="B4" s="702" t="s">
        <v>1031</v>
      </c>
      <c r="C4" s="56" t="s">
        <v>960</v>
      </c>
      <c r="F4" s="25"/>
      <c r="I4" s="25"/>
      <c r="J4" s="485"/>
      <c r="K4" s="703"/>
      <c r="L4" s="704"/>
      <c r="M4" s="81"/>
      <c r="N4" s="705"/>
      <c r="O4" s="25"/>
      <c r="P4" s="25"/>
    </row>
    <row r="5" spans="1:16" ht="18" customHeight="1">
      <c r="A5" s="723">
        <f>A4+1</f>
        <v>2</v>
      </c>
      <c r="B5" s="702"/>
      <c r="C5" s="481"/>
      <c r="D5" s="706" t="s">
        <v>1394</v>
      </c>
      <c r="E5" s="706"/>
      <c r="F5" s="707"/>
      <c r="G5" s="708"/>
      <c r="H5" s="707"/>
      <c r="I5" s="707"/>
      <c r="J5" s="485"/>
      <c r="K5" s="2061">
        <v>2810683</v>
      </c>
      <c r="L5" s="1967"/>
      <c r="M5" s="731">
        <f>+K5-N5</f>
        <v>2014369</v>
      </c>
      <c r="N5" s="1306">
        <f>L12</f>
        <v>796314</v>
      </c>
      <c r="O5" s="25"/>
      <c r="P5" s="688"/>
    </row>
    <row r="6" spans="1:16" ht="18" customHeight="1">
      <c r="A6" s="723">
        <f t="shared" ref="A6:A46" si="0">A5+1</f>
        <v>3</v>
      </c>
      <c r="B6" s="702"/>
      <c r="C6" s="481"/>
      <c r="D6" s="706" t="s">
        <v>961</v>
      </c>
      <c r="E6" s="706"/>
      <c r="F6" s="707"/>
      <c r="G6" s="708"/>
      <c r="H6" s="710"/>
      <c r="I6" s="710"/>
      <c r="J6" s="485"/>
      <c r="K6" s="1968"/>
      <c r="L6" s="1969"/>
      <c r="M6" s="1355"/>
      <c r="N6" s="1355"/>
      <c r="O6" s="25"/>
      <c r="P6" s="25"/>
    </row>
    <row r="7" spans="1:16" ht="15.75">
      <c r="A7" s="723">
        <f t="shared" si="0"/>
        <v>4</v>
      </c>
      <c r="B7" s="702"/>
      <c r="C7" s="481"/>
      <c r="D7" s="706"/>
      <c r="E7" s="706" t="s">
        <v>962</v>
      </c>
      <c r="F7" s="707"/>
      <c r="G7" s="708"/>
      <c r="H7" s="707"/>
      <c r="I7" s="707"/>
      <c r="J7" s="485"/>
      <c r="K7" s="1970">
        <v>6799</v>
      </c>
      <c r="L7" s="1969"/>
      <c r="M7" s="1355"/>
      <c r="N7" s="1355"/>
      <c r="O7" s="25"/>
      <c r="P7" s="25"/>
    </row>
    <row r="8" spans="1:16" ht="18" customHeight="1">
      <c r="A8" s="723">
        <f t="shared" si="0"/>
        <v>5</v>
      </c>
      <c r="B8" s="702"/>
      <c r="C8" s="481"/>
      <c r="D8" s="706"/>
      <c r="E8" s="706" t="s">
        <v>891</v>
      </c>
      <c r="F8" s="707"/>
      <c r="G8" s="708"/>
      <c r="H8" s="707"/>
      <c r="I8" s="707"/>
      <c r="J8" s="485"/>
      <c r="K8" s="1970">
        <v>0</v>
      </c>
      <c r="L8" s="1969"/>
      <c r="M8" s="1355"/>
      <c r="N8" s="1355"/>
      <c r="O8" s="25"/>
      <c r="P8" s="688"/>
    </row>
    <row r="9" spans="1:16" ht="18" customHeight="1">
      <c r="A9" s="723">
        <f t="shared" si="0"/>
        <v>6</v>
      </c>
      <c r="B9" s="702"/>
      <c r="C9" s="481"/>
      <c r="D9" s="706"/>
      <c r="E9" s="706" t="s">
        <v>244</v>
      </c>
      <c r="F9" s="707"/>
      <c r="G9" s="708"/>
      <c r="H9" s="707"/>
      <c r="I9" s="707"/>
      <c r="J9" s="485"/>
      <c r="K9" s="1970">
        <v>6785</v>
      </c>
      <c r="L9" s="1969"/>
      <c r="M9" s="1355"/>
      <c r="N9" s="1355"/>
      <c r="O9" s="25"/>
      <c r="P9" s="25"/>
    </row>
    <row r="10" spans="1:16" ht="15.75">
      <c r="A10" s="723">
        <f t="shared" si="0"/>
        <v>7</v>
      </c>
      <c r="B10" s="702"/>
      <c r="C10" s="39"/>
      <c r="D10" s="706"/>
      <c r="E10" s="706" t="s">
        <v>1204</v>
      </c>
      <c r="F10" s="707"/>
      <c r="G10" s="708"/>
      <c r="H10" s="707"/>
      <c r="I10" s="707"/>
      <c r="J10" s="485"/>
      <c r="K10" s="1970">
        <v>782730</v>
      </c>
      <c r="L10" s="1971"/>
      <c r="M10" s="1355"/>
      <c r="N10" s="1355"/>
      <c r="O10" s="25"/>
      <c r="P10" s="25"/>
    </row>
    <row r="11" spans="1:16" ht="15.75">
      <c r="A11" s="723">
        <f t="shared" si="0"/>
        <v>8</v>
      </c>
      <c r="B11" s="702"/>
      <c r="C11" s="39"/>
      <c r="D11" s="481"/>
      <c r="E11" s="706" t="s">
        <v>1205</v>
      </c>
      <c r="F11" s="25"/>
      <c r="G11" s="482"/>
      <c r="H11" s="39"/>
      <c r="I11" s="25"/>
      <c r="J11" s="485"/>
      <c r="K11" s="1972">
        <v>0</v>
      </c>
      <c r="L11" s="33"/>
      <c r="M11" s="1355"/>
      <c r="N11" s="1355"/>
      <c r="O11" s="25"/>
      <c r="P11" s="25"/>
    </row>
    <row r="12" spans="1:16" ht="15.75">
      <c r="A12" s="1446">
        <f>A11+1</f>
        <v>9</v>
      </c>
      <c r="B12" s="702"/>
      <c r="C12" s="39"/>
      <c r="D12" s="481"/>
      <c r="E12" s="706" t="s">
        <v>1447</v>
      </c>
      <c r="F12" s="25"/>
      <c r="G12" s="482"/>
      <c r="H12" s="39"/>
      <c r="I12" s="25"/>
      <c r="J12" s="485"/>
      <c r="K12" s="1973"/>
      <c r="L12" s="1967">
        <f>SUM(K7:K11)</f>
        <v>796314</v>
      </c>
      <c r="M12" s="1355"/>
      <c r="N12" s="1355"/>
      <c r="O12" s="25"/>
      <c r="P12" s="25"/>
    </row>
    <row r="13" spans="1:16" ht="15.75">
      <c r="A13" s="1446">
        <f>A12+1</f>
        <v>10</v>
      </c>
      <c r="B13" s="702"/>
      <c r="C13" s="707" t="s">
        <v>635</v>
      </c>
      <c r="D13" s="481"/>
      <c r="F13" s="25"/>
      <c r="G13" s="482"/>
      <c r="H13" s="39"/>
      <c r="I13" s="25"/>
      <c r="J13" s="485"/>
      <c r="K13" s="734"/>
      <c r="L13" s="735"/>
      <c r="M13" s="736"/>
      <c r="N13" s="736"/>
      <c r="O13" s="25"/>
      <c r="P13" s="25"/>
    </row>
    <row r="14" spans="1:16" ht="15.75">
      <c r="A14" s="1446">
        <f>A13+1</f>
        <v>11</v>
      </c>
      <c r="B14" s="702"/>
      <c r="C14" s="46"/>
      <c r="F14" s="25"/>
      <c r="G14" s="482"/>
      <c r="H14" s="39"/>
      <c r="I14" s="25"/>
      <c r="J14" s="485"/>
      <c r="K14" s="703"/>
      <c r="L14" s="704"/>
      <c r="M14" s="709"/>
      <c r="N14" s="711"/>
      <c r="O14" s="25"/>
      <c r="P14" s="688"/>
    </row>
    <row r="15" spans="1:16" ht="15.75">
      <c r="A15" s="1446">
        <f t="shared" si="0"/>
        <v>12</v>
      </c>
      <c r="B15" s="702" t="s">
        <v>1772</v>
      </c>
      <c r="C15" s="46" t="s">
        <v>636</v>
      </c>
      <c r="F15" s="25"/>
      <c r="G15" s="482"/>
      <c r="H15" s="39"/>
      <c r="I15" s="25"/>
      <c r="J15" s="485"/>
      <c r="K15" s="703"/>
      <c r="L15" s="704"/>
      <c r="M15" s="720"/>
      <c r="N15" s="737">
        <v>0</v>
      </c>
      <c r="O15" s="25"/>
      <c r="P15" s="688"/>
    </row>
    <row r="16" spans="1:16" ht="15.75">
      <c r="A16" s="1446">
        <f t="shared" si="0"/>
        <v>13</v>
      </c>
      <c r="B16" s="702"/>
      <c r="C16" s="46"/>
      <c r="F16" s="25"/>
      <c r="I16" s="25"/>
      <c r="J16" s="485"/>
      <c r="K16" s="703"/>
      <c r="L16" s="704"/>
      <c r="M16" s="218"/>
      <c r="N16" s="1306"/>
      <c r="O16" s="25"/>
      <c r="P16" s="688"/>
    </row>
    <row r="17" spans="1:17" ht="15.75">
      <c r="A17" s="1446">
        <f t="shared" si="0"/>
        <v>14</v>
      </c>
      <c r="B17" s="702" t="s">
        <v>1773</v>
      </c>
      <c r="C17" s="46" t="s">
        <v>928</v>
      </c>
      <c r="D17" s="1447"/>
      <c r="E17" s="487"/>
      <c r="F17" s="47"/>
      <c r="G17" s="487"/>
      <c r="H17" s="487"/>
      <c r="I17" s="47"/>
      <c r="J17" s="498"/>
      <c r="K17" s="1077"/>
      <c r="L17" s="1078"/>
      <c r="M17" s="216"/>
      <c r="N17" s="737">
        <v>10080825</v>
      </c>
      <c r="O17" s="25"/>
      <c r="P17" s="25"/>
    </row>
    <row r="18" spans="1:17" ht="20.25" customHeight="1">
      <c r="A18" s="723">
        <f t="shared" si="0"/>
        <v>15</v>
      </c>
      <c r="B18" s="702"/>
      <c r="C18" s="707" t="s">
        <v>1334</v>
      </c>
      <c r="D18" s="706"/>
      <c r="E18" s="706"/>
      <c r="F18" s="707"/>
      <c r="G18" s="481"/>
      <c r="H18" s="481"/>
      <c r="I18" s="39"/>
      <c r="J18" s="485"/>
      <c r="K18" s="703"/>
      <c r="L18" s="703"/>
      <c r="M18" s="218"/>
      <c r="N18" s="647"/>
      <c r="O18" s="25"/>
      <c r="P18" s="25"/>
    </row>
    <row r="19" spans="1:17" ht="20.25" customHeight="1">
      <c r="A19" s="723">
        <f t="shared" si="0"/>
        <v>16</v>
      </c>
      <c r="B19" s="702"/>
      <c r="C19" s="712" t="s">
        <v>337</v>
      </c>
      <c r="D19" s="706"/>
      <c r="E19" s="706"/>
      <c r="F19" s="707"/>
      <c r="G19" s="481"/>
      <c r="H19" s="481"/>
      <c r="I19" s="39"/>
      <c r="J19" s="485"/>
      <c r="K19" s="703"/>
      <c r="L19" s="703"/>
      <c r="M19" s="218"/>
      <c r="N19" s="721"/>
      <c r="O19" s="25"/>
      <c r="P19" s="25"/>
    </row>
    <row r="20" spans="1:17" ht="18" customHeight="1">
      <c r="A20" s="723">
        <f t="shared" si="0"/>
        <v>17</v>
      </c>
      <c r="B20" s="481"/>
      <c r="C20" s="707"/>
      <c r="D20" s="707" t="s">
        <v>1395</v>
      </c>
      <c r="E20" s="713"/>
      <c r="F20" s="706"/>
      <c r="G20" s="25"/>
      <c r="H20" s="25"/>
      <c r="I20" s="25"/>
      <c r="J20" s="485"/>
      <c r="K20" s="703"/>
      <c r="L20" s="704"/>
      <c r="M20" s="737">
        <v>0</v>
      </c>
      <c r="N20" s="218"/>
      <c r="O20" s="25"/>
      <c r="P20" s="25"/>
    </row>
    <row r="21" spans="1:17" ht="18" customHeight="1">
      <c r="A21" s="723">
        <f t="shared" si="0"/>
        <v>18</v>
      </c>
      <c r="B21" s="481"/>
      <c r="C21" s="707"/>
      <c r="D21" s="707" t="s">
        <v>1396</v>
      </c>
      <c r="E21" s="713"/>
      <c r="F21" s="706"/>
      <c r="G21" s="25"/>
      <c r="H21" s="25"/>
      <c r="I21" s="25"/>
      <c r="J21" s="485"/>
      <c r="K21" s="703"/>
      <c r="L21" s="704"/>
      <c r="M21" s="728">
        <v>0</v>
      </c>
      <c r="N21" s="218"/>
      <c r="O21" s="25"/>
      <c r="P21" s="25"/>
    </row>
    <row r="22" spans="1:17" ht="18" customHeight="1">
      <c r="A22" s="723">
        <f t="shared" si="0"/>
        <v>19</v>
      </c>
      <c r="B22" s="481"/>
      <c r="C22" s="707"/>
      <c r="D22" s="707" t="s">
        <v>1335</v>
      </c>
      <c r="E22" s="713"/>
      <c r="F22" s="706"/>
      <c r="G22" s="25"/>
      <c r="H22" s="25"/>
      <c r="I22" s="25"/>
      <c r="J22" s="485"/>
      <c r="K22" s="703"/>
      <c r="L22" s="704"/>
      <c r="M22" s="728">
        <v>10388</v>
      </c>
      <c r="N22" s="218"/>
      <c r="O22" s="25"/>
      <c r="P22" s="25"/>
    </row>
    <row r="23" spans="1:17" ht="18" customHeight="1">
      <c r="A23" s="723">
        <f t="shared" si="0"/>
        <v>20</v>
      </c>
      <c r="B23" s="481"/>
      <c r="C23" s="707"/>
      <c r="D23" s="707" t="s">
        <v>1336</v>
      </c>
      <c r="E23" s="713"/>
      <c r="F23" s="706"/>
      <c r="G23" s="25"/>
      <c r="H23" s="25"/>
      <c r="I23" s="25"/>
      <c r="J23" s="485"/>
      <c r="K23" s="703"/>
      <c r="L23" s="704"/>
      <c r="M23" s="728">
        <v>0</v>
      </c>
      <c r="N23" s="218"/>
      <c r="O23" s="25"/>
      <c r="P23" s="25"/>
    </row>
    <row r="24" spans="1:17" ht="18" customHeight="1">
      <c r="A24" s="723">
        <f t="shared" si="0"/>
        <v>21</v>
      </c>
      <c r="B24" s="481"/>
      <c r="C24" s="707"/>
      <c r="D24" s="714" t="s">
        <v>1533</v>
      </c>
      <c r="E24" s="715"/>
      <c r="F24" s="716"/>
      <c r="G24" s="32"/>
      <c r="H24" s="25"/>
      <c r="I24" s="25"/>
      <c r="J24" s="485"/>
      <c r="K24" s="703"/>
      <c r="L24" s="704"/>
      <c r="M24" s="728">
        <v>0</v>
      </c>
      <c r="N24" s="218"/>
      <c r="O24" s="25"/>
      <c r="P24" s="25"/>
    </row>
    <row r="25" spans="1:17" ht="18" customHeight="1">
      <c r="A25" s="723">
        <f t="shared" si="0"/>
        <v>22</v>
      </c>
      <c r="B25" s="481"/>
      <c r="C25" s="707"/>
      <c r="D25" s="707" t="s">
        <v>1337</v>
      </c>
      <c r="E25" s="713"/>
      <c r="F25" s="706"/>
      <c r="G25" s="25"/>
      <c r="H25" s="25"/>
      <c r="I25" s="25"/>
      <c r="J25" s="485"/>
      <c r="K25" s="703"/>
      <c r="L25" s="704"/>
      <c r="M25" s="728">
        <v>1286580</v>
      </c>
      <c r="N25" s="218"/>
      <c r="O25" s="25"/>
      <c r="P25" s="752"/>
      <c r="Q25" s="753"/>
    </row>
    <row r="26" spans="1:17" ht="18" customHeight="1">
      <c r="A26" s="723">
        <f t="shared" si="0"/>
        <v>23</v>
      </c>
      <c r="B26" s="481"/>
      <c r="C26" s="707"/>
      <c r="D26" s="714" t="s">
        <v>85</v>
      </c>
      <c r="E26" s="717"/>
      <c r="F26" s="716"/>
      <c r="G26" s="32"/>
      <c r="H26" s="32"/>
      <c r="I26" s="32"/>
      <c r="J26" s="485"/>
      <c r="K26" s="703"/>
      <c r="L26" s="704"/>
      <c r="M26" s="728">
        <v>947685</v>
      </c>
      <c r="N26" s="218"/>
      <c r="O26" s="25"/>
      <c r="P26" s="752"/>
      <c r="Q26" s="753"/>
    </row>
    <row r="27" spans="1:17" ht="18" customHeight="1">
      <c r="A27" s="723">
        <f t="shared" si="0"/>
        <v>24</v>
      </c>
      <c r="B27" s="481"/>
      <c r="C27" s="707"/>
      <c r="D27" s="707" t="s">
        <v>1338</v>
      </c>
      <c r="E27" s="713"/>
      <c r="F27" s="707"/>
      <c r="G27" s="25"/>
      <c r="H27" s="25"/>
      <c r="I27" s="25"/>
      <c r="J27" s="485"/>
      <c r="K27" s="703"/>
      <c r="L27" s="704"/>
      <c r="M27" s="728">
        <v>0</v>
      </c>
      <c r="N27" s="218"/>
      <c r="O27" s="25"/>
      <c r="P27" s="752"/>
      <c r="Q27" s="753"/>
    </row>
    <row r="28" spans="1:17" ht="18" customHeight="1">
      <c r="A28" s="723">
        <f t="shared" si="0"/>
        <v>25</v>
      </c>
      <c r="B28" s="481"/>
      <c r="C28" s="707"/>
      <c r="D28" s="707" t="s">
        <v>1339</v>
      </c>
      <c r="E28" s="713"/>
      <c r="F28" s="707"/>
      <c r="G28" s="25"/>
      <c r="H28" s="25"/>
      <c r="I28" s="25"/>
      <c r="J28" s="485"/>
      <c r="K28" s="703"/>
      <c r="L28" s="704"/>
      <c r="M28" s="728">
        <v>0</v>
      </c>
      <c r="N28" s="218"/>
      <c r="O28" s="25"/>
      <c r="P28" s="752"/>
      <c r="Q28" s="753"/>
    </row>
    <row r="29" spans="1:17" ht="18" customHeight="1">
      <c r="A29" s="723">
        <f t="shared" si="0"/>
        <v>26</v>
      </c>
      <c r="B29" s="481"/>
      <c r="C29" s="707"/>
      <c r="D29" s="707" t="s">
        <v>1340</v>
      </c>
      <c r="E29" s="713"/>
      <c r="F29" s="714"/>
      <c r="G29" s="1545"/>
      <c r="H29" s="1545"/>
      <c r="I29" s="1722" t="s">
        <v>1673</v>
      </c>
      <c r="J29" s="1548"/>
      <c r="K29" s="737">
        <v>138809</v>
      </c>
      <c r="L29" s="1723" t="s">
        <v>1674</v>
      </c>
      <c r="M29" s="728">
        <v>156723</v>
      </c>
      <c r="N29" s="218"/>
      <c r="O29" s="25"/>
      <c r="P29" s="752"/>
      <c r="Q29" s="753"/>
    </row>
    <row r="30" spans="1:17" ht="18" customHeight="1">
      <c r="A30" s="723">
        <f t="shared" si="0"/>
        <v>27</v>
      </c>
      <c r="B30" s="481"/>
      <c r="C30" s="707"/>
      <c r="D30" s="707" t="s">
        <v>1341</v>
      </c>
      <c r="E30" s="713"/>
      <c r="F30" s="707"/>
      <c r="G30" s="25"/>
      <c r="H30" s="25"/>
      <c r="I30" s="25"/>
      <c r="J30" s="485"/>
      <c r="K30" s="703"/>
      <c r="L30" s="704"/>
      <c r="M30" s="728">
        <v>18565</v>
      </c>
      <c r="N30" s="218"/>
      <c r="O30" s="25"/>
      <c r="P30" s="752"/>
      <c r="Q30" s="753"/>
    </row>
    <row r="31" spans="1:17" ht="18" customHeight="1">
      <c r="A31" s="723">
        <f t="shared" si="0"/>
        <v>28</v>
      </c>
      <c r="B31" s="481"/>
      <c r="C31" s="707"/>
      <c r="D31" s="707" t="s">
        <v>1342</v>
      </c>
      <c r="E31" s="713"/>
      <c r="F31" s="707"/>
      <c r="G31" s="25"/>
      <c r="H31" s="25"/>
      <c r="I31" s="25"/>
      <c r="J31" s="485"/>
      <c r="K31" s="703"/>
      <c r="L31" s="704"/>
      <c r="M31" s="728">
        <v>0</v>
      </c>
      <c r="N31" s="218"/>
      <c r="O31" s="25"/>
      <c r="P31" s="25"/>
    </row>
    <row r="32" spans="1:17" ht="18" customHeight="1">
      <c r="A32" s="723">
        <f t="shared" si="0"/>
        <v>29</v>
      </c>
      <c r="B32" s="481"/>
      <c r="C32" s="707"/>
      <c r="D32" s="714" t="s">
        <v>325</v>
      </c>
      <c r="E32" s="715"/>
      <c r="F32" s="714"/>
      <c r="G32" s="32"/>
      <c r="H32" s="32"/>
      <c r="I32" s="32"/>
      <c r="J32" s="498"/>
      <c r="K32" s="1077"/>
      <c r="L32" s="1078"/>
      <c r="M32" s="728">
        <v>1216412</v>
      </c>
      <c r="N32" s="218"/>
      <c r="O32" s="25"/>
      <c r="P32" s="25"/>
    </row>
    <row r="33" spans="1:16" ht="18" customHeight="1">
      <c r="A33" s="723">
        <f t="shared" si="0"/>
        <v>30</v>
      </c>
      <c r="B33" s="481"/>
      <c r="C33" s="707"/>
      <c r="D33" s="714" t="s">
        <v>1450</v>
      </c>
      <c r="E33" s="715"/>
      <c r="F33" s="714"/>
      <c r="G33" s="32"/>
      <c r="H33" s="32"/>
      <c r="I33" s="32"/>
      <c r="J33" s="498"/>
      <c r="K33" s="1077"/>
      <c r="L33" s="1078"/>
      <c r="M33" s="728">
        <v>1098022</v>
      </c>
      <c r="N33" s="218"/>
      <c r="O33" s="25"/>
      <c r="P33" s="25"/>
    </row>
    <row r="34" spans="1:16" ht="18" customHeight="1">
      <c r="A34" s="723">
        <f t="shared" si="0"/>
        <v>31</v>
      </c>
      <c r="B34" s="481"/>
      <c r="C34" s="707"/>
      <c r="D34" s="714" t="s">
        <v>1451</v>
      </c>
      <c r="E34" s="715"/>
      <c r="F34" s="714"/>
      <c r="G34" s="32"/>
      <c r="H34" s="32"/>
      <c r="I34" s="32"/>
      <c r="J34" s="498"/>
      <c r="K34" s="1077"/>
      <c r="L34" s="1078"/>
      <c r="M34" s="728">
        <v>218643</v>
      </c>
      <c r="N34" s="218"/>
      <c r="O34" s="25"/>
      <c r="P34" s="25"/>
    </row>
    <row r="35" spans="1:16" ht="18" customHeight="1">
      <c r="A35" s="723">
        <f t="shared" si="0"/>
        <v>32</v>
      </c>
      <c r="B35" s="481"/>
      <c r="C35" s="707"/>
      <c r="D35" s="714" t="s">
        <v>1452</v>
      </c>
      <c r="E35" s="715"/>
      <c r="F35" s="714"/>
      <c r="G35" s="32"/>
      <c r="H35" s="32"/>
      <c r="I35" s="32"/>
      <c r="J35" s="498"/>
      <c r="K35" s="1077"/>
      <c r="L35" s="1078"/>
      <c r="M35" s="728">
        <v>128214</v>
      </c>
      <c r="N35" s="218"/>
      <c r="O35" s="25"/>
      <c r="P35" s="25"/>
    </row>
    <row r="36" spans="1:16" ht="18" customHeight="1">
      <c r="A36" s="723">
        <f t="shared" si="0"/>
        <v>33</v>
      </c>
      <c r="B36" s="481"/>
      <c r="C36" s="707"/>
      <c r="D36" s="707" t="s">
        <v>541</v>
      </c>
      <c r="E36" s="713"/>
      <c r="F36" s="707"/>
      <c r="G36" s="25"/>
      <c r="H36" s="25"/>
      <c r="I36" s="25"/>
      <c r="J36" s="485"/>
      <c r="K36" s="703"/>
      <c r="L36" s="704"/>
      <c r="M36" s="728">
        <v>0</v>
      </c>
      <c r="N36" s="218"/>
      <c r="O36" s="25"/>
      <c r="P36" s="25"/>
    </row>
    <row r="37" spans="1:16" ht="18" customHeight="1">
      <c r="A37" s="723">
        <f t="shared" si="0"/>
        <v>34</v>
      </c>
      <c r="B37" s="481"/>
      <c r="C37" s="707"/>
      <c r="D37" s="707" t="s">
        <v>1028</v>
      </c>
      <c r="E37" s="713"/>
      <c r="F37" s="707"/>
      <c r="G37" s="25"/>
      <c r="H37" s="25"/>
      <c r="I37" s="25"/>
      <c r="J37" s="485"/>
      <c r="K37" s="703"/>
      <c r="L37" s="704"/>
      <c r="M37" s="728">
        <v>0</v>
      </c>
      <c r="N37" s="218"/>
      <c r="O37" s="25"/>
      <c r="P37" s="25"/>
    </row>
    <row r="38" spans="1:16" ht="18" customHeight="1">
      <c r="A38" s="723">
        <f t="shared" si="0"/>
        <v>35</v>
      </c>
      <c r="B38" s="481"/>
      <c r="C38" s="39"/>
      <c r="D38" s="485"/>
      <c r="E38" s="31"/>
      <c r="F38" s="25"/>
      <c r="G38" s="25"/>
      <c r="H38" s="25"/>
      <c r="I38" s="25"/>
      <c r="J38" s="485"/>
      <c r="K38" s="703"/>
      <c r="L38" s="704"/>
      <c r="M38" s="722"/>
      <c r="N38" s="218"/>
      <c r="O38" s="25"/>
      <c r="P38" s="25"/>
    </row>
    <row r="39" spans="1:16" ht="18" customHeight="1">
      <c r="A39" s="723">
        <f t="shared" si="0"/>
        <v>36</v>
      </c>
      <c r="B39" s="481"/>
      <c r="C39" s="39"/>
      <c r="D39" s="56"/>
      <c r="E39" s="56" t="s">
        <v>393</v>
      </c>
      <c r="F39" s="25"/>
      <c r="G39" s="25"/>
      <c r="H39" s="25"/>
      <c r="I39" s="25"/>
      <c r="J39" s="485"/>
      <c r="K39" s="703"/>
      <c r="L39" s="704"/>
      <c r="M39" s="647"/>
      <c r="N39" s="729">
        <f>SUM(M20:M38)</f>
        <v>5081232</v>
      </c>
      <c r="O39" s="25"/>
      <c r="P39" s="25"/>
    </row>
    <row r="40" spans="1:16" ht="18" customHeight="1">
      <c r="A40" s="723">
        <f t="shared" si="0"/>
        <v>37</v>
      </c>
      <c r="B40" s="39"/>
      <c r="C40" s="39"/>
      <c r="D40" s="25"/>
      <c r="E40" s="46" t="s">
        <v>1343</v>
      </c>
      <c r="F40" s="25"/>
      <c r="G40" s="25"/>
      <c r="H40" s="25"/>
      <c r="J40" s="485"/>
      <c r="K40" s="703"/>
      <c r="L40" s="704"/>
      <c r="M40" s="218"/>
      <c r="N40" s="730">
        <f>N17-N39</f>
        <v>4999593</v>
      </c>
      <c r="O40" s="25"/>
      <c r="P40" s="25"/>
    </row>
    <row r="41" spans="1:16" ht="15.75" customHeight="1">
      <c r="A41" s="723">
        <f t="shared" si="0"/>
        <v>38</v>
      </c>
      <c r="B41" s="39"/>
      <c r="C41" s="39"/>
      <c r="D41" s="25"/>
      <c r="E41" s="25"/>
      <c r="F41" s="25"/>
      <c r="G41" s="25"/>
      <c r="H41" s="25"/>
      <c r="I41" s="25"/>
      <c r="J41" s="485"/>
      <c r="K41" s="703"/>
      <c r="L41" s="704"/>
      <c r="M41" s="218"/>
      <c r="N41" s="731"/>
      <c r="O41" s="25"/>
      <c r="P41" s="25"/>
    </row>
    <row r="42" spans="1:16" ht="18" customHeight="1" thickBot="1">
      <c r="A42" s="723">
        <f t="shared" si="0"/>
        <v>39</v>
      </c>
      <c r="B42" s="702" t="s">
        <v>1774</v>
      </c>
      <c r="C42" s="46" t="s">
        <v>1344</v>
      </c>
      <c r="F42" s="25"/>
      <c r="I42" s="25"/>
      <c r="J42" s="485"/>
      <c r="K42" s="703"/>
      <c r="L42" s="704"/>
      <c r="M42" s="218"/>
      <c r="N42" s="732">
        <f>N5+N15+N40</f>
        <v>5795907</v>
      </c>
      <c r="O42" s="25"/>
      <c r="P42" s="25"/>
    </row>
    <row r="43" spans="1:16" ht="14.25" customHeight="1" thickTop="1">
      <c r="A43" s="723">
        <f t="shared" si="0"/>
        <v>40</v>
      </c>
      <c r="B43" s="25"/>
      <c r="C43" s="25"/>
      <c r="D43" s="483"/>
      <c r="E43" s="25"/>
      <c r="F43" s="25"/>
      <c r="G43" s="25"/>
      <c r="H43" s="25"/>
      <c r="I43" s="25"/>
      <c r="J43" s="485"/>
      <c r="K43" s="703"/>
      <c r="L43" s="704"/>
      <c r="M43" s="704"/>
      <c r="N43" s="704"/>
      <c r="O43" s="25"/>
      <c r="P43" s="25"/>
    </row>
    <row r="44" spans="1:16" ht="15.75" customHeight="1">
      <c r="A44" s="723">
        <f t="shared" si="0"/>
        <v>41</v>
      </c>
      <c r="B44" s="702" t="s">
        <v>229</v>
      </c>
      <c r="C44" s="46" t="s">
        <v>1345</v>
      </c>
      <c r="D44" s="483"/>
      <c r="E44" s="25"/>
      <c r="F44" s="25"/>
      <c r="G44" s="25"/>
      <c r="H44" s="25"/>
      <c r="I44" s="25"/>
      <c r="J44" s="485"/>
      <c r="K44" s="703"/>
      <c r="L44" s="704"/>
      <c r="M44" s="704"/>
      <c r="N44" s="704"/>
      <c r="O44" s="25"/>
      <c r="P44" s="25"/>
    </row>
    <row r="45" spans="1:16" ht="19.899999999999999" customHeight="1">
      <c r="A45" s="723">
        <f t="shared" si="0"/>
        <v>42</v>
      </c>
      <c r="B45" s="25"/>
      <c r="C45" s="1556" t="s">
        <v>1373</v>
      </c>
      <c r="D45" s="483"/>
      <c r="E45" s="1449"/>
      <c r="F45" s="25"/>
      <c r="G45" s="25"/>
      <c r="H45" s="25"/>
      <c r="I45" s="25"/>
      <c r="J45" s="485"/>
      <c r="K45" s="703"/>
      <c r="L45" s="704"/>
      <c r="M45" s="704"/>
      <c r="N45" s="704"/>
      <c r="O45" s="25"/>
      <c r="P45" s="25"/>
    </row>
    <row r="46" spans="1:16" ht="19.899999999999999" customHeight="1">
      <c r="A46" s="723">
        <f t="shared" si="0"/>
        <v>43</v>
      </c>
      <c r="B46" s="485"/>
      <c r="C46" s="1556" t="s">
        <v>917</v>
      </c>
      <c r="D46" s="1544" t="s">
        <v>519</v>
      </c>
      <c r="E46" s="1297"/>
      <c r="G46" s="484"/>
      <c r="H46" s="484"/>
      <c r="I46" s="484"/>
      <c r="J46" s="485"/>
      <c r="K46" s="485"/>
      <c r="L46" s="704"/>
      <c r="M46" s="704"/>
      <c r="N46" s="704"/>
      <c r="O46" s="25"/>
      <c r="P46" s="25"/>
    </row>
    <row r="47" spans="1:16" ht="19.899999999999999" customHeight="1">
      <c r="A47" s="723">
        <f>A46+1</f>
        <v>44</v>
      </c>
      <c r="B47" s="485"/>
      <c r="C47" s="718" t="s">
        <v>924</v>
      </c>
      <c r="D47" s="706" t="s">
        <v>542</v>
      </c>
      <c r="G47" s="484"/>
      <c r="H47" s="484"/>
      <c r="I47" s="484"/>
      <c r="J47" s="485"/>
      <c r="K47" s="485"/>
      <c r="L47" s="704"/>
      <c r="M47" s="704"/>
      <c r="N47" s="704"/>
      <c r="O47" s="25"/>
      <c r="P47" s="25"/>
    </row>
    <row r="48" spans="1:16" ht="19.899999999999999" customHeight="1">
      <c r="A48" s="723">
        <f>A47+1</f>
        <v>45</v>
      </c>
      <c r="B48" s="664"/>
      <c r="C48" s="718" t="s">
        <v>925</v>
      </c>
      <c r="F48" s="484"/>
      <c r="G48" s="484"/>
      <c r="H48" s="484"/>
      <c r="I48" s="484"/>
      <c r="J48" s="485"/>
      <c r="K48" s="485"/>
      <c r="L48" s="704"/>
      <c r="M48" s="704"/>
      <c r="N48" s="704"/>
      <c r="O48" s="25"/>
      <c r="P48" s="25"/>
    </row>
    <row r="49" spans="1:23" ht="19.899999999999999" customHeight="1">
      <c r="A49" s="723"/>
      <c r="B49" s="485"/>
      <c r="C49" s="485"/>
      <c r="D49" s="485"/>
      <c r="E49" s="485"/>
      <c r="F49" s="485"/>
      <c r="G49" s="485"/>
      <c r="H49" s="485"/>
      <c r="I49" s="485"/>
      <c r="J49" s="485"/>
      <c r="K49" s="485"/>
      <c r="L49" s="485"/>
      <c r="M49" s="485"/>
      <c r="N49" s="26"/>
      <c r="P49" s="1098"/>
    </row>
    <row r="50" spans="1:23" ht="19.899999999999999" customHeight="1">
      <c r="A50" s="701" t="s">
        <v>1374</v>
      </c>
      <c r="N50" s="606"/>
      <c r="O50" s="25"/>
      <c r="P50" s="1099"/>
    </row>
    <row r="51" spans="1:23" ht="19.899999999999999" customHeight="1">
      <c r="A51" s="46" t="str">
        <f>A2</f>
        <v>KCP&amp;L -Detailed Revenue Credits -FY 2012</v>
      </c>
      <c r="B51" s="485"/>
      <c r="C51" s="485"/>
      <c r="D51" s="485"/>
      <c r="E51" s="485"/>
      <c r="F51" s="485"/>
      <c r="G51" s="485"/>
      <c r="H51" s="485"/>
      <c r="I51" s="485"/>
      <c r="J51" s="485"/>
      <c r="K51" s="485"/>
      <c r="L51" s="485"/>
      <c r="M51" s="485"/>
      <c r="N51" s="485"/>
      <c r="O51" s="535"/>
      <c r="P51" s="25"/>
    </row>
    <row r="52" spans="1:23" ht="10.5" customHeight="1">
      <c r="A52" s="46"/>
      <c r="B52" s="485"/>
      <c r="C52" s="485"/>
      <c r="D52" s="485"/>
      <c r="E52" s="485"/>
      <c r="F52" s="485"/>
      <c r="G52" s="485"/>
      <c r="H52" s="485"/>
      <c r="I52" s="485"/>
      <c r="J52" s="485"/>
      <c r="K52" s="485"/>
      <c r="L52" s="485"/>
      <c r="M52" s="485"/>
      <c r="N52" s="485"/>
      <c r="O52" s="535"/>
      <c r="P52" s="25"/>
    </row>
    <row r="53" spans="1:23" ht="19.899999999999999" customHeight="1" thickBot="1">
      <c r="A53" s="723">
        <f>1</f>
        <v>1</v>
      </c>
      <c r="B53" s="485"/>
      <c r="C53" s="56" t="s">
        <v>1375</v>
      </c>
      <c r="D53" s="485"/>
      <c r="E53" s="485"/>
      <c r="F53" s="485"/>
      <c r="G53" s="485"/>
      <c r="H53" s="485"/>
      <c r="I53" s="485"/>
      <c r="J53" s="485"/>
      <c r="K53" s="812" t="str">
        <f>"(Sum Line "&amp;A32&amp;" thru Line "&amp;A35&amp;" on Page 1)"</f>
        <v>(Sum Line 29 thru Line 32 on Page 1)</v>
      </c>
      <c r="L53" s="485"/>
      <c r="M53" s="485"/>
      <c r="N53" s="861">
        <f>SUM(M32:M35)</f>
        <v>2661291</v>
      </c>
      <c r="O53" s="25"/>
      <c r="P53" s="25"/>
    </row>
    <row r="54" spans="1:23" ht="12" customHeight="1">
      <c r="A54" s="723">
        <f>A53+1</f>
        <v>2</v>
      </c>
      <c r="B54" s="485"/>
      <c r="C54" s="39"/>
      <c r="D54" s="485"/>
      <c r="E54" s="485"/>
      <c r="F54" s="485"/>
      <c r="G54" s="485"/>
      <c r="H54" s="485"/>
      <c r="I54" s="485"/>
      <c r="J54" s="485"/>
      <c r="K54" s="485"/>
      <c r="L54" s="485"/>
      <c r="M54" s="719"/>
      <c r="N54" s="485"/>
      <c r="O54" s="25"/>
      <c r="P54" s="25"/>
    </row>
    <row r="55" spans="1:23" ht="19.899999999999999" customHeight="1">
      <c r="A55" s="723">
        <f t="shared" ref="A55:A70" si="1">A54+1</f>
        <v>3</v>
      </c>
      <c r="B55" s="485"/>
      <c r="C55" s="56" t="s">
        <v>377</v>
      </c>
      <c r="D55" s="485"/>
      <c r="E55" s="485"/>
      <c r="F55" s="485"/>
      <c r="G55" s="485"/>
      <c r="H55" s="485"/>
      <c r="I55" s="485"/>
      <c r="J55" s="485"/>
      <c r="K55" s="1024" t="s">
        <v>1740</v>
      </c>
      <c r="L55" s="1025" t="s">
        <v>1741</v>
      </c>
      <c r="M55" s="1026" t="s">
        <v>1742</v>
      </c>
      <c r="N55" s="1025" t="s">
        <v>1743</v>
      </c>
      <c r="O55" s="25"/>
      <c r="P55" s="25"/>
    </row>
    <row r="56" spans="1:23" ht="28.5" customHeight="1">
      <c r="A56" s="723">
        <f t="shared" si="1"/>
        <v>4</v>
      </c>
      <c r="B56" s="485"/>
      <c r="C56" s="485"/>
      <c r="D56" s="485"/>
      <c r="E56" s="485"/>
      <c r="F56" s="485"/>
      <c r="G56" s="485"/>
      <c r="H56" s="485"/>
      <c r="I56" s="485"/>
      <c r="J56" s="485"/>
      <c r="K56" s="940" t="s">
        <v>270</v>
      </c>
      <c r="L56" s="951" t="s">
        <v>378</v>
      </c>
      <c r="M56" s="716"/>
      <c r="N56" s="951" t="s">
        <v>513</v>
      </c>
      <c r="O56" s="25"/>
      <c r="P56" s="25"/>
    </row>
    <row r="57" spans="1:23" ht="15.75" customHeight="1">
      <c r="A57" s="723">
        <f t="shared" si="1"/>
        <v>5</v>
      </c>
      <c r="B57" s="485"/>
      <c r="C57" s="485"/>
      <c r="D57" s="485"/>
      <c r="E57" s="485"/>
      <c r="F57" s="485"/>
      <c r="G57" s="485"/>
      <c r="H57" s="485"/>
      <c r="I57" s="485"/>
      <c r="J57" s="485"/>
      <c r="K57" s="952" t="s">
        <v>271</v>
      </c>
      <c r="L57" s="952" t="s">
        <v>489</v>
      </c>
      <c r="M57" s="716"/>
      <c r="N57" s="951" t="s">
        <v>489</v>
      </c>
      <c r="O57" s="25"/>
    </row>
    <row r="58" spans="1:23" ht="19.899999999999999" customHeight="1">
      <c r="A58" s="723">
        <f t="shared" si="1"/>
        <v>6</v>
      </c>
      <c r="B58" s="485"/>
      <c r="C58" s="485"/>
      <c r="D58" s="707" t="s">
        <v>379</v>
      </c>
      <c r="E58" s="706"/>
      <c r="F58" s="706" t="s">
        <v>236</v>
      </c>
      <c r="G58" s="706"/>
      <c r="H58" s="706"/>
      <c r="I58" s="485"/>
      <c r="J58" s="485"/>
      <c r="K58" s="2061">
        <v>2111420</v>
      </c>
      <c r="L58" s="953">
        <f>IF(K$62=0,0,K58/K$62)</f>
        <v>0.92396748246408245</v>
      </c>
      <c r="M58" s="954"/>
      <c r="N58" s="858">
        <f>L58*N$53</f>
        <v>2458946.3453743206</v>
      </c>
      <c r="O58" s="32"/>
      <c r="P58" s="688"/>
    </row>
    <row r="59" spans="1:23" ht="19.899999999999999" customHeight="1">
      <c r="A59" s="723">
        <f t="shared" si="1"/>
        <v>7</v>
      </c>
      <c r="B59" s="485"/>
      <c r="C59" s="485"/>
      <c r="D59" s="707" t="s">
        <v>1514</v>
      </c>
      <c r="E59" s="706"/>
      <c r="F59" s="706"/>
      <c r="G59" s="706"/>
      <c r="H59" s="706"/>
      <c r="I59" s="485"/>
      <c r="J59" s="485"/>
      <c r="K59" s="2091">
        <v>173747</v>
      </c>
      <c r="L59" s="953">
        <f>IF(K$62=0,0,K59/K$62)</f>
        <v>7.6032517535917513E-2</v>
      </c>
      <c r="M59" s="954"/>
      <c r="N59" s="859">
        <f>L59*N$53</f>
        <v>202344.65462567945</v>
      </c>
      <c r="O59" s="25"/>
      <c r="P59" s="25"/>
    </row>
    <row r="60" spans="1:23" ht="19.899999999999999" customHeight="1">
      <c r="A60" s="723">
        <f t="shared" si="1"/>
        <v>8</v>
      </c>
      <c r="B60" s="485"/>
      <c r="C60" s="485"/>
      <c r="D60" s="707" t="s">
        <v>1515</v>
      </c>
      <c r="E60" s="706"/>
      <c r="F60" s="706"/>
      <c r="G60" s="706"/>
      <c r="H60" s="706"/>
      <c r="I60" s="485"/>
      <c r="J60" s="485"/>
      <c r="K60" s="990">
        <v>0</v>
      </c>
      <c r="L60" s="953">
        <f>IF(K$62=0,0,K60/K$62)</f>
        <v>0</v>
      </c>
      <c r="M60" s="954"/>
      <c r="N60" s="859">
        <f>L60*N$53</f>
        <v>0</v>
      </c>
      <c r="O60" s="25"/>
      <c r="P60" s="25"/>
    </row>
    <row r="61" spans="1:23" ht="20.25" customHeight="1">
      <c r="A61" s="723">
        <f t="shared" si="1"/>
        <v>9</v>
      </c>
      <c r="B61" s="485"/>
      <c r="C61" s="485"/>
      <c r="D61" s="707" t="s">
        <v>1516</v>
      </c>
      <c r="E61" s="706"/>
      <c r="F61" s="706"/>
      <c r="G61" s="706"/>
      <c r="H61" s="706"/>
      <c r="I61" s="485"/>
      <c r="J61" s="485"/>
      <c r="K61" s="991">
        <v>0</v>
      </c>
      <c r="L61" s="955">
        <f>IF(K$62=0,0,K61/K$62)</f>
        <v>0</v>
      </c>
      <c r="M61" s="954"/>
      <c r="N61" s="939">
        <f>L61*N$53</f>
        <v>0</v>
      </c>
      <c r="O61" s="25"/>
      <c r="P61" s="25"/>
    </row>
    <row r="62" spans="1:23" ht="19.899999999999999" customHeight="1">
      <c r="A62" s="723">
        <f t="shared" si="1"/>
        <v>10</v>
      </c>
      <c r="B62" s="485"/>
      <c r="C62" s="485"/>
      <c r="D62" s="707"/>
      <c r="E62" s="39" t="s">
        <v>396</v>
      </c>
      <c r="F62" s="485"/>
      <c r="G62" s="485"/>
      <c r="H62" s="485"/>
      <c r="I62" s="485"/>
      <c r="J62" s="485"/>
      <c r="K62" s="858">
        <f>SUM(K58:K61)</f>
        <v>2285167</v>
      </c>
      <c r="L62" s="956">
        <f>SUM(L58:L61)</f>
        <v>1</v>
      </c>
      <c r="M62" s="487"/>
      <c r="N62" s="858">
        <f>SUM(N58:N61)</f>
        <v>2661291</v>
      </c>
      <c r="O62" s="25"/>
      <c r="P62" s="25"/>
    </row>
    <row r="63" spans="1:23">
      <c r="A63" s="723">
        <f t="shared" si="1"/>
        <v>11</v>
      </c>
      <c r="B63" s="485"/>
      <c r="C63" s="707"/>
      <c r="D63" s="485"/>
      <c r="E63" s="485"/>
      <c r="F63" s="485"/>
      <c r="G63" s="485"/>
      <c r="H63" s="485"/>
      <c r="I63" s="485"/>
      <c r="J63" s="485"/>
      <c r="K63" s="498"/>
      <c r="L63" s="498"/>
      <c r="M63" s="498"/>
      <c r="N63" s="781"/>
      <c r="O63" s="484"/>
      <c r="P63" s="484"/>
      <c r="Q63" s="33"/>
      <c r="R63" s="33"/>
      <c r="S63" s="33"/>
      <c r="T63" s="33"/>
      <c r="U63" s="33"/>
      <c r="V63" s="33"/>
      <c r="W63" s="33"/>
    </row>
    <row r="64" spans="1:23" ht="15.75">
      <c r="A64" s="723">
        <f>A63+1</f>
        <v>12</v>
      </c>
      <c r="B64" s="485"/>
      <c r="C64" s="56" t="s">
        <v>781</v>
      </c>
      <c r="D64" s="485"/>
      <c r="E64" s="485"/>
      <c r="F64" s="485"/>
      <c r="G64" s="485"/>
      <c r="H64" s="485"/>
      <c r="I64" s="485"/>
      <c r="J64" s="485"/>
      <c r="K64" s="940"/>
      <c r="L64" s="498"/>
      <c r="M64" s="498"/>
      <c r="N64" s="781"/>
      <c r="O64" s="484"/>
      <c r="P64" s="484"/>
      <c r="Q64" s="33"/>
      <c r="R64" s="33"/>
      <c r="S64" s="33"/>
      <c r="T64" s="33"/>
      <c r="U64" s="33"/>
      <c r="V64" s="33"/>
      <c r="W64" s="33"/>
    </row>
    <row r="65" spans="1:23" ht="15.75">
      <c r="A65" s="723">
        <f>A64+1</f>
        <v>13</v>
      </c>
      <c r="B65" s="485"/>
      <c r="C65" s="56"/>
      <c r="D65" s="485"/>
      <c r="E65" s="485"/>
      <c r="F65" s="485"/>
      <c r="G65" s="485"/>
      <c r="H65" s="485"/>
      <c r="I65" s="485"/>
      <c r="J65" s="485"/>
      <c r="K65" s="498"/>
      <c r="L65" s="498"/>
      <c r="M65" s="498"/>
      <c r="N65" s="957" t="s">
        <v>361</v>
      </c>
      <c r="O65" s="484"/>
      <c r="P65" s="484"/>
      <c r="Q65" s="33"/>
      <c r="R65" s="33"/>
      <c r="S65" s="33"/>
      <c r="T65" s="33"/>
      <c r="U65" s="33"/>
      <c r="V65" s="33"/>
      <c r="W65" s="33"/>
    </row>
    <row r="66" spans="1:23">
      <c r="A66" s="723">
        <f>A65+1</f>
        <v>14</v>
      </c>
      <c r="B66" s="485"/>
      <c r="C66" s="485"/>
      <c r="D66" s="707" t="s">
        <v>379</v>
      </c>
      <c r="E66" s="485"/>
      <c r="F66" s="485"/>
      <c r="G66" s="485"/>
      <c r="H66" s="485"/>
      <c r="I66" s="485"/>
      <c r="J66" s="485"/>
      <c r="K66" s="1027" t="str">
        <f>"(Line "&amp;A58&amp;" col (a)  less  Line "&amp;A58&amp;" col (e))"</f>
        <v>(Line 6 col (a)  less  Line 6 col (e))</v>
      </c>
      <c r="L66" s="498"/>
      <c r="M66" s="498"/>
      <c r="N66" s="958">
        <f>IF(N58&gt;K58,N58-K58,0)</f>
        <v>347526.34537432063</v>
      </c>
      <c r="O66" s="484"/>
      <c r="P66" s="484"/>
      <c r="Q66" s="33"/>
      <c r="R66" s="33"/>
      <c r="S66" s="33"/>
      <c r="T66" s="33"/>
      <c r="U66" s="33"/>
      <c r="V66" s="33"/>
      <c r="W66" s="33"/>
    </row>
    <row r="67" spans="1:23">
      <c r="A67" s="723">
        <f t="shared" si="1"/>
        <v>15</v>
      </c>
      <c r="B67" s="485"/>
      <c r="C67" s="485"/>
      <c r="D67" s="707" t="s">
        <v>1514</v>
      </c>
      <c r="E67" s="485"/>
      <c r="F67" s="485"/>
      <c r="G67" s="485"/>
      <c r="H67" s="485"/>
      <c r="I67" s="485"/>
      <c r="J67" s="485"/>
      <c r="K67" s="1027" t="str">
        <f>"(Line "&amp;A59&amp;" col (a)  less  Line "&amp;A59&amp;" col (e))"</f>
        <v>(Line 7 col (a)  less  Line 7 col (e))</v>
      </c>
      <c r="L67" s="498"/>
      <c r="M67" s="498"/>
      <c r="N67" s="959">
        <f>IF(N59&gt;K59,N59-K59,0)</f>
        <v>28597.654625679454</v>
      </c>
      <c r="O67" s="484"/>
      <c r="P67" s="484"/>
      <c r="Q67" s="33"/>
      <c r="R67" s="33"/>
      <c r="S67" s="33"/>
      <c r="T67" s="33"/>
      <c r="U67" s="33"/>
      <c r="V67" s="33"/>
      <c r="W67" s="33"/>
    </row>
    <row r="68" spans="1:23">
      <c r="A68" s="723">
        <f t="shared" si="1"/>
        <v>16</v>
      </c>
      <c r="B68" s="485"/>
      <c r="C68" s="485"/>
      <c r="D68" s="707" t="s">
        <v>1515</v>
      </c>
      <c r="E68" s="485"/>
      <c r="F68" s="485"/>
      <c r="G68" s="485"/>
      <c r="H68" s="485"/>
      <c r="I68" s="485"/>
      <c r="J68" s="485"/>
      <c r="K68" s="1027" t="str">
        <f>"(Line "&amp;A60&amp;" col (a)  less  Line "&amp;A60&amp;" col (e))"</f>
        <v>(Line 8 col (a)  less  Line 8 col (e))</v>
      </c>
      <c r="L68" s="498"/>
      <c r="M68" s="498"/>
      <c r="N68" s="959">
        <f>IF(N60&gt;K60,N60-K60,0)</f>
        <v>0</v>
      </c>
      <c r="O68" s="484"/>
      <c r="P68" s="484"/>
      <c r="Q68" s="33"/>
      <c r="R68" s="33"/>
      <c r="S68" s="33"/>
      <c r="T68" s="33"/>
      <c r="U68" s="33"/>
      <c r="V68" s="33"/>
      <c r="W68" s="33"/>
    </row>
    <row r="69" spans="1:23">
      <c r="A69" s="723">
        <f t="shared" si="1"/>
        <v>17</v>
      </c>
      <c r="B69" s="485"/>
      <c r="C69" s="485"/>
      <c r="D69" s="707" t="s">
        <v>1516</v>
      </c>
      <c r="E69" s="485"/>
      <c r="F69" s="485"/>
      <c r="G69" s="485"/>
      <c r="H69" s="485"/>
      <c r="I69" s="485"/>
      <c r="J69" s="485"/>
      <c r="K69" s="1027" t="str">
        <f>"(Line "&amp;A61&amp;" col (a)  less  Line "&amp;A61&amp;" col (e))"</f>
        <v>(Line 9 col (a)  less  Line 9 col (e))</v>
      </c>
      <c r="L69" s="498"/>
      <c r="M69" s="498"/>
      <c r="N69" s="959">
        <f>IF(N61&gt;K61,N61-K61,0)</f>
        <v>0</v>
      </c>
      <c r="O69" s="484"/>
      <c r="P69" s="484"/>
      <c r="Q69" s="33"/>
      <c r="R69" s="33"/>
      <c r="S69" s="33"/>
      <c r="T69" s="33"/>
      <c r="U69" s="33"/>
      <c r="V69" s="33"/>
      <c r="W69" s="33"/>
    </row>
    <row r="70" spans="1:23" ht="15.75" thickBot="1">
      <c r="A70" s="723">
        <f t="shared" si="1"/>
        <v>18</v>
      </c>
      <c r="B70" s="485"/>
      <c r="C70" s="485"/>
      <c r="D70" s="707"/>
      <c r="E70" s="39" t="s">
        <v>396</v>
      </c>
      <c r="F70" s="485"/>
      <c r="G70" s="485"/>
      <c r="H70" s="485"/>
      <c r="I70" s="485"/>
      <c r="J70" s="485"/>
      <c r="K70" s="1027" t="str">
        <f>"(Sum Line "&amp;A66&amp;" thru Line "&amp;A69&amp;" )"</f>
        <v>(Sum Line 14 thru Line 17 )</v>
      </c>
      <c r="L70" s="498"/>
      <c r="M70" s="498"/>
      <c r="N70" s="960">
        <f>SUM(N66:N69)</f>
        <v>376124.00000000012</v>
      </c>
      <c r="O70" s="484"/>
      <c r="P70" s="484"/>
      <c r="Q70" s="33"/>
      <c r="R70" s="33"/>
      <c r="S70" s="33"/>
      <c r="T70" s="33"/>
      <c r="U70" s="33"/>
      <c r="V70" s="33"/>
      <c r="W70" s="33"/>
    </row>
    <row r="71" spans="1:23" ht="16.5" thickTop="1">
      <c r="A71" s="723"/>
      <c r="B71" s="485"/>
      <c r="C71" s="485"/>
      <c r="D71" s="713" t="s">
        <v>1383</v>
      </c>
      <c r="E71" s="39"/>
      <c r="F71" s="485"/>
      <c r="G71" s="485"/>
      <c r="H71" s="485"/>
      <c r="I71" s="485"/>
      <c r="J71" s="485"/>
      <c r="K71" s="860"/>
      <c r="L71" s="485"/>
      <c r="M71" s="485"/>
      <c r="N71" s="860"/>
      <c r="O71" s="484"/>
      <c r="P71" s="484"/>
      <c r="Q71" s="33"/>
      <c r="R71" s="33"/>
      <c r="S71" s="33"/>
      <c r="T71" s="33"/>
      <c r="U71" s="33"/>
      <c r="V71" s="33"/>
      <c r="W71" s="33"/>
    </row>
    <row r="72" spans="1:23" ht="15.75">
      <c r="A72" s="485"/>
      <c r="B72" s="485"/>
      <c r="C72" s="485"/>
      <c r="D72" s="715" t="s">
        <v>421</v>
      </c>
      <c r="E72" s="498"/>
      <c r="F72" s="498"/>
      <c r="G72" s="498"/>
      <c r="H72" s="498"/>
      <c r="I72" s="498"/>
      <c r="J72" s="498"/>
      <c r="K72" s="498"/>
      <c r="L72" s="498"/>
      <c r="M72" s="498"/>
      <c r="N72" s="485"/>
      <c r="O72" s="484"/>
      <c r="P72" s="484"/>
      <c r="Q72" s="33"/>
      <c r="R72" s="33"/>
      <c r="S72" s="33"/>
      <c r="T72" s="33"/>
      <c r="U72" s="33"/>
      <c r="V72" s="33"/>
      <c r="W72" s="33"/>
    </row>
    <row r="73" spans="1:23">
      <c r="P73" s="484"/>
      <c r="Q73" s="33"/>
      <c r="R73" s="33"/>
      <c r="S73" s="33"/>
      <c r="T73" s="33"/>
      <c r="U73" s="33"/>
      <c r="V73" s="33"/>
      <c r="W73" s="33"/>
    </row>
    <row r="74" spans="1:23" ht="15.75">
      <c r="A74" s="25"/>
      <c r="B74" s="32"/>
      <c r="E74" s="484"/>
      <c r="F74" s="484"/>
      <c r="G74" s="484"/>
      <c r="H74" s="484"/>
      <c r="I74" s="484"/>
      <c r="J74" s="484"/>
      <c r="K74" s="484"/>
      <c r="L74" s="484"/>
      <c r="M74" s="32"/>
      <c r="N74" s="93"/>
      <c r="O74" s="484"/>
      <c r="P74" s="484"/>
      <c r="Q74" s="33"/>
      <c r="R74" s="33"/>
      <c r="S74" s="33"/>
      <c r="T74" s="33"/>
      <c r="U74" s="33"/>
      <c r="V74" s="33"/>
      <c r="W74" s="33"/>
    </row>
    <row r="75" spans="1:23" ht="15.75">
      <c r="A75" s="25"/>
      <c r="B75" s="32"/>
      <c r="E75" s="484"/>
      <c r="F75" s="484"/>
      <c r="G75" s="484"/>
      <c r="H75" s="484"/>
      <c r="I75" s="484"/>
      <c r="J75" s="484"/>
      <c r="K75" s="484"/>
      <c r="L75" s="484"/>
      <c r="M75" s="32"/>
      <c r="N75" s="93"/>
      <c r="O75" s="484"/>
      <c r="P75" s="484"/>
      <c r="Q75" s="33"/>
      <c r="R75" s="33"/>
      <c r="S75" s="33"/>
      <c r="T75" s="33"/>
      <c r="U75" s="33"/>
      <c r="V75" s="33"/>
      <c r="W75" s="33"/>
    </row>
    <row r="76" spans="1:23" ht="15.75">
      <c r="A76" s="25"/>
      <c r="B76" s="32"/>
      <c r="E76" s="484"/>
      <c r="F76" s="484"/>
      <c r="G76" s="484"/>
      <c r="H76" s="484"/>
      <c r="I76" s="484"/>
      <c r="J76" s="484"/>
      <c r="K76" s="484"/>
      <c r="L76" s="484"/>
      <c r="M76" s="32"/>
      <c r="N76" s="93"/>
      <c r="O76" s="484"/>
      <c r="P76" s="484"/>
      <c r="Q76" s="33"/>
      <c r="R76" s="33"/>
      <c r="S76" s="33"/>
      <c r="T76" s="33"/>
      <c r="U76" s="33"/>
      <c r="V76" s="33"/>
      <c r="W76" s="33"/>
    </row>
    <row r="77" spans="1:23" ht="15.75">
      <c r="A77" s="25"/>
      <c r="B77" s="32"/>
      <c r="E77" s="484"/>
      <c r="F77" s="484"/>
      <c r="G77" s="484"/>
      <c r="H77" s="484"/>
      <c r="I77" s="484"/>
      <c r="J77" s="484"/>
      <c r="K77" s="484"/>
      <c r="L77" s="484"/>
      <c r="M77" s="32"/>
      <c r="N77" s="93"/>
      <c r="O77" s="484"/>
      <c r="P77" s="484"/>
      <c r="Q77" s="33"/>
      <c r="R77" s="33"/>
      <c r="S77" s="33"/>
      <c r="T77" s="33"/>
      <c r="U77" s="33"/>
      <c r="V77" s="33"/>
      <c r="W77" s="33"/>
    </row>
    <row r="78" spans="1:23" ht="15.75">
      <c r="A78" s="25"/>
      <c r="B78" s="32"/>
      <c r="E78" s="484"/>
      <c r="F78" s="484"/>
      <c r="G78" s="484"/>
      <c r="H78" s="484"/>
      <c r="I78" s="484"/>
      <c r="J78" s="484"/>
      <c r="K78" s="484"/>
      <c r="L78" s="484"/>
      <c r="M78" s="32"/>
      <c r="N78" s="93"/>
      <c r="O78" s="484"/>
      <c r="P78" s="484"/>
      <c r="Q78" s="33"/>
      <c r="R78" s="33"/>
      <c r="S78" s="33"/>
      <c r="T78" s="33"/>
      <c r="U78" s="33"/>
      <c r="V78" s="33"/>
      <c r="W78" s="33"/>
    </row>
    <row r="79" spans="1:23" ht="15.75">
      <c r="A79" s="25"/>
      <c r="B79" s="32"/>
      <c r="E79" s="484"/>
      <c r="F79" s="484"/>
      <c r="G79" s="484"/>
      <c r="H79" s="484"/>
      <c r="I79" s="484"/>
      <c r="J79" s="484"/>
      <c r="K79" s="484"/>
      <c r="L79" s="484"/>
      <c r="M79" s="32"/>
      <c r="N79" s="93"/>
      <c r="O79" s="484"/>
      <c r="P79" s="484"/>
      <c r="Q79" s="33"/>
      <c r="R79" s="33"/>
      <c r="S79" s="33"/>
      <c r="T79" s="33"/>
      <c r="U79" s="33"/>
      <c r="V79" s="33"/>
      <c r="W79" s="33"/>
    </row>
    <row r="80" spans="1:23" ht="15.75">
      <c r="A80" s="25"/>
      <c r="B80" s="32"/>
      <c r="E80" s="484"/>
      <c r="F80" s="484"/>
      <c r="G80" s="484"/>
      <c r="H80" s="484"/>
      <c r="I80" s="484"/>
      <c r="J80" s="484"/>
      <c r="K80" s="484"/>
      <c r="L80" s="484"/>
      <c r="M80" s="32"/>
      <c r="N80" s="93"/>
      <c r="O80" s="484"/>
      <c r="P80" s="484"/>
      <c r="Q80" s="33"/>
      <c r="R80" s="33"/>
      <c r="S80" s="33"/>
      <c r="T80" s="33"/>
      <c r="U80" s="33"/>
      <c r="V80" s="33"/>
      <c r="W80" s="33"/>
    </row>
    <row r="81" spans="1:23" ht="15.75">
      <c r="A81" s="25"/>
      <c r="B81" s="32"/>
      <c r="E81" s="484"/>
      <c r="F81" s="484"/>
      <c r="G81" s="484"/>
      <c r="H81" s="484"/>
      <c r="I81" s="484"/>
      <c r="J81" s="484"/>
      <c r="K81" s="484"/>
      <c r="L81" s="484"/>
      <c r="M81" s="32"/>
      <c r="N81" s="93"/>
      <c r="O81" s="484"/>
      <c r="P81" s="484"/>
      <c r="Q81" s="33"/>
      <c r="R81" s="33"/>
      <c r="S81" s="33"/>
      <c r="T81" s="33"/>
      <c r="U81" s="33"/>
      <c r="V81" s="33"/>
      <c r="W81" s="33"/>
    </row>
    <row r="82" spans="1:23" ht="15.75">
      <c r="A82" s="25"/>
      <c r="B82" s="32"/>
      <c r="E82" s="484"/>
      <c r="F82" s="484"/>
      <c r="G82" s="484"/>
      <c r="H82" s="484"/>
      <c r="I82" s="484"/>
      <c r="J82" s="484"/>
      <c r="K82" s="484"/>
      <c r="L82" s="484"/>
      <c r="M82" s="32"/>
      <c r="N82" s="93"/>
      <c r="O82" s="484"/>
      <c r="P82" s="484"/>
      <c r="Q82" s="33"/>
      <c r="R82" s="33"/>
      <c r="S82" s="33"/>
      <c r="T82" s="33"/>
      <c r="U82" s="33"/>
      <c r="V82" s="33"/>
      <c r="W82" s="33"/>
    </row>
    <row r="83" spans="1:23" ht="15.75">
      <c r="A83" s="25"/>
      <c r="B83" s="32"/>
      <c r="E83" s="484"/>
      <c r="F83" s="484"/>
      <c r="G83" s="484"/>
      <c r="H83" s="484"/>
      <c r="I83" s="484"/>
      <c r="J83" s="484"/>
      <c r="K83" s="484"/>
      <c r="L83" s="484"/>
      <c r="M83" s="32"/>
      <c r="N83" s="93"/>
      <c r="O83" s="484"/>
      <c r="P83" s="484"/>
      <c r="Q83" s="33"/>
      <c r="R83" s="33"/>
      <c r="S83" s="33"/>
      <c r="T83" s="33"/>
      <c r="U83" s="33"/>
      <c r="V83" s="33"/>
      <c r="W83" s="33"/>
    </row>
    <row r="84" spans="1:23" ht="15.75">
      <c r="A84" s="25"/>
      <c r="B84" s="32"/>
      <c r="E84" s="484"/>
      <c r="F84" s="484"/>
      <c r="G84" s="484"/>
      <c r="H84" s="484"/>
      <c r="I84" s="484"/>
      <c r="J84" s="484"/>
      <c r="K84" s="484"/>
      <c r="L84" s="484"/>
      <c r="M84" s="32"/>
      <c r="N84" s="93"/>
      <c r="O84" s="484"/>
      <c r="P84" s="484"/>
      <c r="Q84" s="33"/>
      <c r="R84" s="33"/>
      <c r="S84" s="33"/>
      <c r="T84" s="33"/>
      <c r="U84" s="33"/>
      <c r="V84" s="33"/>
      <c r="W84" s="33"/>
    </row>
    <row r="85" spans="1:23" ht="15.75">
      <c r="A85" s="25"/>
      <c r="B85" s="32"/>
      <c r="E85" s="484"/>
      <c r="F85" s="484"/>
      <c r="G85" s="484"/>
      <c r="H85" s="484"/>
      <c r="I85" s="484"/>
      <c r="J85" s="484"/>
      <c r="K85" s="484"/>
      <c r="L85" s="484"/>
      <c r="M85" s="32"/>
      <c r="N85" s="93"/>
      <c r="O85" s="484"/>
      <c r="P85" s="484"/>
      <c r="Q85" s="33"/>
      <c r="R85" s="33"/>
      <c r="S85" s="33"/>
      <c r="T85" s="33"/>
      <c r="U85" s="33"/>
      <c r="V85" s="33"/>
      <c r="W85" s="33"/>
    </row>
    <row r="86" spans="1:23" ht="15.75">
      <c r="A86" s="25"/>
      <c r="B86" s="32"/>
      <c r="E86" s="484"/>
      <c r="F86" s="484"/>
      <c r="G86" s="484"/>
      <c r="H86" s="484"/>
      <c r="I86" s="484"/>
      <c r="J86" s="484"/>
      <c r="K86" s="484"/>
      <c r="L86" s="484"/>
      <c r="M86" s="32"/>
      <c r="N86" s="93"/>
      <c r="O86" s="484"/>
      <c r="P86" s="484"/>
      <c r="Q86" s="33"/>
      <c r="R86" s="33"/>
      <c r="S86" s="33"/>
      <c r="T86" s="33"/>
      <c r="U86" s="33"/>
      <c r="V86" s="33"/>
      <c r="W86" s="33"/>
    </row>
    <row r="87" spans="1:23" ht="15.75">
      <c r="A87" s="25"/>
      <c r="B87" s="32"/>
      <c r="E87" s="484"/>
      <c r="F87" s="484"/>
      <c r="G87" s="484"/>
      <c r="H87" s="484"/>
      <c r="I87" s="484"/>
      <c r="J87" s="484"/>
      <c r="K87" s="484"/>
      <c r="L87" s="484"/>
      <c r="M87" s="32"/>
      <c r="N87" s="93"/>
      <c r="O87" s="484"/>
      <c r="P87" s="484"/>
      <c r="Q87" s="33"/>
      <c r="R87" s="33"/>
      <c r="S87" s="33"/>
      <c r="T87" s="33"/>
      <c r="U87" s="33"/>
      <c r="V87" s="33"/>
      <c r="W87" s="33"/>
    </row>
    <row r="88" spans="1:23" ht="15.75">
      <c r="A88" s="25"/>
      <c r="B88" s="32"/>
      <c r="E88" s="484"/>
      <c r="F88" s="484"/>
      <c r="G88" s="484"/>
      <c r="H88" s="484"/>
      <c r="I88" s="484"/>
      <c r="J88" s="484"/>
      <c r="K88" s="484"/>
      <c r="L88" s="484"/>
      <c r="M88" s="32"/>
      <c r="N88" s="93"/>
      <c r="O88" s="484"/>
      <c r="P88" s="484"/>
      <c r="Q88" s="33"/>
      <c r="R88" s="33"/>
      <c r="S88" s="33"/>
      <c r="T88" s="33"/>
      <c r="U88" s="33"/>
      <c r="V88" s="33"/>
      <c r="W88" s="33"/>
    </row>
    <row r="89" spans="1:23" ht="15.75">
      <c r="A89" s="25"/>
      <c r="B89" s="32"/>
      <c r="E89" s="484"/>
      <c r="F89" s="484"/>
      <c r="G89" s="484"/>
      <c r="H89" s="484"/>
      <c r="I89" s="484"/>
      <c r="J89" s="484"/>
      <c r="K89" s="484"/>
      <c r="L89" s="484"/>
      <c r="M89" s="32"/>
      <c r="N89" s="93"/>
      <c r="O89" s="484"/>
      <c r="P89" s="484"/>
      <c r="Q89" s="33"/>
      <c r="R89" s="33"/>
      <c r="S89" s="33"/>
      <c r="T89" s="33"/>
      <c r="U89" s="33"/>
      <c r="V89" s="33"/>
      <c r="W89" s="33"/>
    </row>
    <row r="90" spans="1:23" ht="15.75">
      <c r="A90" s="25"/>
      <c r="B90" s="32"/>
      <c r="E90" s="484"/>
      <c r="F90" s="484"/>
      <c r="G90" s="484"/>
      <c r="H90" s="484"/>
      <c r="I90" s="484"/>
      <c r="J90" s="484"/>
      <c r="K90" s="484"/>
      <c r="L90" s="484"/>
      <c r="M90" s="32"/>
      <c r="N90" s="93"/>
      <c r="O90" s="484"/>
      <c r="P90" s="484"/>
      <c r="Q90" s="33"/>
      <c r="R90" s="33"/>
      <c r="S90" s="33"/>
      <c r="T90" s="33"/>
      <c r="U90" s="33"/>
      <c r="V90" s="33"/>
      <c r="W90" s="33"/>
    </row>
    <row r="91" spans="1:23" ht="15.75">
      <c r="A91" s="25"/>
      <c r="B91" s="32"/>
      <c r="E91" s="484"/>
      <c r="F91" s="484"/>
      <c r="G91" s="484"/>
      <c r="H91" s="484"/>
      <c r="I91" s="484"/>
      <c r="J91" s="484"/>
      <c r="K91" s="484"/>
      <c r="L91" s="484"/>
      <c r="M91" s="32"/>
      <c r="N91" s="93"/>
      <c r="O91" s="484"/>
      <c r="P91" s="484"/>
      <c r="Q91" s="33"/>
      <c r="R91" s="33"/>
      <c r="S91" s="33"/>
      <c r="T91" s="33"/>
      <c r="U91" s="33"/>
      <c r="V91" s="33"/>
      <c r="W91" s="33"/>
    </row>
    <row r="92" spans="1:23" ht="15.75">
      <c r="A92" s="25"/>
      <c r="B92" s="32"/>
      <c r="E92" s="484"/>
      <c r="F92" s="484"/>
      <c r="G92" s="484"/>
      <c r="H92" s="484"/>
      <c r="I92" s="484"/>
      <c r="J92" s="484"/>
      <c r="K92" s="484"/>
      <c r="L92" s="484"/>
      <c r="M92" s="32"/>
      <c r="N92" s="93"/>
      <c r="O92" s="484"/>
      <c r="P92" s="484"/>
      <c r="Q92" s="33"/>
      <c r="R92" s="33"/>
      <c r="S92" s="33"/>
      <c r="T92" s="33"/>
      <c r="U92" s="33"/>
      <c r="V92" s="33"/>
      <c r="W92" s="33"/>
    </row>
    <row r="93" spans="1:23" ht="15.75">
      <c r="A93" s="25"/>
      <c r="B93" s="32"/>
      <c r="E93" s="484"/>
      <c r="F93" s="484"/>
      <c r="G93" s="484"/>
      <c r="H93" s="484"/>
      <c r="I93" s="484"/>
      <c r="J93" s="484"/>
      <c r="K93" s="484"/>
      <c r="L93" s="484"/>
      <c r="M93" s="32"/>
      <c r="N93" s="93"/>
      <c r="O93" s="484"/>
      <c r="P93" s="484"/>
      <c r="Q93" s="33"/>
      <c r="R93" s="33"/>
      <c r="S93" s="33"/>
      <c r="T93" s="33"/>
      <c r="U93" s="33"/>
      <c r="V93" s="33"/>
      <c r="W93" s="33"/>
    </row>
    <row r="94" spans="1:23" ht="15.75">
      <c r="A94" s="25"/>
      <c r="B94" s="32"/>
      <c r="E94" s="484"/>
      <c r="F94" s="484"/>
      <c r="G94" s="484"/>
      <c r="H94" s="484"/>
      <c r="I94" s="484"/>
      <c r="J94" s="484"/>
      <c r="K94" s="484"/>
      <c r="L94" s="484"/>
      <c r="M94" s="32"/>
      <c r="N94" s="93"/>
      <c r="O94" s="484"/>
      <c r="P94" s="484"/>
      <c r="Q94" s="33"/>
      <c r="R94" s="33"/>
      <c r="S94" s="33"/>
      <c r="T94" s="33"/>
      <c r="U94" s="33"/>
      <c r="V94" s="33"/>
      <c r="W94" s="33"/>
    </row>
    <row r="95" spans="1:23" ht="15.75">
      <c r="A95" s="25"/>
      <c r="B95" s="32"/>
      <c r="E95" s="484"/>
      <c r="F95" s="484"/>
      <c r="G95" s="484"/>
      <c r="H95" s="484"/>
      <c r="I95" s="484"/>
      <c r="J95" s="484"/>
      <c r="K95" s="484"/>
      <c r="L95" s="484"/>
      <c r="M95" s="32"/>
      <c r="N95" s="93"/>
      <c r="O95" s="484"/>
      <c r="P95" s="484"/>
      <c r="Q95" s="33"/>
      <c r="R95" s="33"/>
      <c r="S95" s="33"/>
      <c r="T95" s="33"/>
      <c r="U95" s="33"/>
      <c r="V95" s="33"/>
      <c r="W95" s="33"/>
    </row>
    <row r="96" spans="1:23" ht="15.75">
      <c r="A96" s="25"/>
      <c r="B96" s="32"/>
      <c r="E96" s="484"/>
      <c r="F96" s="484"/>
      <c r="G96" s="484"/>
      <c r="H96" s="484"/>
      <c r="I96" s="484"/>
      <c r="J96" s="484"/>
      <c r="K96" s="484"/>
      <c r="L96" s="484"/>
      <c r="M96" s="32"/>
      <c r="N96" s="93"/>
      <c r="O96" s="484"/>
      <c r="P96" s="484"/>
      <c r="Q96" s="33"/>
      <c r="R96" s="33"/>
      <c r="S96" s="33"/>
      <c r="T96" s="33"/>
      <c r="U96" s="33"/>
      <c r="V96" s="33"/>
      <c r="W96" s="33"/>
    </row>
    <row r="97" spans="1:23" ht="15.75">
      <c r="A97" s="25"/>
      <c r="B97" s="32"/>
      <c r="E97" s="484"/>
      <c r="F97" s="484"/>
      <c r="G97" s="484"/>
      <c r="H97" s="484"/>
      <c r="I97" s="484"/>
      <c r="J97" s="484"/>
      <c r="K97" s="484"/>
      <c r="L97" s="484"/>
      <c r="M97" s="32"/>
      <c r="N97" s="93"/>
      <c r="O97" s="484"/>
      <c r="P97" s="484"/>
      <c r="Q97" s="33"/>
      <c r="R97" s="33"/>
      <c r="S97" s="33"/>
      <c r="T97" s="33"/>
      <c r="U97" s="33"/>
      <c r="V97" s="33"/>
      <c r="W97" s="33"/>
    </row>
    <row r="98" spans="1:23" ht="15.75">
      <c r="A98" s="25"/>
      <c r="B98" s="32"/>
      <c r="E98" s="484"/>
      <c r="F98" s="484"/>
      <c r="G98" s="484"/>
      <c r="H98" s="484"/>
      <c r="I98" s="484"/>
      <c r="J98" s="484"/>
      <c r="K98" s="484"/>
      <c r="L98" s="484"/>
      <c r="M98" s="32"/>
      <c r="N98" s="93"/>
      <c r="O98" s="484"/>
      <c r="P98" s="484"/>
      <c r="Q98" s="33"/>
      <c r="R98" s="33"/>
      <c r="S98" s="33"/>
      <c r="T98" s="33"/>
      <c r="U98" s="33"/>
      <c r="V98" s="33"/>
      <c r="W98" s="33"/>
    </row>
    <row r="99" spans="1:23" ht="15.75">
      <c r="A99" s="25"/>
      <c r="B99" s="32"/>
      <c r="E99" s="484"/>
      <c r="F99" s="484"/>
      <c r="G99" s="484"/>
      <c r="H99" s="484"/>
      <c r="I99" s="484"/>
      <c r="J99" s="484"/>
      <c r="K99" s="484"/>
      <c r="L99" s="484"/>
      <c r="M99" s="32"/>
      <c r="N99" s="93"/>
      <c r="O99" s="484"/>
      <c r="P99" s="484"/>
      <c r="Q99" s="33"/>
      <c r="R99" s="33"/>
      <c r="S99" s="33"/>
      <c r="T99" s="33"/>
      <c r="U99" s="33"/>
      <c r="V99" s="33"/>
      <c r="W99" s="33"/>
    </row>
    <row r="100" spans="1:23" ht="15.75">
      <c r="A100" s="25"/>
      <c r="B100" s="32"/>
      <c r="E100" s="484"/>
      <c r="F100" s="484"/>
      <c r="G100" s="484"/>
      <c r="H100" s="484"/>
      <c r="I100" s="484"/>
      <c r="J100" s="484"/>
      <c r="K100" s="484"/>
      <c r="L100" s="484"/>
      <c r="M100" s="32"/>
      <c r="N100" s="93"/>
      <c r="O100" s="484"/>
      <c r="P100" s="484"/>
      <c r="Q100" s="33"/>
      <c r="R100" s="33"/>
      <c r="S100" s="33"/>
      <c r="T100" s="33"/>
      <c r="U100" s="33"/>
      <c r="V100" s="33"/>
      <c r="W100" s="33"/>
    </row>
    <row r="101" spans="1:23" ht="15.75">
      <c r="A101" s="25"/>
      <c r="B101" s="32"/>
      <c r="E101" s="484"/>
      <c r="F101" s="484"/>
      <c r="G101" s="484"/>
      <c r="H101" s="484"/>
      <c r="I101" s="484"/>
      <c r="J101" s="484"/>
      <c r="K101" s="484"/>
      <c r="L101" s="484"/>
      <c r="M101" s="32"/>
      <c r="N101" s="93"/>
      <c r="O101" s="484"/>
      <c r="P101" s="484"/>
      <c r="Q101" s="33"/>
      <c r="R101" s="33"/>
      <c r="S101" s="33"/>
      <c r="T101" s="33"/>
      <c r="U101" s="33"/>
      <c r="V101" s="33"/>
      <c r="W101" s="33"/>
    </row>
    <row r="102" spans="1:23" ht="15.75">
      <c r="A102" s="25"/>
      <c r="B102" s="32"/>
      <c r="E102" s="484"/>
      <c r="F102" s="484"/>
      <c r="G102" s="484"/>
      <c r="H102" s="484"/>
      <c r="I102" s="484"/>
      <c r="J102" s="484"/>
      <c r="K102" s="484"/>
      <c r="L102" s="484"/>
      <c r="M102" s="32"/>
      <c r="N102" s="93"/>
      <c r="O102" s="484"/>
      <c r="P102" s="484"/>
      <c r="Q102" s="33"/>
      <c r="R102" s="33"/>
      <c r="S102" s="33"/>
      <c r="T102" s="33"/>
      <c r="U102" s="33"/>
      <c r="V102" s="33"/>
      <c r="W102" s="33"/>
    </row>
    <row r="103" spans="1:23" ht="15.75">
      <c r="A103" s="25"/>
      <c r="B103" s="32"/>
      <c r="E103" s="484"/>
      <c r="F103" s="484"/>
      <c r="G103" s="484"/>
      <c r="H103" s="484"/>
      <c r="I103" s="484"/>
      <c r="J103" s="484"/>
      <c r="K103" s="484"/>
      <c r="L103" s="484"/>
      <c r="M103" s="32"/>
      <c r="N103" s="93"/>
      <c r="O103" s="484"/>
      <c r="P103" s="484"/>
      <c r="Q103" s="33"/>
      <c r="R103" s="33"/>
      <c r="S103" s="33"/>
      <c r="T103" s="33"/>
      <c r="U103" s="33"/>
      <c r="V103" s="33"/>
      <c r="W103" s="33"/>
    </row>
    <row r="104" spans="1:23" ht="15.75">
      <c r="A104" s="25"/>
      <c r="B104" s="32"/>
      <c r="E104" s="484"/>
      <c r="F104" s="484"/>
      <c r="G104" s="484"/>
      <c r="H104" s="484"/>
      <c r="I104" s="484"/>
      <c r="J104" s="484"/>
      <c r="K104" s="484"/>
      <c r="L104" s="484"/>
      <c r="M104" s="32"/>
      <c r="N104" s="93"/>
      <c r="O104" s="484"/>
      <c r="P104" s="484"/>
      <c r="Q104" s="33"/>
      <c r="R104" s="33"/>
      <c r="S104" s="33"/>
      <c r="T104" s="33"/>
      <c r="U104" s="33"/>
      <c r="V104" s="33"/>
      <c r="W104" s="33"/>
    </row>
    <row r="105" spans="1:23" ht="15.75">
      <c r="A105" s="25"/>
      <c r="B105" s="32"/>
      <c r="E105" s="484"/>
      <c r="F105" s="484"/>
      <c r="G105" s="484"/>
      <c r="H105" s="484"/>
      <c r="I105" s="484"/>
      <c r="J105" s="484"/>
      <c r="K105" s="484"/>
      <c r="L105" s="484"/>
      <c r="M105" s="32"/>
      <c r="N105" s="93"/>
      <c r="O105" s="484"/>
      <c r="P105" s="484"/>
      <c r="Q105" s="33"/>
      <c r="R105" s="33"/>
      <c r="S105" s="33"/>
      <c r="T105" s="33"/>
      <c r="U105" s="33"/>
      <c r="V105" s="33"/>
      <c r="W105" s="33"/>
    </row>
    <row r="106" spans="1:23" ht="15.75">
      <c r="A106" s="25"/>
      <c r="B106" s="32"/>
      <c r="E106" s="484"/>
      <c r="F106" s="484"/>
      <c r="G106" s="484"/>
      <c r="H106" s="484"/>
      <c r="I106" s="484"/>
      <c r="J106" s="484"/>
      <c r="K106" s="484"/>
      <c r="L106" s="484"/>
      <c r="M106" s="32"/>
      <c r="N106" s="93"/>
      <c r="O106" s="484"/>
      <c r="P106" s="484"/>
      <c r="Q106" s="33"/>
      <c r="R106" s="33"/>
      <c r="S106" s="33"/>
      <c r="T106" s="33"/>
      <c r="U106" s="33"/>
      <c r="V106" s="33"/>
      <c r="W106" s="33"/>
    </row>
    <row r="107" spans="1:23" ht="15.75">
      <c r="A107" s="25"/>
      <c r="B107" s="32"/>
      <c r="E107" s="484"/>
      <c r="F107" s="484"/>
      <c r="G107" s="484"/>
      <c r="H107" s="484"/>
      <c r="I107" s="484"/>
      <c r="J107" s="484"/>
      <c r="K107" s="484"/>
      <c r="L107" s="484"/>
      <c r="M107" s="32"/>
      <c r="N107" s="93"/>
      <c r="O107" s="484"/>
      <c r="P107" s="484"/>
      <c r="Q107" s="33"/>
      <c r="R107" s="33"/>
      <c r="S107" s="33"/>
      <c r="T107" s="33"/>
      <c r="U107" s="33"/>
      <c r="V107" s="33"/>
      <c r="W107" s="33"/>
    </row>
    <row r="108" spans="1:23" ht="15.75">
      <c r="A108" s="25"/>
      <c r="B108" s="32"/>
      <c r="E108" s="484"/>
      <c r="F108" s="484"/>
      <c r="G108" s="484"/>
      <c r="H108" s="484"/>
      <c r="I108" s="484"/>
      <c r="J108" s="484"/>
      <c r="K108" s="484"/>
      <c r="L108" s="484"/>
      <c r="M108" s="32"/>
      <c r="N108" s="93"/>
      <c r="O108" s="484"/>
      <c r="P108" s="484"/>
      <c r="Q108" s="33"/>
      <c r="R108" s="33"/>
      <c r="S108" s="33"/>
      <c r="T108" s="33"/>
      <c r="U108" s="33"/>
      <c r="V108" s="33"/>
      <c r="W108" s="33"/>
    </row>
    <row r="109" spans="1:23" ht="15.75">
      <c r="A109" s="25"/>
      <c r="B109" s="32"/>
      <c r="E109" s="484"/>
      <c r="F109" s="484"/>
      <c r="G109" s="484"/>
      <c r="H109" s="484"/>
      <c r="I109" s="484"/>
      <c r="J109" s="484"/>
      <c r="K109" s="484"/>
      <c r="L109" s="484"/>
      <c r="M109" s="32"/>
      <c r="N109" s="93"/>
      <c r="O109" s="484"/>
      <c r="P109" s="484"/>
      <c r="Q109" s="33"/>
      <c r="R109" s="33"/>
      <c r="S109" s="33"/>
      <c r="T109" s="33"/>
      <c r="U109" s="33"/>
      <c r="V109" s="33"/>
      <c r="W109" s="33"/>
    </row>
    <row r="110" spans="1:23" ht="15.75">
      <c r="A110" s="25"/>
      <c r="B110" s="32"/>
      <c r="E110" s="484"/>
      <c r="F110" s="484"/>
      <c r="G110" s="484"/>
      <c r="H110" s="484"/>
      <c r="I110" s="484"/>
      <c r="J110" s="484"/>
      <c r="K110" s="484"/>
      <c r="L110" s="484"/>
      <c r="M110" s="32"/>
      <c r="N110" s="93"/>
      <c r="O110" s="484"/>
      <c r="P110" s="484"/>
      <c r="Q110" s="33"/>
      <c r="R110" s="33"/>
      <c r="S110" s="33"/>
      <c r="T110" s="33"/>
      <c r="U110" s="33"/>
      <c r="V110" s="33"/>
      <c r="W110" s="33"/>
    </row>
    <row r="111" spans="1:23" ht="15.75">
      <c r="A111" s="25"/>
      <c r="B111" s="32"/>
      <c r="E111" s="484"/>
      <c r="F111" s="484"/>
      <c r="G111" s="484"/>
      <c r="H111" s="484"/>
      <c r="I111" s="484"/>
      <c r="J111" s="484"/>
      <c r="K111" s="484"/>
      <c r="L111" s="484"/>
      <c r="M111" s="32"/>
      <c r="N111" s="93"/>
      <c r="O111" s="484"/>
      <c r="P111" s="484"/>
      <c r="Q111" s="33"/>
      <c r="R111" s="33"/>
      <c r="S111" s="33"/>
      <c r="T111" s="33"/>
      <c r="U111" s="33"/>
      <c r="V111" s="33"/>
      <c r="W111" s="33"/>
    </row>
    <row r="112" spans="1:23" ht="15.75">
      <c r="A112" s="25"/>
      <c r="B112" s="32"/>
      <c r="E112" s="484"/>
      <c r="F112" s="484"/>
      <c r="G112" s="484"/>
      <c r="H112" s="484"/>
      <c r="I112" s="484"/>
      <c r="J112" s="484"/>
      <c r="K112" s="484"/>
      <c r="L112" s="484"/>
      <c r="M112" s="32"/>
      <c r="N112" s="93"/>
      <c r="O112" s="484"/>
      <c r="P112" s="484"/>
      <c r="Q112" s="33"/>
      <c r="R112" s="33"/>
      <c r="S112" s="33"/>
      <c r="T112" s="33"/>
      <c r="U112" s="33"/>
      <c r="V112" s="33"/>
      <c r="W112" s="33"/>
    </row>
    <row r="113" spans="1:23" ht="15.75">
      <c r="A113" s="25"/>
      <c r="B113" s="32"/>
      <c r="E113" s="484"/>
      <c r="F113" s="484"/>
      <c r="G113" s="484"/>
      <c r="H113" s="484"/>
      <c r="I113" s="484"/>
      <c r="J113" s="484"/>
      <c r="K113" s="484"/>
      <c r="L113" s="484"/>
      <c r="M113" s="32"/>
      <c r="N113" s="93"/>
      <c r="O113" s="484"/>
      <c r="P113" s="484"/>
      <c r="Q113" s="33"/>
      <c r="R113" s="33"/>
      <c r="S113" s="33"/>
      <c r="T113" s="33"/>
      <c r="U113" s="33"/>
      <c r="V113" s="33"/>
      <c r="W113" s="33"/>
    </row>
    <row r="114" spans="1:23" ht="15.75">
      <c r="A114" s="25"/>
      <c r="B114" s="32"/>
      <c r="E114" s="484"/>
      <c r="F114" s="484"/>
      <c r="G114" s="484"/>
      <c r="H114" s="484"/>
      <c r="I114" s="484"/>
      <c r="J114" s="484"/>
      <c r="K114" s="484"/>
      <c r="L114" s="484"/>
      <c r="M114" s="32"/>
      <c r="N114" s="93"/>
      <c r="O114" s="484"/>
      <c r="P114" s="484"/>
      <c r="Q114" s="33"/>
      <c r="R114" s="33"/>
      <c r="S114" s="33"/>
      <c r="T114" s="33"/>
      <c r="U114" s="33"/>
      <c r="V114" s="33"/>
      <c r="W114" s="33"/>
    </row>
    <row r="115" spans="1:23" ht="15.75">
      <c r="A115" s="25"/>
      <c r="B115" s="32"/>
      <c r="E115" s="484"/>
      <c r="F115" s="484"/>
      <c r="G115" s="484"/>
      <c r="H115" s="484"/>
      <c r="I115" s="484"/>
      <c r="J115" s="484"/>
      <c r="K115" s="484"/>
      <c r="L115" s="484"/>
      <c r="M115" s="32"/>
      <c r="N115" s="93"/>
      <c r="O115" s="484"/>
      <c r="P115" s="484"/>
      <c r="Q115" s="33"/>
      <c r="R115" s="33"/>
      <c r="S115" s="33"/>
      <c r="T115" s="33"/>
      <c r="U115" s="33"/>
      <c r="V115" s="33"/>
      <c r="W115" s="33"/>
    </row>
    <row r="116" spans="1:23" ht="15.75">
      <c r="A116" s="25"/>
      <c r="B116" s="32"/>
      <c r="E116" s="484"/>
      <c r="F116" s="484"/>
      <c r="G116" s="484"/>
      <c r="H116" s="484"/>
      <c r="I116" s="484"/>
      <c r="J116" s="484"/>
      <c r="K116" s="484"/>
      <c r="L116" s="484"/>
      <c r="M116" s="32"/>
      <c r="N116" s="93"/>
      <c r="O116" s="484"/>
      <c r="P116" s="484"/>
      <c r="Q116" s="33"/>
      <c r="R116" s="33"/>
      <c r="S116" s="33"/>
      <c r="T116" s="33"/>
      <c r="U116" s="33"/>
      <c r="V116" s="33"/>
      <c r="W116" s="33"/>
    </row>
    <row r="117" spans="1:23" ht="15.75">
      <c r="A117" s="25"/>
      <c r="B117" s="32"/>
      <c r="E117" s="484"/>
      <c r="F117" s="484"/>
      <c r="G117" s="484"/>
      <c r="H117" s="484"/>
      <c r="I117" s="484"/>
      <c r="J117" s="484"/>
      <c r="K117" s="484"/>
      <c r="L117" s="484"/>
      <c r="M117" s="32"/>
      <c r="N117" s="93"/>
      <c r="O117" s="484"/>
      <c r="P117" s="484"/>
      <c r="Q117" s="33"/>
      <c r="R117" s="33"/>
      <c r="S117" s="33"/>
      <c r="T117" s="33"/>
      <c r="U117" s="33"/>
      <c r="V117" s="33"/>
      <c r="W117" s="33"/>
    </row>
    <row r="118" spans="1:23" ht="15.75">
      <c r="A118" s="25"/>
      <c r="B118" s="32"/>
      <c r="E118" s="484"/>
      <c r="F118" s="484"/>
      <c r="G118" s="484"/>
      <c r="H118" s="484"/>
      <c r="I118" s="484"/>
      <c r="J118" s="484"/>
      <c r="K118" s="484"/>
      <c r="L118" s="484"/>
      <c r="M118" s="32"/>
      <c r="N118" s="93"/>
      <c r="O118" s="484"/>
      <c r="P118" s="484"/>
      <c r="Q118" s="33"/>
      <c r="R118" s="33"/>
      <c r="S118" s="33"/>
      <c r="T118" s="33"/>
      <c r="U118" s="33"/>
      <c r="V118" s="33"/>
      <c r="W118" s="33"/>
    </row>
    <row r="119" spans="1:23" ht="15.75">
      <c r="A119" s="25"/>
      <c r="B119" s="32"/>
      <c r="E119" s="484"/>
      <c r="F119" s="484"/>
      <c r="G119" s="484"/>
      <c r="H119" s="484"/>
      <c r="I119" s="484"/>
      <c r="J119" s="484"/>
      <c r="K119" s="484"/>
      <c r="L119" s="484"/>
      <c r="M119" s="32"/>
      <c r="N119" s="93"/>
      <c r="O119" s="484"/>
      <c r="P119" s="484"/>
      <c r="Q119" s="33"/>
      <c r="R119" s="33"/>
      <c r="S119" s="33"/>
      <c r="T119" s="33"/>
      <c r="U119" s="33"/>
      <c r="V119" s="33"/>
      <c r="W119" s="33"/>
    </row>
    <row r="120" spans="1:23" ht="15.75">
      <c r="A120" s="25"/>
      <c r="B120" s="32"/>
      <c r="E120" s="484"/>
      <c r="F120" s="484"/>
      <c r="G120" s="484"/>
      <c r="H120" s="484"/>
      <c r="I120" s="484"/>
      <c r="J120" s="484"/>
      <c r="K120" s="484"/>
      <c r="L120" s="484"/>
      <c r="M120" s="32"/>
      <c r="N120" s="93"/>
      <c r="O120" s="484"/>
      <c r="P120" s="484"/>
      <c r="Q120" s="33"/>
      <c r="R120" s="33"/>
      <c r="S120" s="33"/>
      <c r="T120" s="33"/>
      <c r="U120" s="33"/>
      <c r="V120" s="33"/>
      <c r="W120" s="33"/>
    </row>
    <row r="121" spans="1:23" ht="15.75">
      <c r="A121" s="25"/>
      <c r="B121" s="32"/>
      <c r="E121" s="484"/>
      <c r="F121" s="484"/>
      <c r="G121" s="484"/>
      <c r="H121" s="484"/>
      <c r="I121" s="484"/>
      <c r="J121" s="484"/>
      <c r="K121" s="484"/>
      <c r="L121" s="484"/>
      <c r="M121" s="32"/>
      <c r="N121" s="93"/>
      <c r="O121" s="484"/>
      <c r="P121" s="484"/>
      <c r="Q121" s="33"/>
      <c r="R121" s="33"/>
      <c r="S121" s="33"/>
      <c r="T121" s="33"/>
      <c r="U121" s="33"/>
      <c r="V121" s="33"/>
      <c r="W121" s="33"/>
    </row>
    <row r="122" spans="1:23" ht="15.75">
      <c r="A122" s="25"/>
      <c r="B122" s="32"/>
      <c r="E122" s="484"/>
      <c r="F122" s="484"/>
      <c r="G122" s="484"/>
      <c r="H122" s="484"/>
      <c r="I122" s="484"/>
      <c r="J122" s="484"/>
      <c r="K122" s="484"/>
      <c r="L122" s="484"/>
      <c r="M122" s="32"/>
      <c r="N122" s="93"/>
      <c r="O122" s="484"/>
      <c r="P122" s="484"/>
      <c r="Q122" s="33"/>
      <c r="R122" s="33"/>
      <c r="S122" s="33"/>
      <c r="T122" s="33"/>
      <c r="U122" s="33"/>
      <c r="V122" s="33"/>
      <c r="W122" s="33"/>
    </row>
    <row r="123" spans="1:23" ht="15.75">
      <c r="A123" s="25"/>
      <c r="B123" s="32"/>
      <c r="E123" s="484"/>
      <c r="F123" s="484"/>
      <c r="G123" s="484"/>
      <c r="H123" s="484"/>
      <c r="I123" s="484"/>
      <c r="J123" s="484"/>
      <c r="K123" s="484"/>
      <c r="L123" s="484"/>
      <c r="M123" s="32"/>
      <c r="N123" s="93"/>
      <c r="O123" s="484"/>
      <c r="P123" s="484"/>
      <c r="Q123" s="33"/>
      <c r="R123" s="33"/>
      <c r="S123" s="33"/>
      <c r="T123" s="33"/>
      <c r="U123" s="33"/>
      <c r="V123" s="33"/>
      <c r="W123" s="33"/>
    </row>
    <row r="124" spans="1:23" ht="15.75">
      <c r="A124" s="25"/>
      <c r="B124" s="32"/>
      <c r="E124" s="484"/>
      <c r="F124" s="484"/>
      <c r="G124" s="484"/>
      <c r="H124" s="484"/>
      <c r="I124" s="484"/>
      <c r="J124" s="484"/>
      <c r="K124" s="484"/>
      <c r="L124" s="484"/>
      <c r="M124" s="32"/>
      <c r="N124" s="93"/>
      <c r="O124" s="484"/>
      <c r="P124" s="484"/>
      <c r="Q124" s="33"/>
      <c r="R124" s="33"/>
      <c r="S124" s="33"/>
      <c r="T124" s="33"/>
      <c r="U124" s="33"/>
      <c r="V124" s="33"/>
      <c r="W124" s="33"/>
    </row>
    <row r="125" spans="1:23">
      <c r="A125" s="485"/>
      <c r="B125" s="485"/>
      <c r="C125" s="485"/>
      <c r="D125" s="485"/>
      <c r="E125" s="485"/>
      <c r="F125" s="485"/>
      <c r="G125" s="485"/>
      <c r="H125" s="485"/>
      <c r="I125" s="485"/>
      <c r="J125" s="485"/>
      <c r="K125" s="485"/>
      <c r="L125" s="485"/>
      <c r="M125" s="485"/>
      <c r="N125" s="485"/>
      <c r="O125" s="485"/>
      <c r="P125" s="485"/>
      <c r="Q125" s="33"/>
      <c r="R125" s="33"/>
      <c r="S125" s="33"/>
      <c r="T125" s="33"/>
      <c r="U125" s="33"/>
      <c r="V125" s="33"/>
      <c r="W125" s="33"/>
    </row>
    <row r="126" spans="1:23">
      <c r="A126" s="485"/>
      <c r="B126" s="485"/>
      <c r="C126" s="485"/>
      <c r="D126" s="485"/>
      <c r="E126" s="485"/>
      <c r="F126" s="485"/>
      <c r="G126" s="485"/>
      <c r="H126" s="485"/>
      <c r="I126" s="485"/>
      <c r="J126" s="485"/>
      <c r="K126" s="485"/>
      <c r="L126" s="485"/>
      <c r="M126" s="485"/>
      <c r="N126" s="485"/>
      <c r="O126" s="485"/>
      <c r="P126" s="485"/>
      <c r="Q126" s="33"/>
      <c r="R126" s="33"/>
      <c r="S126" s="33"/>
      <c r="T126" s="33"/>
      <c r="U126" s="33"/>
      <c r="V126" s="33"/>
      <c r="W126" s="33"/>
    </row>
    <row r="127" spans="1:23">
      <c r="A127" s="485"/>
      <c r="B127" s="485"/>
      <c r="C127" s="485"/>
      <c r="D127" s="485"/>
      <c r="E127" s="485"/>
      <c r="F127" s="485"/>
      <c r="G127" s="485"/>
      <c r="H127" s="485"/>
      <c r="I127" s="485"/>
      <c r="J127" s="485"/>
      <c r="K127" s="485"/>
      <c r="L127" s="485"/>
      <c r="M127" s="485"/>
      <c r="N127" s="485"/>
      <c r="O127" s="485"/>
      <c r="P127" s="485"/>
      <c r="Q127" s="33"/>
      <c r="R127" s="33"/>
      <c r="S127" s="33"/>
      <c r="T127" s="33"/>
      <c r="U127" s="33"/>
      <c r="V127" s="33"/>
      <c r="W127" s="33"/>
    </row>
    <row r="128" spans="1:23">
      <c r="A128" s="485"/>
      <c r="B128" s="485"/>
      <c r="C128" s="485"/>
      <c r="D128" s="485"/>
      <c r="E128" s="485"/>
      <c r="F128" s="485"/>
      <c r="G128" s="485"/>
      <c r="H128" s="485"/>
      <c r="I128" s="485"/>
      <c r="J128" s="485"/>
      <c r="K128" s="485"/>
      <c r="L128" s="485"/>
      <c r="M128" s="485"/>
      <c r="N128" s="485"/>
      <c r="O128" s="485"/>
      <c r="P128" s="485"/>
    </row>
    <row r="129" spans="1:16">
      <c r="A129" s="485"/>
      <c r="B129" s="485"/>
      <c r="C129" s="485"/>
      <c r="D129" s="485"/>
      <c r="E129" s="485"/>
      <c r="F129" s="485"/>
      <c r="G129" s="485"/>
      <c r="H129" s="485"/>
      <c r="I129" s="485"/>
      <c r="J129" s="485"/>
      <c r="K129" s="485"/>
      <c r="L129" s="485"/>
      <c r="M129" s="485"/>
      <c r="N129" s="485"/>
      <c r="O129" s="485"/>
      <c r="P129" s="485"/>
    </row>
    <row r="130" spans="1:16">
      <c r="A130" s="485"/>
      <c r="B130" s="485"/>
      <c r="C130" s="485"/>
      <c r="D130" s="485"/>
      <c r="E130" s="485"/>
      <c r="F130" s="485"/>
      <c r="G130" s="485"/>
      <c r="H130" s="485"/>
      <c r="I130" s="485"/>
      <c r="J130" s="485"/>
      <c r="K130" s="485"/>
      <c r="L130" s="485"/>
      <c r="M130" s="485"/>
      <c r="N130" s="485"/>
      <c r="O130" s="485"/>
      <c r="P130" s="485"/>
    </row>
    <row r="131" spans="1:16">
      <c r="A131" s="485"/>
      <c r="B131" s="485"/>
      <c r="C131" s="485"/>
      <c r="D131" s="485"/>
      <c r="E131" s="485"/>
      <c r="F131" s="485"/>
      <c r="G131" s="485"/>
      <c r="H131" s="485"/>
      <c r="I131" s="485"/>
      <c r="J131" s="485"/>
      <c r="K131" s="485"/>
      <c r="L131" s="485"/>
      <c r="M131" s="485"/>
      <c r="N131" s="485"/>
      <c r="O131" s="485"/>
      <c r="P131" s="485"/>
    </row>
    <row r="132" spans="1:16" ht="12.75" customHeight="1">
      <c r="A132" s="485"/>
      <c r="B132" s="485"/>
      <c r="C132" s="485"/>
      <c r="D132" s="485"/>
      <c r="E132" s="485"/>
      <c r="F132" s="485"/>
      <c r="G132" s="485"/>
      <c r="H132" s="485"/>
      <c r="I132" s="485"/>
      <c r="J132" s="485"/>
      <c r="K132" s="485"/>
      <c r="L132" s="485"/>
      <c r="M132" s="485"/>
      <c r="N132" s="485"/>
      <c r="O132" s="485"/>
      <c r="P132" s="485"/>
    </row>
    <row r="133" spans="1:16" ht="12.75" customHeight="1">
      <c r="A133" s="485"/>
      <c r="B133" s="485"/>
      <c r="C133" s="485"/>
      <c r="D133" s="485"/>
      <c r="E133" s="485"/>
      <c r="F133" s="485"/>
      <c r="G133" s="485"/>
      <c r="H133" s="485"/>
      <c r="I133" s="485"/>
      <c r="J133" s="485"/>
      <c r="K133" s="485"/>
      <c r="L133" s="485"/>
      <c r="M133" s="485"/>
      <c r="N133" s="485"/>
      <c r="O133" s="485"/>
      <c r="P133" s="485"/>
    </row>
    <row r="134" spans="1:16" ht="12.75" customHeight="1">
      <c r="A134" s="485"/>
      <c r="B134" s="485"/>
      <c r="C134" s="485"/>
      <c r="D134" s="485"/>
      <c r="E134" s="485"/>
      <c r="F134" s="485"/>
      <c r="G134" s="485"/>
      <c r="H134" s="485"/>
      <c r="I134" s="485"/>
      <c r="J134" s="485"/>
      <c r="K134" s="485"/>
      <c r="L134" s="485"/>
      <c r="M134" s="485"/>
      <c r="N134" s="485"/>
      <c r="O134" s="485"/>
      <c r="P134" s="485"/>
    </row>
    <row r="135" spans="1:16" ht="12.75" customHeight="1">
      <c r="A135" s="485"/>
      <c r="B135" s="485"/>
      <c r="C135" s="485"/>
      <c r="D135" s="485"/>
      <c r="E135" s="485"/>
      <c r="F135" s="485"/>
      <c r="G135" s="485"/>
      <c r="H135" s="485"/>
      <c r="I135" s="485"/>
      <c r="J135" s="485"/>
      <c r="K135" s="485"/>
      <c r="L135" s="485"/>
      <c r="M135" s="485"/>
      <c r="N135" s="485"/>
      <c r="O135" s="485"/>
      <c r="P135" s="485"/>
    </row>
    <row r="136" spans="1:16" ht="12.75" customHeight="1">
      <c r="A136" s="485"/>
      <c r="B136" s="485"/>
      <c r="C136" s="485"/>
      <c r="D136" s="485"/>
      <c r="E136" s="485"/>
      <c r="F136" s="485"/>
      <c r="G136" s="485"/>
      <c r="H136" s="485"/>
      <c r="I136" s="485"/>
      <c r="J136" s="485"/>
      <c r="K136" s="485"/>
      <c r="L136" s="485"/>
      <c r="M136" s="485"/>
      <c r="N136" s="485"/>
      <c r="O136" s="485"/>
      <c r="P136" s="485"/>
    </row>
    <row r="137" spans="1:16" ht="12.75" customHeight="1">
      <c r="A137" s="485"/>
      <c r="B137" s="485"/>
      <c r="C137" s="485"/>
      <c r="D137" s="485"/>
      <c r="E137" s="485"/>
      <c r="F137" s="485"/>
      <c r="G137" s="485"/>
      <c r="H137" s="485"/>
      <c r="I137" s="485"/>
      <c r="J137" s="485"/>
      <c r="K137" s="485"/>
      <c r="L137" s="485"/>
      <c r="M137" s="485"/>
      <c r="N137" s="485"/>
      <c r="O137" s="485"/>
      <c r="P137" s="485"/>
    </row>
    <row r="138" spans="1:16" ht="12.75" customHeight="1">
      <c r="A138" s="485"/>
      <c r="B138" s="485"/>
      <c r="C138" s="485"/>
      <c r="D138" s="485"/>
      <c r="E138" s="485"/>
      <c r="F138" s="485"/>
      <c r="G138" s="485"/>
      <c r="H138" s="485"/>
      <c r="I138" s="485"/>
      <c r="J138" s="485"/>
      <c r="K138" s="485"/>
      <c r="L138" s="485"/>
      <c r="M138" s="485"/>
      <c r="N138" s="485"/>
      <c r="O138" s="485"/>
      <c r="P138" s="485"/>
    </row>
    <row r="139" spans="1:16" ht="12.75" customHeight="1">
      <c r="A139" s="485"/>
      <c r="B139" s="485"/>
      <c r="C139" s="485"/>
      <c r="D139" s="485"/>
      <c r="E139" s="485"/>
      <c r="F139" s="485"/>
      <c r="G139" s="485"/>
      <c r="H139" s="485"/>
      <c r="I139" s="485"/>
      <c r="J139" s="485"/>
      <c r="K139" s="485"/>
      <c r="L139" s="485"/>
      <c r="M139" s="485"/>
      <c r="N139" s="485"/>
      <c r="O139" s="485"/>
      <c r="P139" s="485"/>
    </row>
    <row r="140" spans="1:16" ht="12.75" customHeight="1">
      <c r="A140" s="485"/>
      <c r="B140" s="485"/>
      <c r="C140" s="485"/>
      <c r="D140" s="485"/>
      <c r="E140" s="485"/>
      <c r="F140" s="485"/>
      <c r="G140" s="485"/>
      <c r="H140" s="485"/>
      <c r="I140" s="485"/>
      <c r="J140" s="485"/>
      <c r="K140" s="485"/>
      <c r="L140" s="485"/>
      <c r="M140" s="485"/>
      <c r="N140" s="485"/>
      <c r="O140" s="485"/>
      <c r="P140" s="485"/>
    </row>
    <row r="141" spans="1:16" ht="12.75" customHeight="1">
      <c r="A141" s="485"/>
      <c r="B141" s="485"/>
      <c r="C141" s="485"/>
      <c r="D141" s="485"/>
      <c r="E141" s="485"/>
      <c r="F141" s="485"/>
      <c r="G141" s="485"/>
      <c r="H141" s="485"/>
      <c r="I141" s="485"/>
      <c r="J141" s="485"/>
      <c r="K141" s="485"/>
      <c r="L141" s="485"/>
      <c r="M141" s="485"/>
      <c r="N141" s="485"/>
      <c r="O141" s="485"/>
      <c r="P141" s="485"/>
    </row>
    <row r="142" spans="1:16" ht="12.75" customHeight="1">
      <c r="A142" s="485"/>
      <c r="B142" s="485"/>
      <c r="C142" s="485"/>
      <c r="D142" s="485"/>
      <c r="E142" s="485"/>
      <c r="F142" s="485"/>
      <c r="G142" s="485"/>
      <c r="H142" s="485"/>
      <c r="I142" s="485"/>
      <c r="J142" s="485"/>
      <c r="K142" s="485"/>
      <c r="L142" s="485"/>
      <c r="M142" s="485"/>
      <c r="N142" s="485"/>
      <c r="O142" s="485"/>
      <c r="P142" s="485"/>
    </row>
    <row r="143" spans="1:16">
      <c r="A143" s="485"/>
      <c r="B143" s="485"/>
      <c r="C143" s="485"/>
      <c r="D143" s="485"/>
      <c r="E143" s="485"/>
      <c r="F143" s="485"/>
      <c r="G143" s="485"/>
      <c r="H143" s="485"/>
      <c r="I143" s="485"/>
      <c r="J143" s="485"/>
      <c r="K143" s="485"/>
      <c r="L143" s="485"/>
      <c r="M143" s="485"/>
      <c r="N143" s="485"/>
      <c r="O143" s="485"/>
      <c r="P143" s="485"/>
    </row>
    <row r="144" spans="1:16">
      <c r="A144" s="485"/>
      <c r="B144" s="485"/>
      <c r="C144" s="485"/>
      <c r="D144" s="485"/>
      <c r="E144" s="485"/>
      <c r="F144" s="485"/>
      <c r="G144" s="485"/>
      <c r="H144" s="485"/>
      <c r="I144" s="485"/>
      <c r="J144" s="485"/>
      <c r="K144" s="485"/>
      <c r="L144" s="485"/>
      <c r="M144" s="485"/>
      <c r="N144" s="485"/>
      <c r="O144" s="485"/>
      <c r="P144" s="485"/>
    </row>
    <row r="145" spans="1:16">
      <c r="A145" s="485"/>
      <c r="B145" s="485"/>
      <c r="C145" s="485"/>
      <c r="D145" s="485"/>
      <c r="E145" s="485"/>
      <c r="F145" s="485"/>
      <c r="G145" s="485"/>
      <c r="H145" s="485"/>
      <c r="I145" s="485"/>
      <c r="J145" s="485"/>
      <c r="K145" s="485"/>
      <c r="L145" s="485"/>
      <c r="M145" s="485"/>
      <c r="N145" s="485"/>
      <c r="O145" s="485"/>
      <c r="P145" s="485"/>
    </row>
    <row r="146" spans="1:16">
      <c r="A146" s="485"/>
      <c r="B146" s="485"/>
      <c r="C146" s="485"/>
      <c r="D146" s="485"/>
      <c r="E146" s="485"/>
      <c r="F146" s="485"/>
      <c r="G146" s="485"/>
      <c r="H146" s="485"/>
      <c r="I146" s="485"/>
      <c r="J146" s="485"/>
      <c r="K146" s="485"/>
      <c r="L146" s="485"/>
      <c r="M146" s="485"/>
      <c r="N146" s="485"/>
      <c r="O146" s="485"/>
      <c r="P146" s="485"/>
    </row>
    <row r="147" spans="1:16">
      <c r="A147" s="485"/>
      <c r="B147" s="485"/>
      <c r="C147" s="485"/>
      <c r="D147" s="485"/>
      <c r="E147" s="485"/>
      <c r="F147" s="485"/>
      <c r="G147" s="485"/>
      <c r="H147" s="485"/>
      <c r="I147" s="485"/>
      <c r="J147" s="485"/>
      <c r="K147" s="485"/>
      <c r="L147" s="485"/>
      <c r="M147" s="485"/>
      <c r="N147" s="485"/>
      <c r="O147" s="485"/>
      <c r="P147" s="485"/>
    </row>
    <row r="148" spans="1:16">
      <c r="A148" s="485"/>
      <c r="B148" s="485"/>
      <c r="C148" s="485"/>
      <c r="D148" s="485"/>
      <c r="E148" s="485"/>
      <c r="F148" s="485"/>
      <c r="G148" s="485"/>
      <c r="H148" s="485"/>
      <c r="I148" s="485"/>
      <c r="J148" s="485"/>
      <c r="K148" s="485"/>
      <c r="L148" s="485"/>
      <c r="M148" s="485"/>
      <c r="N148" s="485"/>
      <c r="O148" s="485"/>
      <c r="P148" s="485"/>
    </row>
    <row r="149" spans="1:16">
      <c r="A149" s="485"/>
      <c r="B149" s="485"/>
      <c r="C149" s="485"/>
      <c r="D149" s="485"/>
      <c r="E149" s="485"/>
      <c r="F149" s="485"/>
      <c r="G149" s="485"/>
      <c r="H149" s="485"/>
      <c r="I149" s="485"/>
      <c r="J149" s="485"/>
      <c r="K149" s="485"/>
      <c r="L149" s="485"/>
      <c r="M149" s="485"/>
      <c r="N149" s="485"/>
      <c r="O149" s="485"/>
      <c r="P149" s="485"/>
    </row>
    <row r="150" spans="1:16">
      <c r="A150" s="485"/>
      <c r="B150" s="485"/>
      <c r="C150" s="485"/>
      <c r="D150" s="485"/>
      <c r="E150" s="485"/>
      <c r="F150" s="485"/>
      <c r="G150" s="485"/>
      <c r="H150" s="485"/>
      <c r="I150" s="485"/>
      <c r="J150" s="485"/>
      <c r="K150" s="485"/>
      <c r="L150" s="485"/>
      <c r="M150" s="485"/>
      <c r="N150" s="485"/>
      <c r="O150" s="485"/>
      <c r="P150" s="485"/>
    </row>
    <row r="151" spans="1:16">
      <c r="A151" s="485"/>
      <c r="B151" s="485"/>
      <c r="C151" s="485"/>
      <c r="D151" s="485"/>
      <c r="E151" s="485"/>
      <c r="F151" s="485"/>
      <c r="G151" s="485"/>
      <c r="H151" s="485"/>
      <c r="I151" s="485"/>
      <c r="J151" s="485"/>
      <c r="K151" s="485"/>
      <c r="L151" s="485"/>
      <c r="M151" s="485"/>
      <c r="N151" s="485"/>
      <c r="O151" s="485"/>
      <c r="P151" s="485"/>
    </row>
    <row r="152" spans="1:16">
      <c r="A152" s="485"/>
      <c r="B152" s="485"/>
      <c r="C152" s="485"/>
      <c r="D152" s="485"/>
      <c r="E152" s="485"/>
      <c r="F152" s="485"/>
      <c r="G152" s="485"/>
      <c r="H152" s="485"/>
      <c r="I152" s="485"/>
      <c r="J152" s="485"/>
      <c r="K152" s="485"/>
      <c r="L152" s="485"/>
      <c r="M152" s="485"/>
      <c r="N152" s="485"/>
      <c r="O152" s="485"/>
      <c r="P152" s="485"/>
    </row>
    <row r="153" spans="1:16">
      <c r="A153" s="485"/>
      <c r="B153" s="485"/>
      <c r="C153" s="485"/>
      <c r="D153" s="485"/>
      <c r="E153" s="485"/>
      <c r="F153" s="485"/>
      <c r="G153" s="485"/>
      <c r="H153" s="485"/>
      <c r="I153" s="485"/>
      <c r="J153" s="485"/>
      <c r="K153" s="485"/>
      <c r="L153" s="485"/>
      <c r="M153" s="485"/>
      <c r="N153" s="485"/>
      <c r="O153" s="485"/>
      <c r="P153" s="485"/>
    </row>
    <row r="154" spans="1:16">
      <c r="A154" s="485"/>
      <c r="B154" s="485"/>
      <c r="C154" s="485"/>
      <c r="D154" s="485"/>
      <c r="E154" s="485"/>
      <c r="F154" s="485"/>
      <c r="G154" s="485"/>
      <c r="H154" s="485"/>
      <c r="I154" s="485"/>
      <c r="J154" s="485"/>
      <c r="K154" s="485"/>
      <c r="L154" s="485"/>
      <c r="M154" s="485"/>
      <c r="N154" s="485"/>
      <c r="O154" s="485"/>
      <c r="P154" s="485"/>
    </row>
    <row r="155" spans="1:16">
      <c r="A155" s="485"/>
      <c r="B155" s="485"/>
      <c r="C155" s="485"/>
      <c r="D155" s="485"/>
      <c r="E155" s="485"/>
      <c r="F155" s="485"/>
      <c r="G155" s="485"/>
      <c r="H155" s="485"/>
      <c r="I155" s="485"/>
      <c r="J155" s="485"/>
      <c r="K155" s="485"/>
      <c r="L155" s="485"/>
      <c r="M155" s="485"/>
      <c r="N155" s="485"/>
      <c r="O155" s="485"/>
      <c r="P155" s="485"/>
    </row>
    <row r="156" spans="1:16">
      <c r="A156" s="485"/>
      <c r="B156" s="485"/>
      <c r="C156" s="485"/>
      <c r="D156" s="485"/>
      <c r="E156" s="485"/>
      <c r="F156" s="485"/>
      <c r="G156" s="485"/>
      <c r="H156" s="485"/>
      <c r="I156" s="485"/>
      <c r="J156" s="485"/>
      <c r="K156" s="485"/>
      <c r="L156" s="485"/>
      <c r="M156" s="485"/>
      <c r="N156" s="485"/>
      <c r="O156" s="485"/>
      <c r="P156" s="485"/>
    </row>
    <row r="157" spans="1:16">
      <c r="A157" s="485"/>
      <c r="B157" s="485"/>
      <c r="C157" s="485"/>
      <c r="D157" s="485"/>
      <c r="E157" s="485"/>
      <c r="F157" s="485"/>
      <c r="G157" s="485"/>
      <c r="H157" s="485"/>
      <c r="I157" s="485"/>
      <c r="J157" s="485"/>
      <c r="K157" s="485"/>
      <c r="L157" s="485"/>
      <c r="M157" s="485"/>
      <c r="N157" s="485"/>
      <c r="O157" s="485"/>
      <c r="P157" s="485"/>
    </row>
    <row r="158" spans="1:16">
      <c r="A158" s="485"/>
      <c r="B158" s="485"/>
      <c r="C158" s="485"/>
      <c r="D158" s="485"/>
      <c r="E158" s="485"/>
      <c r="F158" s="485"/>
      <c r="G158" s="485"/>
      <c r="H158" s="485"/>
      <c r="I158" s="485"/>
      <c r="J158" s="485"/>
      <c r="K158" s="485"/>
      <c r="L158" s="485"/>
      <c r="M158" s="485"/>
      <c r="N158" s="485"/>
      <c r="O158" s="485"/>
      <c r="P158" s="485"/>
    </row>
    <row r="159" spans="1:16">
      <c r="A159" s="485"/>
      <c r="B159" s="485"/>
      <c r="C159" s="485"/>
      <c r="D159" s="485"/>
      <c r="E159" s="485"/>
      <c r="F159" s="485"/>
      <c r="G159" s="485"/>
      <c r="H159" s="485"/>
      <c r="I159" s="485"/>
      <c r="J159" s="485"/>
      <c r="K159" s="485"/>
      <c r="L159" s="485"/>
      <c r="M159" s="485"/>
      <c r="N159" s="485"/>
      <c r="O159" s="485"/>
      <c r="P159" s="485"/>
    </row>
    <row r="160" spans="1:16">
      <c r="A160" s="485"/>
      <c r="B160" s="485"/>
      <c r="C160" s="485"/>
      <c r="D160" s="485"/>
      <c r="E160" s="485"/>
      <c r="F160" s="485"/>
      <c r="G160" s="485"/>
      <c r="H160" s="485"/>
      <c r="I160" s="485"/>
      <c r="J160" s="485"/>
      <c r="K160" s="485"/>
      <c r="L160" s="485"/>
      <c r="M160" s="485"/>
      <c r="N160" s="485"/>
      <c r="O160" s="485"/>
      <c r="P160" s="485"/>
    </row>
    <row r="161" spans="1:16">
      <c r="A161" s="485"/>
      <c r="B161" s="485"/>
      <c r="C161" s="485"/>
      <c r="D161" s="485"/>
      <c r="E161" s="485"/>
      <c r="F161" s="485"/>
      <c r="G161" s="485"/>
      <c r="H161" s="485"/>
      <c r="I161" s="485"/>
      <c r="J161" s="485"/>
      <c r="K161" s="485"/>
      <c r="L161" s="485"/>
      <c r="M161" s="485"/>
      <c r="N161" s="485"/>
      <c r="O161" s="485"/>
      <c r="P161" s="485"/>
    </row>
    <row r="162" spans="1:16">
      <c r="A162" s="485"/>
      <c r="B162" s="485"/>
      <c r="C162" s="485"/>
      <c r="D162" s="485"/>
      <c r="E162" s="485"/>
      <c r="F162" s="485"/>
      <c r="G162" s="485"/>
      <c r="H162" s="485"/>
      <c r="I162" s="485"/>
      <c r="J162" s="485"/>
      <c r="K162" s="485"/>
      <c r="L162" s="485"/>
      <c r="M162" s="485"/>
      <c r="N162" s="485"/>
      <c r="O162" s="485"/>
      <c r="P162" s="485"/>
    </row>
    <row r="163" spans="1:16" ht="12.75" customHeight="1">
      <c r="A163" s="485"/>
      <c r="B163" s="485"/>
      <c r="C163" s="485"/>
      <c r="D163" s="485"/>
      <c r="E163" s="485"/>
      <c r="F163" s="485"/>
      <c r="G163" s="485"/>
      <c r="H163" s="485"/>
      <c r="I163" s="485"/>
      <c r="J163" s="485"/>
      <c r="K163" s="485"/>
      <c r="L163" s="485"/>
      <c r="M163" s="485"/>
      <c r="N163" s="485"/>
      <c r="O163" s="485"/>
      <c r="P163" s="485"/>
    </row>
    <row r="164" spans="1:16" ht="12.75" customHeight="1">
      <c r="A164" s="485"/>
      <c r="B164" s="485"/>
      <c r="C164" s="485"/>
      <c r="D164" s="485"/>
      <c r="E164" s="485"/>
      <c r="F164" s="485"/>
      <c r="G164" s="485"/>
      <c r="H164" s="485"/>
      <c r="I164" s="485"/>
      <c r="J164" s="485"/>
      <c r="K164" s="485"/>
      <c r="L164" s="485"/>
      <c r="M164" s="485"/>
      <c r="N164" s="485"/>
      <c r="O164" s="485"/>
      <c r="P164" s="485"/>
    </row>
    <row r="165" spans="1:16" ht="12.75" customHeight="1">
      <c r="A165" s="485"/>
      <c r="B165" s="485"/>
      <c r="C165" s="485"/>
      <c r="D165" s="485"/>
      <c r="E165" s="485"/>
      <c r="F165" s="485"/>
      <c r="G165" s="485"/>
      <c r="H165" s="485"/>
      <c r="I165" s="485"/>
      <c r="J165" s="485"/>
      <c r="K165" s="485"/>
      <c r="L165" s="485"/>
      <c r="M165" s="485"/>
      <c r="N165" s="485"/>
      <c r="O165" s="485"/>
      <c r="P165" s="485"/>
    </row>
    <row r="166" spans="1:16">
      <c r="A166" s="485"/>
      <c r="B166" s="485"/>
      <c r="C166" s="485"/>
      <c r="D166" s="485"/>
      <c r="E166" s="485"/>
      <c r="F166" s="485"/>
      <c r="G166" s="485"/>
      <c r="H166" s="485"/>
      <c r="I166" s="485"/>
      <c r="J166" s="485"/>
      <c r="K166" s="485"/>
      <c r="L166" s="485"/>
      <c r="M166" s="485"/>
      <c r="N166" s="485"/>
      <c r="O166" s="485"/>
      <c r="P166" s="485"/>
    </row>
    <row r="167" spans="1:16">
      <c r="A167" s="485"/>
      <c r="B167" s="485"/>
      <c r="C167" s="485"/>
      <c r="D167" s="485"/>
      <c r="E167" s="485"/>
      <c r="F167" s="485"/>
      <c r="G167" s="485"/>
      <c r="H167" s="485"/>
      <c r="I167" s="485"/>
      <c r="J167" s="485"/>
      <c r="K167" s="485"/>
      <c r="L167" s="485"/>
      <c r="M167" s="485"/>
      <c r="N167" s="485"/>
      <c r="O167" s="485"/>
      <c r="P167" s="485"/>
    </row>
    <row r="168" spans="1:16">
      <c r="A168" s="485"/>
      <c r="B168" s="485"/>
      <c r="C168" s="485"/>
      <c r="D168" s="485"/>
      <c r="E168" s="485"/>
      <c r="F168" s="485"/>
      <c r="G168" s="485"/>
      <c r="H168" s="485"/>
      <c r="I168" s="485"/>
      <c r="J168" s="485"/>
      <c r="K168" s="485"/>
      <c r="L168" s="485"/>
      <c r="M168" s="485"/>
      <c r="N168" s="485"/>
      <c r="O168" s="485"/>
      <c r="P168" s="485"/>
    </row>
    <row r="169" spans="1:16">
      <c r="A169" s="485"/>
      <c r="B169" s="485"/>
      <c r="C169" s="485"/>
      <c r="D169" s="485"/>
      <c r="E169" s="485"/>
      <c r="F169" s="485"/>
      <c r="G169" s="485"/>
      <c r="H169" s="485"/>
      <c r="I169" s="485"/>
      <c r="J169" s="485"/>
      <c r="K169" s="485"/>
      <c r="L169" s="485"/>
      <c r="M169" s="485"/>
      <c r="N169" s="485"/>
      <c r="O169" s="485"/>
      <c r="P169" s="485"/>
    </row>
    <row r="170" spans="1:16">
      <c r="A170" s="485"/>
      <c r="B170" s="485"/>
      <c r="C170" s="485"/>
      <c r="D170" s="485"/>
      <c r="E170" s="485"/>
      <c r="F170" s="485"/>
      <c r="G170" s="485"/>
      <c r="H170" s="485"/>
      <c r="I170" s="485"/>
      <c r="J170" s="485"/>
      <c r="K170" s="485"/>
      <c r="L170" s="485"/>
      <c r="M170" s="485"/>
      <c r="N170" s="485"/>
      <c r="O170" s="485"/>
      <c r="P170" s="485"/>
    </row>
    <row r="171" spans="1:16">
      <c r="A171" s="485"/>
      <c r="B171" s="485"/>
      <c r="C171" s="485"/>
      <c r="D171" s="485"/>
      <c r="E171" s="485"/>
      <c r="F171" s="485"/>
      <c r="G171" s="485"/>
      <c r="H171" s="485"/>
      <c r="I171" s="485"/>
      <c r="J171" s="485"/>
      <c r="K171" s="485"/>
      <c r="L171" s="485"/>
      <c r="M171" s="485"/>
      <c r="N171" s="485"/>
      <c r="O171" s="485"/>
      <c r="P171" s="485"/>
    </row>
    <row r="172" spans="1:16">
      <c r="A172" s="485"/>
      <c r="B172" s="485"/>
      <c r="C172" s="485"/>
      <c r="D172" s="485"/>
      <c r="E172" s="485"/>
      <c r="F172" s="485"/>
      <c r="G172" s="485"/>
      <c r="H172" s="485"/>
      <c r="I172" s="485"/>
      <c r="J172" s="485"/>
      <c r="K172" s="485"/>
      <c r="L172" s="485"/>
      <c r="M172" s="485"/>
      <c r="N172" s="485"/>
      <c r="O172" s="485"/>
      <c r="P172" s="485"/>
    </row>
    <row r="173" spans="1:16">
      <c r="A173" s="485"/>
      <c r="B173" s="485"/>
      <c r="C173" s="485"/>
      <c r="D173" s="485"/>
      <c r="E173" s="485"/>
      <c r="F173" s="485"/>
      <c r="G173" s="485"/>
      <c r="H173" s="485"/>
      <c r="I173" s="485"/>
      <c r="J173" s="485"/>
      <c r="K173" s="485"/>
      <c r="L173" s="485"/>
      <c r="M173" s="485"/>
      <c r="N173" s="485"/>
      <c r="O173" s="485"/>
      <c r="P173" s="485"/>
    </row>
    <row r="174" spans="1:16">
      <c r="A174" s="485"/>
      <c r="B174" s="485"/>
      <c r="C174" s="485"/>
      <c r="D174" s="485"/>
      <c r="E174" s="485"/>
      <c r="F174" s="485"/>
      <c r="G174" s="485"/>
      <c r="H174" s="485"/>
      <c r="I174" s="485"/>
      <c r="J174" s="485"/>
      <c r="K174" s="485"/>
      <c r="L174" s="485"/>
      <c r="M174" s="485"/>
      <c r="N174" s="485"/>
      <c r="O174" s="485"/>
      <c r="P174" s="485"/>
    </row>
    <row r="175" spans="1:16">
      <c r="A175" s="485"/>
      <c r="B175" s="485"/>
      <c r="C175" s="485"/>
      <c r="D175" s="485"/>
      <c r="E175" s="485"/>
      <c r="F175" s="485"/>
      <c r="G175" s="485"/>
      <c r="H175" s="485"/>
      <c r="I175" s="485"/>
      <c r="J175" s="485"/>
      <c r="K175" s="485"/>
      <c r="L175" s="485"/>
      <c r="M175" s="485"/>
      <c r="N175" s="485"/>
      <c r="O175" s="485"/>
      <c r="P175" s="485"/>
    </row>
    <row r="176" spans="1:16">
      <c r="A176" s="485"/>
      <c r="B176" s="485"/>
      <c r="C176" s="485"/>
      <c r="D176" s="485"/>
      <c r="E176" s="485"/>
      <c r="F176" s="485"/>
      <c r="G176" s="485"/>
      <c r="H176" s="485"/>
      <c r="I176" s="485"/>
      <c r="J176" s="485"/>
      <c r="K176" s="485"/>
      <c r="L176" s="485"/>
      <c r="M176" s="485"/>
      <c r="N176" s="485"/>
      <c r="O176" s="485"/>
      <c r="P176" s="485"/>
    </row>
  </sheetData>
  <customSheetViews>
    <customSheetView guid="{FAA8FFD9-C96B-4A1B-8B9E-B863FD90DDBA}" scale="75" showRuler="0" topLeftCell="A37">
      <selection activeCell="K45" sqref="K45"/>
      <rowBreaks count="1" manualBreakCount="1">
        <brk id="49" max="16" man="1"/>
      </rowBreaks>
      <pageMargins left="0.25" right="0.25" top="0.5" bottom="0" header="0" footer="0"/>
      <pageSetup scale="54" fitToHeight="2" orientation="portrait" r:id="rId1"/>
      <headerFooter alignWithMargins="0">
        <oddFooter xml:space="preserve">&amp;R&amp;"Arial MT,Bold"&amp;14A -1
</oddFooter>
      </headerFooter>
    </customSheetView>
  </customSheetViews>
  <phoneticPr fontId="28" type="noConversion"/>
  <printOptions horizontalCentered="1" gridLines="1"/>
  <pageMargins left="0.5" right="0.5" top="0.5" bottom="0.35" header="0" footer="0"/>
  <pageSetup scale="58" orientation="portrait" r:id="rId2"/>
  <headerFooter alignWithMargins="0">
    <oddFooter xml:space="preserve">&amp;R&amp;"Arial MT,Bold"&amp;14A -1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pageSetUpPr fitToPage="1"/>
  </sheetPr>
  <dimension ref="A1:AQ2893"/>
  <sheetViews>
    <sheetView view="pageBreakPreview" zoomScaleNormal="100" zoomScaleSheetLayoutView="75" workbookViewId="0">
      <selection activeCell="B56" sqref="B56"/>
    </sheetView>
  </sheetViews>
  <sheetFormatPr defaultRowHeight="15"/>
  <cols>
    <col min="1" max="1" width="5.5546875" style="322" customWidth="1"/>
    <col min="2" max="2" width="11.88671875" style="322" customWidth="1"/>
    <col min="3" max="3" width="8" style="322" customWidth="1"/>
    <col min="4" max="4" width="11.21875" style="322" customWidth="1"/>
    <col min="5" max="5" width="8.44140625" style="322" customWidth="1"/>
    <col min="6" max="6" width="12.6640625" style="322" customWidth="1"/>
    <col min="7" max="7" width="11" style="322" customWidth="1"/>
    <col min="8" max="8" width="8.44140625" style="322" customWidth="1"/>
    <col min="9" max="9" width="10.6640625" style="322" customWidth="1"/>
    <col min="10" max="10" width="9" style="322" customWidth="1"/>
    <col min="11" max="11" width="9.5546875" style="322" customWidth="1"/>
    <col min="12" max="12" width="13.21875" style="322" customWidth="1"/>
    <col min="13" max="13" width="10.21875" style="322" customWidth="1"/>
    <col min="14" max="14" width="13.33203125" style="322" customWidth="1"/>
    <col min="15" max="17" width="11.44140625" style="322" customWidth="1"/>
    <col min="18" max="18" width="6.88671875" style="322" customWidth="1"/>
    <col min="19" max="22" width="11.44140625" style="322" customWidth="1"/>
    <col min="23" max="24" width="12.21875" style="322" customWidth="1"/>
    <col min="25" max="97" width="11.44140625" style="322" customWidth="1"/>
    <col min="98" max="16384" width="8.88671875" style="322"/>
  </cols>
  <sheetData>
    <row r="1" spans="1:43" ht="20.25">
      <c r="A1" s="45" t="s">
        <v>1434</v>
      </c>
      <c r="N1" s="1952" t="s">
        <v>159</v>
      </c>
    </row>
    <row r="2" spans="1:43" s="39" customFormat="1" ht="15.75">
      <c r="A2" s="80"/>
      <c r="N2" s="1099"/>
    </row>
    <row r="3" spans="1:43" ht="18">
      <c r="A3" s="39"/>
      <c r="B3" s="2175" t="s">
        <v>73</v>
      </c>
      <c r="C3" s="2176"/>
      <c r="D3" s="2176"/>
      <c r="E3" s="2176"/>
      <c r="F3" s="2176"/>
      <c r="G3" s="2176"/>
      <c r="H3" s="2176"/>
      <c r="I3" s="2176"/>
      <c r="J3" s="2176"/>
      <c r="K3" s="2176"/>
      <c r="L3" s="2163"/>
    </row>
    <row r="4" spans="1:43" ht="18">
      <c r="B4" s="2177" t="s">
        <v>951</v>
      </c>
      <c r="C4" s="2178"/>
      <c r="D4" s="2178"/>
      <c r="E4" s="2178"/>
      <c r="F4" s="2178"/>
      <c r="G4" s="2178"/>
      <c r="H4" s="2178"/>
      <c r="I4" s="2178"/>
      <c r="J4" s="2178"/>
      <c r="K4" s="2178"/>
      <c r="L4" s="2159"/>
      <c r="N4" s="304" t="s">
        <v>1119</v>
      </c>
    </row>
    <row r="5" spans="1:43" ht="18">
      <c r="B5" s="34"/>
      <c r="C5" s="34"/>
      <c r="D5" s="39"/>
      <c r="E5" s="39"/>
      <c r="F5" s="39"/>
      <c r="G5" s="536" t="s">
        <v>1824</v>
      </c>
      <c r="H5" s="323"/>
      <c r="I5" s="39"/>
      <c r="J5" s="39"/>
      <c r="K5" s="39"/>
      <c r="L5" s="39"/>
      <c r="U5" s="304"/>
      <c r="X5" s="324"/>
      <c r="Y5" s="324"/>
      <c r="Z5" s="324"/>
      <c r="AA5" s="324"/>
      <c r="AB5" s="324"/>
      <c r="AC5" s="324"/>
      <c r="AD5" s="324"/>
      <c r="AE5" s="324"/>
      <c r="AF5" s="324"/>
    </row>
    <row r="6" spans="1:43">
      <c r="B6" s="34"/>
      <c r="C6" s="34"/>
      <c r="U6" s="304"/>
      <c r="X6" s="324"/>
      <c r="Y6" s="324"/>
      <c r="Z6" s="324"/>
      <c r="AA6" s="324"/>
      <c r="AB6" s="324"/>
      <c r="AC6" s="324"/>
      <c r="AD6" s="324"/>
      <c r="AE6" s="324"/>
      <c r="AF6" s="324"/>
    </row>
    <row r="7" spans="1:43" ht="18">
      <c r="B7" s="61" t="s">
        <v>78</v>
      </c>
      <c r="C7" s="325"/>
      <c r="D7" s="326"/>
      <c r="E7" s="327"/>
      <c r="F7" s="326"/>
      <c r="G7" s="326"/>
      <c r="H7" s="328"/>
      <c r="I7" s="328"/>
      <c r="J7" s="328"/>
      <c r="K7" s="328"/>
      <c r="L7" s="329"/>
      <c r="M7" s="329"/>
      <c r="N7" s="329"/>
      <c r="O7" s="329"/>
      <c r="P7" s="329"/>
      <c r="Q7" s="329"/>
      <c r="R7" s="329"/>
      <c r="S7" s="330"/>
      <c r="T7" s="330"/>
      <c r="U7" s="330"/>
      <c r="V7" s="330"/>
      <c r="W7" s="329"/>
      <c r="X7" s="329"/>
      <c r="Y7" s="329"/>
      <c r="Z7" s="329"/>
      <c r="AA7" s="329"/>
      <c r="AB7" s="329"/>
      <c r="AC7" s="329"/>
      <c r="AD7" s="329"/>
      <c r="AE7" s="329"/>
      <c r="AF7" s="329"/>
      <c r="AG7" s="329"/>
      <c r="AH7" s="329"/>
      <c r="AI7" s="329"/>
      <c r="AJ7" s="329"/>
      <c r="AK7" s="329"/>
      <c r="AL7" s="329"/>
      <c r="AM7" s="329"/>
      <c r="AN7" s="329"/>
      <c r="AO7" s="329"/>
      <c r="AP7" s="329"/>
    </row>
    <row r="8" spans="1:43" ht="15.75" customHeight="1">
      <c r="B8" s="1724" t="s">
        <v>1500</v>
      </c>
      <c r="C8" s="1725"/>
      <c r="D8" s="329"/>
      <c r="E8" s="329"/>
      <c r="F8" s="329"/>
      <c r="G8" s="329"/>
      <c r="H8" s="329"/>
      <c r="I8" s="329"/>
      <c r="J8" s="329"/>
      <c r="K8" s="329"/>
      <c r="L8" s="329"/>
      <c r="M8" s="329"/>
      <c r="N8" s="329"/>
      <c r="O8" s="329"/>
      <c r="P8" s="329"/>
      <c r="Q8" s="329"/>
      <c r="R8" s="329"/>
      <c r="S8" s="329"/>
      <c r="T8" s="330"/>
      <c r="U8" s="330"/>
      <c r="V8" s="330"/>
      <c r="W8" s="330"/>
      <c r="X8" s="329"/>
      <c r="Y8" s="329"/>
      <c r="Z8" s="329"/>
      <c r="AA8" s="329"/>
      <c r="AB8" s="329"/>
      <c r="AC8" s="329"/>
      <c r="AD8" s="329"/>
      <c r="AE8" s="329"/>
      <c r="AF8" s="329"/>
      <c r="AG8" s="329"/>
      <c r="AH8" s="329"/>
      <c r="AI8" s="329"/>
      <c r="AJ8" s="329"/>
      <c r="AK8" s="329"/>
      <c r="AL8" s="329"/>
      <c r="AM8" s="329"/>
      <c r="AN8" s="329"/>
      <c r="AO8" s="329"/>
      <c r="AP8" s="329"/>
      <c r="AQ8" s="329"/>
    </row>
    <row r="9" spans="1:43" ht="103.5" customHeight="1">
      <c r="A9" s="1726" t="s">
        <v>1388</v>
      </c>
      <c r="B9" s="35" t="s">
        <v>1389</v>
      </c>
      <c r="C9" s="288" t="s">
        <v>1390</v>
      </c>
      <c r="D9" s="36" t="s">
        <v>74</v>
      </c>
      <c r="E9" s="37" t="s">
        <v>1624</v>
      </c>
      <c r="F9" s="36" t="s">
        <v>75</v>
      </c>
      <c r="G9" s="36" t="s">
        <v>1692</v>
      </c>
      <c r="H9" s="36" t="s">
        <v>942</v>
      </c>
      <c r="I9" s="36" t="s">
        <v>86</v>
      </c>
      <c r="J9" s="36" t="s">
        <v>942</v>
      </c>
      <c r="K9" s="36" t="s">
        <v>942</v>
      </c>
      <c r="L9" s="36" t="s">
        <v>76</v>
      </c>
      <c r="M9" s="1085" t="s">
        <v>77</v>
      </c>
      <c r="N9" s="36" t="s">
        <v>814</v>
      </c>
      <c r="O9" s="36" t="s">
        <v>112</v>
      </c>
      <c r="P9" s="329"/>
      <c r="Q9" s="329"/>
      <c r="R9" s="329"/>
      <c r="S9" s="329"/>
      <c r="T9" s="330"/>
      <c r="U9" s="330"/>
      <c r="V9" s="330"/>
      <c r="W9" s="330"/>
      <c r="X9" s="329"/>
      <c r="Y9" s="329"/>
      <c r="Z9" s="329"/>
      <c r="AA9" s="329"/>
      <c r="AB9" s="329"/>
      <c r="AC9" s="329"/>
      <c r="AD9" s="329"/>
      <c r="AE9" s="329"/>
      <c r="AF9" s="329"/>
      <c r="AG9" s="329"/>
      <c r="AH9" s="329"/>
      <c r="AI9" s="329"/>
      <c r="AJ9" s="329"/>
      <c r="AK9" s="329"/>
      <c r="AL9" s="329"/>
      <c r="AM9" s="329"/>
      <c r="AN9" s="329"/>
      <c r="AO9" s="329"/>
      <c r="AP9" s="329"/>
      <c r="AQ9" s="329"/>
    </row>
    <row r="10" spans="1:43" ht="17.25" customHeight="1" thickBot="1">
      <c r="A10" s="402"/>
      <c r="B10" s="331" t="s">
        <v>1740</v>
      </c>
      <c r="C10" s="332" t="s">
        <v>1741</v>
      </c>
      <c r="D10" s="333" t="s">
        <v>1576</v>
      </c>
      <c r="E10" s="334" t="s">
        <v>1742</v>
      </c>
      <c r="F10" s="335" t="s">
        <v>1743</v>
      </c>
      <c r="G10" s="335" t="s">
        <v>1744</v>
      </c>
      <c r="H10" s="335" t="s">
        <v>1570</v>
      </c>
      <c r="I10" s="335" t="s">
        <v>1571</v>
      </c>
      <c r="J10" s="335" t="s">
        <v>1572</v>
      </c>
      <c r="K10" s="335" t="s">
        <v>1573</v>
      </c>
      <c r="L10" s="335" t="s">
        <v>1574</v>
      </c>
      <c r="M10" s="335" t="s">
        <v>1575</v>
      </c>
      <c r="N10" s="335" t="s">
        <v>815</v>
      </c>
      <c r="O10" s="689" t="s">
        <v>816</v>
      </c>
      <c r="P10" s="329"/>
      <c r="Q10" s="329"/>
      <c r="R10" s="329"/>
      <c r="S10" s="329"/>
      <c r="T10" s="330"/>
      <c r="U10" s="330"/>
      <c r="V10" s="330"/>
      <c r="W10" s="330"/>
      <c r="X10" s="329"/>
      <c r="Y10" s="329"/>
      <c r="Z10" s="329"/>
      <c r="AA10" s="329"/>
      <c r="AB10" s="329"/>
      <c r="AC10" s="329"/>
      <c r="AD10" s="329"/>
      <c r="AE10" s="329"/>
      <c r="AF10" s="329"/>
      <c r="AG10" s="329"/>
      <c r="AH10" s="329"/>
      <c r="AI10" s="329"/>
      <c r="AJ10" s="329"/>
      <c r="AK10" s="329"/>
      <c r="AL10" s="329"/>
      <c r="AM10" s="329"/>
      <c r="AN10" s="329"/>
      <c r="AO10" s="329"/>
      <c r="AP10" s="329"/>
      <c r="AQ10" s="329"/>
    </row>
    <row r="11" spans="1:43" ht="15.75">
      <c r="A11" s="1727">
        <v>1</v>
      </c>
      <c r="B11" s="2003" t="s">
        <v>1826</v>
      </c>
      <c r="C11" s="2044">
        <v>1800</v>
      </c>
      <c r="D11" s="2045">
        <v>2401</v>
      </c>
      <c r="E11" s="673">
        <v>0</v>
      </c>
      <c r="F11" s="1042">
        <f>D11+E11</f>
        <v>2401</v>
      </c>
      <c r="G11" s="2045">
        <v>71</v>
      </c>
      <c r="H11" s="1047">
        <v>0</v>
      </c>
      <c r="I11" s="2045">
        <v>130</v>
      </c>
      <c r="J11" s="674"/>
      <c r="K11" s="674"/>
      <c r="L11" s="674"/>
      <c r="M11" s="1047">
        <f>F11+G11+H11+I11+J11+K11-L11</f>
        <v>2602</v>
      </c>
      <c r="N11" s="1050">
        <f>M11</f>
        <v>2602</v>
      </c>
      <c r="O11" s="1898"/>
      <c r="P11" s="528"/>
      <c r="Q11" s="329"/>
      <c r="R11" s="329"/>
      <c r="S11" s="329"/>
      <c r="T11" s="330"/>
      <c r="U11" s="330"/>
      <c r="V11" s="330"/>
      <c r="W11" s="330"/>
      <c r="X11" s="329"/>
      <c r="Y11" s="329"/>
      <c r="Z11" s="329"/>
      <c r="AA11" s="329"/>
      <c r="AB11" s="329"/>
      <c r="AC11" s="329"/>
      <c r="AD11" s="329"/>
      <c r="AE11" s="329"/>
      <c r="AF11" s="329"/>
      <c r="AG11" s="329"/>
      <c r="AH11" s="329"/>
      <c r="AI11" s="329"/>
      <c r="AJ11" s="329"/>
      <c r="AK11" s="329"/>
      <c r="AL11" s="329"/>
      <c r="AM11" s="329"/>
      <c r="AN11" s="329"/>
      <c r="AO11" s="329"/>
      <c r="AP11" s="329"/>
      <c r="AQ11" s="329"/>
    </row>
    <row r="12" spans="1:43">
      <c r="A12" s="1727">
        <f>A11+1</f>
        <v>2</v>
      </c>
      <c r="B12" s="2004" t="s">
        <v>1827</v>
      </c>
      <c r="C12" s="2044">
        <v>1900</v>
      </c>
      <c r="D12" s="2045">
        <v>2187</v>
      </c>
      <c r="E12" s="673">
        <v>0</v>
      </c>
      <c r="F12" s="1042">
        <f t="shared" ref="F12:F22" si="0">D12+E12</f>
        <v>2187</v>
      </c>
      <c r="G12" s="2047">
        <v>66</v>
      </c>
      <c r="H12" s="1048">
        <v>0</v>
      </c>
      <c r="I12" s="2047">
        <v>130</v>
      </c>
      <c r="J12" s="675"/>
      <c r="K12" s="675"/>
      <c r="L12" s="674"/>
      <c r="M12" s="1047">
        <f t="shared" ref="M12:M22" si="1">F12+G12+H12+I12+J12+K12-L12</f>
        <v>2383</v>
      </c>
      <c r="N12" s="1050">
        <f t="shared" ref="N12:N18" si="2">M12</f>
        <v>2383</v>
      </c>
      <c r="O12" s="1899"/>
      <c r="P12" s="329"/>
      <c r="Q12" s="329"/>
      <c r="R12" s="329"/>
      <c r="S12" s="329"/>
      <c r="T12" s="330"/>
      <c r="U12" s="330"/>
      <c r="V12" s="330"/>
      <c r="W12" s="330"/>
      <c r="X12" s="329"/>
      <c r="Y12" s="329"/>
      <c r="Z12" s="329"/>
      <c r="AA12" s="329"/>
      <c r="AB12" s="329"/>
      <c r="AC12" s="329"/>
      <c r="AD12" s="329"/>
      <c r="AE12" s="329"/>
      <c r="AF12" s="329"/>
      <c r="AG12" s="329"/>
      <c r="AH12" s="329"/>
      <c r="AI12" s="329"/>
      <c r="AJ12" s="329"/>
      <c r="AK12" s="329"/>
      <c r="AL12" s="329"/>
      <c r="AM12" s="329"/>
      <c r="AN12" s="329"/>
      <c r="AO12" s="329"/>
      <c r="AP12" s="329"/>
      <c r="AQ12" s="329"/>
    </row>
    <row r="13" spans="1:43">
      <c r="A13" s="1727">
        <f t="shared" ref="A13:A24" si="3">A12+1</f>
        <v>3</v>
      </c>
      <c r="B13" s="2004" t="s">
        <v>1828</v>
      </c>
      <c r="C13" s="2044">
        <v>1700</v>
      </c>
      <c r="D13" s="2045">
        <v>2025</v>
      </c>
      <c r="E13" s="673">
        <v>0</v>
      </c>
      <c r="F13" s="1042">
        <f t="shared" si="0"/>
        <v>2025</v>
      </c>
      <c r="G13" s="2047">
        <v>57</v>
      </c>
      <c r="H13" s="1048">
        <v>0</v>
      </c>
      <c r="I13" s="2047">
        <v>130</v>
      </c>
      <c r="J13" s="675"/>
      <c r="K13" s="675"/>
      <c r="L13" s="674"/>
      <c r="M13" s="1047">
        <f t="shared" si="1"/>
        <v>2212</v>
      </c>
      <c r="N13" s="1050">
        <f t="shared" si="2"/>
        <v>2212</v>
      </c>
      <c r="O13" s="1899"/>
      <c r="P13" s="329"/>
      <c r="Q13" s="329"/>
      <c r="R13" s="329"/>
      <c r="S13" s="329"/>
      <c r="T13" s="330"/>
      <c r="U13" s="330"/>
      <c r="V13" s="330"/>
      <c r="W13" s="330"/>
      <c r="X13" s="329"/>
      <c r="Y13" s="329"/>
      <c r="Z13" s="329"/>
      <c r="AA13" s="329"/>
      <c r="AB13" s="329"/>
      <c r="AC13" s="329"/>
      <c r="AD13" s="329"/>
      <c r="AE13" s="329"/>
      <c r="AF13" s="329"/>
      <c r="AG13" s="329"/>
      <c r="AH13" s="329"/>
      <c r="AI13" s="329"/>
      <c r="AJ13" s="329"/>
      <c r="AK13" s="329"/>
      <c r="AL13" s="329"/>
      <c r="AM13" s="329"/>
      <c r="AN13" s="329"/>
      <c r="AO13" s="329"/>
      <c r="AP13" s="329"/>
      <c r="AQ13" s="329"/>
    </row>
    <row r="14" spans="1:43">
      <c r="A14" s="1727">
        <f t="shared" si="3"/>
        <v>4</v>
      </c>
      <c r="B14" s="2004" t="s">
        <v>1829</v>
      </c>
      <c r="C14" s="2044">
        <v>1700</v>
      </c>
      <c r="D14" s="2045">
        <v>2482</v>
      </c>
      <c r="E14" s="673">
        <v>0</v>
      </c>
      <c r="F14" s="1042">
        <f t="shared" si="0"/>
        <v>2482</v>
      </c>
      <c r="G14" s="2047">
        <v>72</v>
      </c>
      <c r="H14" s="1048">
        <v>0</v>
      </c>
      <c r="I14" s="2047">
        <v>130</v>
      </c>
      <c r="J14" s="675"/>
      <c r="K14" s="675"/>
      <c r="L14" s="674"/>
      <c r="M14" s="1047">
        <f t="shared" si="1"/>
        <v>2684</v>
      </c>
      <c r="N14" s="1050">
        <f t="shared" si="2"/>
        <v>2684</v>
      </c>
      <c r="O14" s="1899"/>
      <c r="P14" s="329"/>
      <c r="Q14" s="329"/>
      <c r="R14" s="329"/>
      <c r="S14" s="329"/>
      <c r="T14" s="330"/>
      <c r="U14" s="330"/>
      <c r="V14" s="330"/>
      <c r="W14" s="330"/>
      <c r="X14" s="329"/>
      <c r="Y14" s="329"/>
      <c r="Z14" s="329"/>
      <c r="AA14" s="329"/>
      <c r="AB14" s="329"/>
      <c r="AC14" s="329"/>
      <c r="AD14" s="329"/>
      <c r="AE14" s="329"/>
      <c r="AF14" s="329"/>
      <c r="AG14" s="329"/>
      <c r="AH14" s="329"/>
      <c r="AI14" s="329"/>
      <c r="AJ14" s="329"/>
      <c r="AK14" s="329"/>
      <c r="AL14" s="329"/>
      <c r="AM14" s="329"/>
      <c r="AN14" s="329"/>
      <c r="AO14" s="329"/>
      <c r="AP14" s="329"/>
      <c r="AQ14" s="329"/>
    </row>
    <row r="15" spans="1:43">
      <c r="A15" s="1727">
        <f t="shared" si="3"/>
        <v>5</v>
      </c>
      <c r="B15" s="2004" t="s">
        <v>1830</v>
      </c>
      <c r="C15" s="2044">
        <v>1700</v>
      </c>
      <c r="D15" s="2045">
        <v>2660</v>
      </c>
      <c r="E15" s="673">
        <v>0</v>
      </c>
      <c r="F15" s="1042">
        <f t="shared" si="0"/>
        <v>2660</v>
      </c>
      <c r="G15" s="2047">
        <v>88</v>
      </c>
      <c r="H15" s="1048">
        <v>0</v>
      </c>
      <c r="I15" s="2047">
        <v>130</v>
      </c>
      <c r="J15" s="675"/>
      <c r="K15" s="675"/>
      <c r="L15" s="674"/>
      <c r="M15" s="1047">
        <f t="shared" si="1"/>
        <v>2878</v>
      </c>
      <c r="N15" s="1050">
        <f t="shared" si="2"/>
        <v>2878</v>
      </c>
      <c r="O15" s="1899"/>
      <c r="P15" s="329"/>
      <c r="Q15" s="329"/>
      <c r="R15" s="329"/>
      <c r="S15" s="329"/>
      <c r="T15" s="330"/>
      <c r="U15" s="330"/>
      <c r="V15" s="330"/>
      <c r="W15" s="330"/>
      <c r="X15" s="329"/>
      <c r="Y15" s="329"/>
      <c r="Z15" s="329"/>
      <c r="AA15" s="329"/>
      <c r="AB15" s="329"/>
      <c r="AC15" s="329"/>
      <c r="AD15" s="329"/>
      <c r="AE15" s="329"/>
      <c r="AF15" s="329"/>
      <c r="AG15" s="329"/>
      <c r="AH15" s="329"/>
      <c r="AI15" s="329"/>
      <c r="AJ15" s="329"/>
      <c r="AK15" s="329"/>
      <c r="AL15" s="329"/>
      <c r="AM15" s="329"/>
      <c r="AN15" s="329"/>
      <c r="AO15" s="329"/>
      <c r="AP15" s="329"/>
      <c r="AQ15" s="329"/>
    </row>
    <row r="16" spans="1:43">
      <c r="A16" s="1727">
        <f t="shared" si="3"/>
        <v>6</v>
      </c>
      <c r="B16" s="2004" t="s">
        <v>1831</v>
      </c>
      <c r="C16" s="2044">
        <v>1700</v>
      </c>
      <c r="D16" s="2045">
        <v>3461</v>
      </c>
      <c r="E16" s="673">
        <v>0</v>
      </c>
      <c r="F16" s="1042">
        <f t="shared" si="0"/>
        <v>3461</v>
      </c>
      <c r="G16" s="2047">
        <v>103</v>
      </c>
      <c r="H16" s="1048">
        <v>0</v>
      </c>
      <c r="I16" s="2047">
        <v>90</v>
      </c>
      <c r="J16" s="675"/>
      <c r="K16" s="675"/>
      <c r="L16" s="674"/>
      <c r="M16" s="1047">
        <f t="shared" si="1"/>
        <v>3654</v>
      </c>
      <c r="N16" s="1050">
        <f t="shared" si="2"/>
        <v>3654</v>
      </c>
      <c r="O16" s="1899"/>
      <c r="P16" s="329"/>
      <c r="Q16" s="329"/>
      <c r="R16" s="329"/>
      <c r="S16" s="329"/>
      <c r="T16" s="330"/>
      <c r="U16" s="330"/>
      <c r="V16" s="330"/>
      <c r="W16" s="330"/>
      <c r="X16" s="329"/>
      <c r="Y16" s="329"/>
      <c r="Z16" s="329"/>
      <c r="AA16" s="329"/>
      <c r="AB16" s="329"/>
      <c r="AC16" s="329"/>
      <c r="AD16" s="329"/>
      <c r="AE16" s="329"/>
      <c r="AF16" s="329"/>
      <c r="AG16" s="329"/>
      <c r="AH16" s="329"/>
      <c r="AI16" s="329"/>
      <c r="AJ16" s="329"/>
      <c r="AK16" s="329"/>
      <c r="AL16" s="329"/>
      <c r="AM16" s="329"/>
      <c r="AN16" s="329"/>
      <c r="AO16" s="329"/>
      <c r="AP16" s="329"/>
      <c r="AQ16" s="329"/>
    </row>
    <row r="17" spans="1:43">
      <c r="A17" s="1727">
        <f t="shared" si="3"/>
        <v>7</v>
      </c>
      <c r="B17" s="2004" t="s">
        <v>1832</v>
      </c>
      <c r="C17" s="2044">
        <v>1700</v>
      </c>
      <c r="D17" s="2045">
        <v>3642</v>
      </c>
      <c r="E17" s="673">
        <v>0</v>
      </c>
      <c r="F17" s="1042">
        <f t="shared" si="0"/>
        <v>3642</v>
      </c>
      <c r="G17" s="2047">
        <v>109</v>
      </c>
      <c r="H17" s="1048">
        <v>0</v>
      </c>
      <c r="I17" s="2047">
        <v>90</v>
      </c>
      <c r="J17" s="675"/>
      <c r="K17" s="675"/>
      <c r="L17" s="674"/>
      <c r="M17" s="1047">
        <f t="shared" si="1"/>
        <v>3841</v>
      </c>
      <c r="N17" s="1050">
        <f t="shared" si="2"/>
        <v>3841</v>
      </c>
      <c r="O17" s="1899"/>
      <c r="P17" s="329"/>
      <c r="Q17" s="329"/>
      <c r="R17" s="329"/>
      <c r="S17" s="329"/>
      <c r="T17" s="330"/>
      <c r="U17" s="330"/>
      <c r="V17" s="330"/>
      <c r="W17" s="330"/>
      <c r="X17" s="329"/>
      <c r="Y17" s="329"/>
      <c r="Z17" s="329"/>
      <c r="AA17" s="329"/>
      <c r="AB17" s="329"/>
      <c r="AC17" s="329"/>
      <c r="AD17" s="329"/>
      <c r="AE17" s="329"/>
      <c r="AF17" s="329"/>
      <c r="AG17" s="329"/>
      <c r="AH17" s="329"/>
      <c r="AI17" s="329"/>
      <c r="AJ17" s="329"/>
      <c r="AK17" s="329"/>
      <c r="AL17" s="329"/>
      <c r="AM17" s="329"/>
      <c r="AN17" s="329"/>
      <c r="AO17" s="329"/>
      <c r="AP17" s="329"/>
      <c r="AQ17" s="329"/>
    </row>
    <row r="18" spans="1:43">
      <c r="A18" s="1727">
        <f t="shared" si="3"/>
        <v>8</v>
      </c>
      <c r="B18" s="2004" t="s">
        <v>1833</v>
      </c>
      <c r="C18" s="2044">
        <v>1800</v>
      </c>
      <c r="D18" s="2045">
        <v>3376</v>
      </c>
      <c r="E18" s="673">
        <v>0</v>
      </c>
      <c r="F18" s="1042">
        <f t="shared" si="0"/>
        <v>3376</v>
      </c>
      <c r="G18" s="2047">
        <v>114</v>
      </c>
      <c r="H18" s="1048"/>
      <c r="I18" s="2047">
        <v>90</v>
      </c>
      <c r="J18" s="675"/>
      <c r="K18" s="675"/>
      <c r="L18" s="674"/>
      <c r="M18" s="1047">
        <f t="shared" si="1"/>
        <v>3580</v>
      </c>
      <c r="N18" s="1051">
        <f t="shared" si="2"/>
        <v>3580</v>
      </c>
      <c r="O18" s="1900"/>
      <c r="P18" s="329"/>
      <c r="Q18" s="329"/>
      <c r="R18" s="329"/>
      <c r="S18" s="329"/>
      <c r="T18" s="330"/>
      <c r="U18" s="330"/>
      <c r="V18" s="330"/>
      <c r="W18" s="330"/>
      <c r="X18" s="329"/>
      <c r="Y18" s="329"/>
      <c r="Z18" s="329"/>
      <c r="AA18" s="329"/>
      <c r="AB18" s="329"/>
      <c r="AC18" s="329"/>
      <c r="AD18" s="329"/>
      <c r="AE18" s="329"/>
      <c r="AF18" s="329"/>
      <c r="AG18" s="329"/>
      <c r="AH18" s="329"/>
      <c r="AI18" s="329"/>
      <c r="AJ18" s="329"/>
      <c r="AK18" s="329"/>
      <c r="AL18" s="329"/>
      <c r="AM18" s="329"/>
      <c r="AN18" s="329"/>
      <c r="AO18" s="329"/>
      <c r="AP18" s="329"/>
      <c r="AQ18" s="329"/>
    </row>
    <row r="19" spans="1:43">
      <c r="A19" s="1727">
        <f t="shared" si="3"/>
        <v>9</v>
      </c>
      <c r="B19" s="2004" t="s">
        <v>1834</v>
      </c>
      <c r="C19" s="2044">
        <v>1700</v>
      </c>
      <c r="D19" s="2045">
        <v>3181</v>
      </c>
      <c r="E19" s="673">
        <v>0</v>
      </c>
      <c r="F19" s="1042">
        <f t="shared" si="0"/>
        <v>3181</v>
      </c>
      <c r="G19" s="2047">
        <v>106</v>
      </c>
      <c r="H19" s="1048">
        <v>0</v>
      </c>
      <c r="I19" s="2047">
        <v>90</v>
      </c>
      <c r="J19" s="675"/>
      <c r="K19" s="675"/>
      <c r="L19" s="674"/>
      <c r="M19" s="1050">
        <f t="shared" si="1"/>
        <v>3377</v>
      </c>
      <c r="N19" s="1901"/>
      <c r="O19" s="697">
        <f>M19/N23</f>
        <v>1.1335067550558027</v>
      </c>
      <c r="P19" s="329"/>
      <c r="Q19" s="329"/>
      <c r="R19" s="329"/>
      <c r="S19" s="329"/>
      <c r="T19" s="330"/>
      <c r="U19" s="330"/>
      <c r="V19" s="330"/>
      <c r="W19" s="330"/>
      <c r="X19" s="329"/>
      <c r="Y19" s="329"/>
      <c r="Z19" s="329"/>
      <c r="AA19" s="329"/>
      <c r="AB19" s="329"/>
      <c r="AC19" s="329"/>
      <c r="AD19" s="329"/>
      <c r="AE19" s="329"/>
      <c r="AF19" s="329"/>
      <c r="AG19" s="329"/>
      <c r="AH19" s="329"/>
      <c r="AI19" s="329"/>
      <c r="AJ19" s="329"/>
      <c r="AK19" s="329"/>
      <c r="AL19" s="329"/>
      <c r="AM19" s="329"/>
      <c r="AN19" s="329"/>
      <c r="AO19" s="329"/>
      <c r="AP19" s="329"/>
      <c r="AQ19" s="329"/>
    </row>
    <row r="20" spans="1:43">
      <c r="A20" s="1727">
        <f t="shared" si="3"/>
        <v>10</v>
      </c>
      <c r="B20" s="2004" t="s">
        <v>1835</v>
      </c>
      <c r="C20" s="2044">
        <v>1500</v>
      </c>
      <c r="D20" s="2045">
        <v>2211</v>
      </c>
      <c r="E20" s="673">
        <v>0</v>
      </c>
      <c r="F20" s="1042">
        <f t="shared" si="0"/>
        <v>2211</v>
      </c>
      <c r="G20" s="2047">
        <v>65</v>
      </c>
      <c r="H20" s="1048">
        <v>0</v>
      </c>
      <c r="I20" s="2047">
        <v>90</v>
      </c>
      <c r="J20" s="675"/>
      <c r="K20" s="675"/>
      <c r="L20" s="674"/>
      <c r="M20" s="1050">
        <f t="shared" si="1"/>
        <v>2366</v>
      </c>
      <c r="N20" s="1902"/>
      <c r="O20" s="697">
        <f>M20/N23</f>
        <v>0.79415960392716289</v>
      </c>
      <c r="P20" s="330"/>
      <c r="Q20" s="330"/>
      <c r="R20" s="330"/>
      <c r="S20" s="330"/>
      <c r="T20" s="330"/>
      <c r="U20" s="330"/>
      <c r="V20" s="330"/>
      <c r="W20" s="330"/>
      <c r="X20" s="330"/>
      <c r="Y20" s="330"/>
      <c r="Z20" s="330"/>
      <c r="AA20" s="330"/>
      <c r="AB20" s="330"/>
      <c r="AC20" s="330"/>
      <c r="AD20" s="330"/>
      <c r="AE20" s="330"/>
      <c r="AF20" s="330"/>
      <c r="AG20" s="329"/>
      <c r="AH20" s="329"/>
      <c r="AI20" s="329"/>
      <c r="AJ20" s="329"/>
      <c r="AK20" s="329"/>
      <c r="AL20" s="329"/>
      <c r="AM20" s="329"/>
      <c r="AN20" s="329"/>
      <c r="AO20" s="329"/>
      <c r="AP20" s="329"/>
      <c r="AQ20" s="329"/>
    </row>
    <row r="21" spans="1:43">
      <c r="A21" s="1727">
        <f t="shared" si="3"/>
        <v>11</v>
      </c>
      <c r="B21" s="2004" t="s">
        <v>1836</v>
      </c>
      <c r="C21" s="2044">
        <v>800</v>
      </c>
      <c r="D21" s="2045">
        <v>2103</v>
      </c>
      <c r="E21" s="673">
        <v>0</v>
      </c>
      <c r="F21" s="1042">
        <f t="shared" si="0"/>
        <v>2103</v>
      </c>
      <c r="G21" s="2047">
        <v>63</v>
      </c>
      <c r="H21" s="1048">
        <v>0</v>
      </c>
      <c r="I21" s="2047">
        <v>91</v>
      </c>
      <c r="J21" s="675"/>
      <c r="K21" s="675"/>
      <c r="L21" s="674"/>
      <c r="M21" s="1050">
        <f t="shared" si="1"/>
        <v>2257</v>
      </c>
      <c r="N21" s="1902"/>
      <c r="O21" s="700">
        <f>M21/N23</f>
        <v>0.75757321473525219</v>
      </c>
      <c r="P21" s="330"/>
      <c r="Q21" s="330"/>
      <c r="R21" s="330"/>
      <c r="S21" s="330"/>
      <c r="T21" s="330"/>
      <c r="U21" s="330"/>
      <c r="V21" s="330"/>
      <c r="W21" s="330"/>
      <c r="X21" s="330"/>
      <c r="Y21" s="330"/>
      <c r="Z21" s="330"/>
      <c r="AA21" s="330"/>
      <c r="AB21" s="330"/>
      <c r="AC21" s="330"/>
      <c r="AD21" s="330"/>
      <c r="AE21" s="330"/>
      <c r="AF21" s="330"/>
      <c r="AG21" s="329"/>
      <c r="AH21" s="329"/>
      <c r="AI21" s="329"/>
      <c r="AJ21" s="329"/>
      <c r="AK21" s="329"/>
      <c r="AL21" s="329"/>
      <c r="AM21" s="329"/>
      <c r="AN21" s="329"/>
      <c r="AO21" s="329"/>
      <c r="AP21" s="329"/>
      <c r="AQ21" s="329"/>
    </row>
    <row r="22" spans="1:43" ht="15.75" thickBot="1">
      <c r="A22" s="1727">
        <f t="shared" si="3"/>
        <v>12</v>
      </c>
      <c r="B22" s="2005" t="s">
        <v>1837</v>
      </c>
      <c r="C22" s="2044">
        <v>1900</v>
      </c>
      <c r="D22" s="2046">
        <v>2313</v>
      </c>
      <c r="E22" s="676">
        <v>0</v>
      </c>
      <c r="F22" s="1043">
        <f t="shared" si="0"/>
        <v>2313</v>
      </c>
      <c r="G22" s="2046">
        <v>72</v>
      </c>
      <c r="H22" s="1049">
        <v>0</v>
      </c>
      <c r="I22" s="2046">
        <v>90</v>
      </c>
      <c r="J22" s="677"/>
      <c r="K22" s="677"/>
      <c r="L22" s="677">
        <v>0</v>
      </c>
      <c r="M22" s="1052">
        <f t="shared" si="1"/>
        <v>2475</v>
      </c>
      <c r="N22" s="1903"/>
      <c r="O22" s="1935">
        <f>M22/N23</f>
        <v>0.8307459931190736</v>
      </c>
      <c r="P22" s="330"/>
      <c r="Q22" s="330"/>
      <c r="R22" s="330"/>
      <c r="S22" s="330"/>
      <c r="T22" s="330"/>
      <c r="U22" s="330"/>
      <c r="V22" s="330"/>
      <c r="W22" s="330"/>
      <c r="X22" s="330"/>
      <c r="Y22" s="330"/>
      <c r="Z22" s="330"/>
      <c r="AA22" s="330"/>
      <c r="AB22" s="330"/>
      <c r="AC22" s="330"/>
      <c r="AD22" s="330"/>
      <c r="AE22" s="330"/>
      <c r="AF22" s="330"/>
      <c r="AG22" s="329"/>
      <c r="AH22" s="329"/>
      <c r="AI22" s="329"/>
      <c r="AJ22" s="329"/>
      <c r="AK22" s="329"/>
      <c r="AL22" s="329"/>
      <c r="AM22" s="329"/>
      <c r="AN22" s="329"/>
      <c r="AO22" s="329"/>
      <c r="AP22" s="329"/>
      <c r="AQ22" s="329"/>
    </row>
    <row r="23" spans="1:43">
      <c r="A23" s="1727">
        <f t="shared" si="3"/>
        <v>13</v>
      </c>
      <c r="B23" s="612" t="s">
        <v>54</v>
      </c>
      <c r="C23" s="678"/>
      <c r="D23" s="1044">
        <f>SUM(D11:D22)</f>
        <v>32042</v>
      </c>
      <c r="E23" s="673" t="s">
        <v>1391</v>
      </c>
      <c r="F23" s="1042">
        <f t="shared" ref="F23:M23" si="4">SUM(F11:F22)</f>
        <v>32042</v>
      </c>
      <c r="G23" s="1047">
        <f t="shared" si="4"/>
        <v>986</v>
      </c>
      <c r="H23" s="1047">
        <f t="shared" si="4"/>
        <v>0</v>
      </c>
      <c r="I23" s="1042">
        <f t="shared" si="4"/>
        <v>1281</v>
      </c>
      <c r="J23" s="674">
        <f t="shared" si="4"/>
        <v>0</v>
      </c>
      <c r="K23" s="674">
        <f t="shared" si="4"/>
        <v>0</v>
      </c>
      <c r="L23" s="674">
        <f t="shared" si="4"/>
        <v>0</v>
      </c>
      <c r="M23" s="1047">
        <f t="shared" si="4"/>
        <v>34309</v>
      </c>
      <c r="N23" s="1048">
        <f>AVERAGE(N11:N18)</f>
        <v>2979.25</v>
      </c>
      <c r="O23" s="698"/>
      <c r="P23" s="330"/>
      <c r="Q23" s="330"/>
      <c r="R23" s="330"/>
      <c r="S23" s="330"/>
      <c r="T23" s="330"/>
      <c r="U23" s="330"/>
      <c r="V23" s="330"/>
      <c r="W23" s="330"/>
      <c r="X23" s="330"/>
      <c r="Y23" s="330"/>
      <c r="Z23" s="330"/>
      <c r="AA23" s="330"/>
      <c r="AB23" s="330"/>
      <c r="AC23" s="330"/>
      <c r="AD23" s="330"/>
      <c r="AE23" s="330"/>
      <c r="AF23" s="330"/>
      <c r="AG23" s="329"/>
      <c r="AH23" s="329"/>
      <c r="AI23" s="329"/>
      <c r="AJ23" s="329"/>
      <c r="AK23" s="329"/>
      <c r="AL23" s="329"/>
      <c r="AM23" s="329"/>
      <c r="AN23" s="329"/>
      <c r="AO23" s="329"/>
      <c r="AP23" s="329"/>
      <c r="AQ23" s="329"/>
    </row>
    <row r="24" spans="1:43">
      <c r="A24" s="1727">
        <f t="shared" si="3"/>
        <v>14</v>
      </c>
      <c r="B24" s="679" t="s">
        <v>1392</v>
      </c>
      <c r="C24" s="679"/>
      <c r="D24" s="1045">
        <f t="shared" ref="D24:M24" si="5">D23/12</f>
        <v>2670.1666666666665</v>
      </c>
      <c r="E24" s="680" t="s">
        <v>1391</v>
      </c>
      <c r="F24" s="1046">
        <f t="shared" si="5"/>
        <v>2670.1666666666665</v>
      </c>
      <c r="G24" s="1048">
        <f t="shared" si="5"/>
        <v>82.166666666666671</v>
      </c>
      <c r="H24" s="1048">
        <f t="shared" si="5"/>
        <v>0</v>
      </c>
      <c r="I24" s="1046">
        <f>I23/12</f>
        <v>106.75</v>
      </c>
      <c r="J24" s="675">
        <f t="shared" si="5"/>
        <v>0</v>
      </c>
      <c r="K24" s="675">
        <f t="shared" si="5"/>
        <v>0</v>
      </c>
      <c r="L24" s="675">
        <f t="shared" si="5"/>
        <v>0</v>
      </c>
      <c r="M24" s="1048">
        <f t="shared" si="5"/>
        <v>2859.0833333333335</v>
      </c>
      <c r="N24" s="1053"/>
      <c r="O24" s="699"/>
      <c r="P24" s="330"/>
      <c r="Q24" s="330"/>
      <c r="R24" s="330"/>
      <c r="S24" s="330"/>
      <c r="T24" s="330"/>
      <c r="U24" s="330"/>
      <c r="V24" s="330"/>
      <c r="W24" s="330"/>
      <c r="X24" s="330"/>
      <c r="Y24" s="330"/>
      <c r="Z24" s="330"/>
      <c r="AA24" s="330"/>
      <c r="AB24" s="330"/>
      <c r="AC24" s="330"/>
      <c r="AD24" s="330"/>
      <c r="AE24" s="330"/>
      <c r="AF24" s="330"/>
      <c r="AG24" s="329"/>
      <c r="AH24" s="329"/>
      <c r="AI24" s="329"/>
      <c r="AJ24" s="329"/>
      <c r="AK24" s="329"/>
      <c r="AL24" s="329"/>
      <c r="AM24" s="329"/>
      <c r="AN24" s="329"/>
      <c r="AO24" s="329"/>
      <c r="AP24" s="329"/>
      <c r="AQ24" s="329"/>
    </row>
    <row r="25" spans="1:43">
      <c r="B25" s="34"/>
      <c r="C25" s="34"/>
      <c r="O25" s="330"/>
      <c r="P25" s="330"/>
      <c r="Q25" s="330"/>
      <c r="R25" s="330"/>
      <c r="S25" s="330"/>
      <c r="T25" s="330"/>
      <c r="U25" s="330"/>
      <c r="V25" s="330"/>
      <c r="W25" s="330"/>
      <c r="X25" s="330"/>
      <c r="Y25" s="330"/>
      <c r="Z25" s="330"/>
      <c r="AA25" s="330"/>
      <c r="AB25" s="330"/>
      <c r="AC25" s="330"/>
      <c r="AD25" s="330"/>
      <c r="AE25" s="330"/>
      <c r="AF25" s="330"/>
      <c r="AG25" s="329"/>
      <c r="AH25" s="329"/>
      <c r="AI25" s="329"/>
      <c r="AJ25" s="329"/>
      <c r="AK25" s="329"/>
      <c r="AL25" s="329"/>
      <c r="AM25" s="329"/>
      <c r="AN25" s="329"/>
      <c r="AO25" s="329"/>
      <c r="AP25" s="329"/>
      <c r="AQ25" s="329"/>
    </row>
    <row r="26" spans="1:43">
      <c r="C26" s="38"/>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c r="AN26" s="329"/>
      <c r="AO26" s="329"/>
      <c r="AP26" s="329"/>
    </row>
    <row r="27" spans="1:43">
      <c r="C27" s="38"/>
      <c r="D27" s="329"/>
      <c r="E27" s="329"/>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c r="AN27" s="329"/>
      <c r="AO27" s="329"/>
      <c r="AP27" s="329"/>
    </row>
    <row r="28" spans="1:43">
      <c r="C28" s="38"/>
      <c r="D28" s="329"/>
      <c r="E28" s="329"/>
      <c r="F28" s="329"/>
      <c r="G28" s="329"/>
      <c r="H28" s="329"/>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c r="AN28" s="329"/>
      <c r="AO28" s="329"/>
      <c r="AP28" s="329"/>
    </row>
    <row r="29" spans="1:43" ht="15.75">
      <c r="B29" s="56" t="s">
        <v>1547</v>
      </c>
      <c r="C29" s="38"/>
      <c r="D29" s="329"/>
      <c r="E29" s="329"/>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row>
    <row r="30" spans="1:43" ht="46.5" customHeight="1">
      <c r="B30" s="1728" t="s">
        <v>1010</v>
      </c>
      <c r="C30" s="2168" t="s">
        <v>991</v>
      </c>
      <c r="D30" s="2133"/>
      <c r="E30" s="2133"/>
      <c r="F30" s="2133"/>
      <c r="G30" s="2133"/>
      <c r="H30" s="2133"/>
      <c r="I30" s="2133"/>
      <c r="J30" s="2133"/>
      <c r="K30" s="2133"/>
      <c r="L30" s="2133"/>
      <c r="M30" s="2133"/>
      <c r="N30" s="2133"/>
      <c r="O30" s="2133"/>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row>
    <row r="31" spans="1:43">
      <c r="C31" s="39"/>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row>
    <row r="32" spans="1:43">
      <c r="C32" s="38"/>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row>
    <row r="33" spans="3:42">
      <c r="C33" s="38"/>
      <c r="D33" s="329"/>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row>
    <row r="34" spans="3:42">
      <c r="C34" s="38"/>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row>
    <row r="35" spans="3:42">
      <c r="C35" s="38"/>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329"/>
      <c r="AP35" s="329"/>
    </row>
    <row r="36" spans="3:42">
      <c r="C36" s="38"/>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29"/>
      <c r="AN36" s="329"/>
      <c r="AO36" s="329"/>
      <c r="AP36" s="329"/>
    </row>
    <row r="37" spans="3:42">
      <c r="C37" s="38"/>
      <c r="D37" s="329"/>
      <c r="E37" s="329"/>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M37" s="329"/>
      <c r="AN37" s="329"/>
      <c r="AO37" s="329"/>
      <c r="AP37" s="329"/>
    </row>
    <row r="38" spans="3:42">
      <c r="C38" s="38"/>
      <c r="D38" s="329"/>
      <c r="E38" s="329"/>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329"/>
      <c r="AM38" s="329"/>
      <c r="AN38" s="329"/>
      <c r="AO38" s="329"/>
      <c r="AP38" s="329"/>
    </row>
    <row r="39" spans="3:42">
      <c r="C39" s="38"/>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29"/>
    </row>
    <row r="40" spans="3:42">
      <c r="C40" s="38"/>
      <c r="D40" s="329"/>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c r="AN40" s="329"/>
      <c r="AO40" s="329"/>
      <c r="AP40" s="329"/>
    </row>
    <row r="41" spans="3:42">
      <c r="C41" s="38"/>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c r="AP41" s="329"/>
    </row>
    <row r="42" spans="3:42">
      <c r="C42" s="38"/>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c r="AN42" s="329"/>
      <c r="AO42" s="329"/>
      <c r="AP42" s="329"/>
    </row>
    <row r="43" spans="3:42">
      <c r="C43" s="38"/>
      <c r="D43" s="329"/>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29"/>
      <c r="AO43" s="329"/>
      <c r="AP43" s="329"/>
    </row>
    <row r="44" spans="3:42">
      <c r="C44" s="38"/>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29"/>
      <c r="AP44" s="329"/>
    </row>
    <row r="45" spans="3:42">
      <c r="C45" s="38"/>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29"/>
      <c r="AK45" s="329"/>
      <c r="AL45" s="329"/>
      <c r="AM45" s="329"/>
      <c r="AN45" s="329"/>
      <c r="AO45" s="329"/>
      <c r="AP45" s="329"/>
    </row>
    <row r="46" spans="3:42">
      <c r="C46" s="38"/>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row>
    <row r="47" spans="3:42">
      <c r="C47" s="38"/>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row>
    <row r="48" spans="3:42">
      <c r="C48" s="38"/>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row>
    <row r="49" spans="3:42">
      <c r="C49" s="38"/>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29"/>
      <c r="AM49" s="329"/>
      <c r="AN49" s="329"/>
      <c r="AO49" s="329"/>
      <c r="AP49" s="329"/>
    </row>
    <row r="50" spans="3:42">
      <c r="C50" s="38"/>
      <c r="D50" s="329"/>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row>
    <row r="51" spans="3:42">
      <c r="C51" s="38"/>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row>
    <row r="52" spans="3:42">
      <c r="C52" s="38"/>
      <c r="D52" s="329"/>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row>
    <row r="53" spans="3:42">
      <c r="C53" s="38"/>
      <c r="D53" s="329"/>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29"/>
      <c r="AH53" s="329"/>
      <c r="AI53" s="329"/>
      <c r="AJ53" s="329"/>
      <c r="AK53" s="329"/>
      <c r="AL53" s="329"/>
      <c r="AM53" s="329"/>
      <c r="AN53" s="329"/>
      <c r="AO53" s="329"/>
      <c r="AP53" s="329"/>
    </row>
    <row r="54" spans="3:42">
      <c r="C54" s="38"/>
      <c r="D54" s="329"/>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c r="AN54" s="329"/>
      <c r="AO54" s="329"/>
      <c r="AP54" s="329"/>
    </row>
    <row r="55" spans="3:42">
      <c r="C55" s="38"/>
      <c r="D55" s="329"/>
      <c r="E55" s="329"/>
      <c r="F55" s="329"/>
      <c r="G55" s="329"/>
      <c r="H55" s="329"/>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329"/>
      <c r="AM55" s="329"/>
      <c r="AN55" s="329"/>
      <c r="AO55" s="329"/>
      <c r="AP55" s="329"/>
    </row>
    <row r="56" spans="3:42">
      <c r="C56" s="38"/>
      <c r="D56" s="329"/>
      <c r="E56" s="329"/>
      <c r="F56" s="329"/>
      <c r="G56" s="329"/>
      <c r="H56" s="329"/>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9"/>
      <c r="AL56" s="329"/>
      <c r="AM56" s="329"/>
      <c r="AN56" s="329"/>
      <c r="AO56" s="329"/>
      <c r="AP56" s="329"/>
    </row>
    <row r="57" spans="3:42">
      <c r="C57" s="38"/>
      <c r="D57" s="329"/>
      <c r="E57" s="329"/>
      <c r="F57" s="329"/>
      <c r="G57" s="329"/>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29"/>
      <c r="AH57" s="329"/>
      <c r="AI57" s="329"/>
      <c r="AJ57" s="329"/>
      <c r="AK57" s="329"/>
      <c r="AL57" s="329"/>
      <c r="AM57" s="329"/>
      <c r="AN57" s="329"/>
      <c r="AO57" s="329"/>
      <c r="AP57" s="329"/>
    </row>
    <row r="58" spans="3:42">
      <c r="C58" s="38"/>
      <c r="D58" s="329"/>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29"/>
      <c r="AL58" s="329"/>
      <c r="AM58" s="329"/>
      <c r="AN58" s="329"/>
      <c r="AO58" s="329"/>
      <c r="AP58" s="329"/>
    </row>
    <row r="59" spans="3:42">
      <c r="C59" s="38"/>
      <c r="D59" s="329"/>
      <c r="E59" s="329"/>
      <c r="F59" s="329"/>
      <c r="G59" s="329"/>
      <c r="H59" s="329"/>
      <c r="I59" s="329"/>
      <c r="J59" s="329"/>
      <c r="K59" s="329"/>
      <c r="L59" s="329"/>
      <c r="M59" s="329"/>
      <c r="N59" s="329"/>
      <c r="O59" s="329"/>
      <c r="P59" s="329"/>
      <c r="Q59" s="329"/>
      <c r="R59" s="329"/>
      <c r="S59" s="329"/>
      <c r="T59" s="329"/>
      <c r="U59" s="329"/>
      <c r="V59" s="329"/>
      <c r="W59" s="329"/>
      <c r="X59" s="329"/>
      <c r="Y59" s="329"/>
      <c r="Z59" s="329"/>
      <c r="AA59" s="329"/>
      <c r="AB59" s="329"/>
      <c r="AC59" s="329"/>
      <c r="AD59" s="329"/>
      <c r="AE59" s="329"/>
      <c r="AF59" s="329"/>
      <c r="AG59" s="329"/>
      <c r="AH59" s="329"/>
      <c r="AI59" s="329"/>
      <c r="AJ59" s="329"/>
      <c r="AK59" s="329"/>
      <c r="AL59" s="329"/>
      <c r="AM59" s="329"/>
      <c r="AN59" s="329"/>
      <c r="AO59" s="329"/>
      <c r="AP59" s="329"/>
    </row>
    <row r="60" spans="3:42">
      <c r="C60" s="38"/>
      <c r="D60" s="329"/>
      <c r="E60" s="329"/>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29"/>
      <c r="AK60" s="329"/>
      <c r="AL60" s="329"/>
      <c r="AM60" s="329"/>
      <c r="AN60" s="329"/>
      <c r="AO60" s="329"/>
      <c r="AP60" s="329"/>
    </row>
    <row r="61" spans="3:42">
      <c r="C61" s="38"/>
      <c r="D61" s="329"/>
      <c r="E61" s="329"/>
      <c r="F61" s="329"/>
      <c r="G61" s="329"/>
      <c r="H61" s="329"/>
      <c r="I61" s="329"/>
      <c r="J61" s="329"/>
      <c r="K61" s="329"/>
      <c r="L61" s="329"/>
      <c r="M61" s="329"/>
      <c r="N61" s="329"/>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row>
    <row r="62" spans="3:42">
      <c r="C62" s="38"/>
      <c r="D62" s="329"/>
      <c r="E62" s="329"/>
      <c r="F62" s="329"/>
      <c r="G62" s="329"/>
      <c r="H62" s="329"/>
      <c r="I62" s="329"/>
      <c r="J62" s="329"/>
      <c r="K62" s="329"/>
      <c r="L62" s="329"/>
      <c r="M62" s="329"/>
      <c r="N62" s="329"/>
      <c r="O62" s="329"/>
      <c r="P62" s="329"/>
      <c r="Q62" s="329"/>
      <c r="R62" s="329"/>
      <c r="S62" s="329"/>
      <c r="T62" s="329"/>
      <c r="U62" s="329"/>
      <c r="V62" s="329"/>
      <c r="W62" s="329"/>
      <c r="X62" s="329"/>
      <c r="Y62" s="329"/>
      <c r="Z62" s="329"/>
      <c r="AA62" s="329"/>
      <c r="AB62" s="329"/>
      <c r="AC62" s="329"/>
      <c r="AD62" s="329"/>
      <c r="AE62" s="329"/>
      <c r="AF62" s="329"/>
      <c r="AG62" s="329"/>
      <c r="AH62" s="329"/>
      <c r="AI62" s="329"/>
      <c r="AJ62" s="329"/>
      <c r="AK62" s="329"/>
      <c r="AL62" s="329"/>
      <c r="AM62" s="329"/>
      <c r="AN62" s="329"/>
      <c r="AO62" s="329"/>
      <c r="AP62" s="329"/>
    </row>
    <row r="63" spans="3:42">
      <c r="C63" s="38"/>
      <c r="D63" s="329"/>
      <c r="E63" s="329"/>
      <c r="F63" s="329"/>
      <c r="G63" s="329"/>
      <c r="H63" s="329"/>
      <c r="I63" s="329"/>
      <c r="J63" s="329"/>
      <c r="K63" s="329"/>
      <c r="L63" s="329"/>
      <c r="M63" s="329"/>
      <c r="N63" s="329"/>
      <c r="O63" s="329"/>
      <c r="P63" s="329"/>
      <c r="Q63" s="329"/>
      <c r="R63" s="329"/>
      <c r="S63" s="329"/>
      <c r="T63" s="329"/>
      <c r="U63" s="329"/>
      <c r="V63" s="329"/>
      <c r="W63" s="329"/>
      <c r="X63" s="329"/>
      <c r="Y63" s="329"/>
      <c r="Z63" s="329"/>
      <c r="AA63" s="329"/>
      <c r="AB63" s="329"/>
      <c r="AC63" s="329"/>
      <c r="AD63" s="329"/>
      <c r="AE63" s="329"/>
      <c r="AF63" s="329"/>
      <c r="AG63" s="329"/>
      <c r="AH63" s="329"/>
      <c r="AI63" s="329"/>
      <c r="AJ63" s="329"/>
      <c r="AK63" s="329"/>
      <c r="AL63" s="329"/>
      <c r="AM63" s="329"/>
      <c r="AN63" s="329"/>
      <c r="AO63" s="329"/>
      <c r="AP63" s="329"/>
    </row>
    <row r="64" spans="3:42">
      <c r="C64" s="38"/>
      <c r="D64" s="329"/>
      <c r="E64" s="329"/>
      <c r="F64" s="329"/>
      <c r="G64" s="329"/>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row>
    <row r="65" spans="3:42">
      <c r="C65" s="38"/>
      <c r="D65" s="329"/>
      <c r="E65" s="329"/>
      <c r="F65" s="329"/>
      <c r="G65" s="329"/>
      <c r="H65" s="329"/>
      <c r="I65" s="329"/>
      <c r="J65" s="329"/>
      <c r="K65" s="329"/>
      <c r="L65" s="329"/>
      <c r="M65" s="329"/>
      <c r="N65" s="329"/>
      <c r="O65" s="329"/>
      <c r="P65" s="329"/>
      <c r="Q65" s="329"/>
      <c r="R65" s="329"/>
      <c r="S65" s="329"/>
      <c r="T65" s="329"/>
      <c r="U65" s="329"/>
      <c r="V65" s="329"/>
      <c r="W65" s="329"/>
      <c r="X65" s="329"/>
      <c r="Y65" s="329"/>
      <c r="Z65" s="329"/>
      <c r="AA65" s="329"/>
      <c r="AB65" s="329"/>
      <c r="AC65" s="329"/>
      <c r="AD65" s="329"/>
      <c r="AE65" s="329"/>
      <c r="AF65" s="329"/>
      <c r="AG65" s="329"/>
      <c r="AH65" s="329"/>
      <c r="AI65" s="329"/>
      <c r="AJ65" s="329"/>
      <c r="AK65" s="329"/>
      <c r="AL65" s="329"/>
      <c r="AM65" s="329"/>
      <c r="AN65" s="329"/>
      <c r="AO65" s="329"/>
      <c r="AP65" s="329"/>
    </row>
    <row r="66" spans="3:42">
      <c r="C66" s="38"/>
      <c r="D66" s="329"/>
      <c r="E66" s="329"/>
      <c r="F66" s="329"/>
      <c r="G66" s="329"/>
      <c r="H66" s="329"/>
      <c r="I66" s="329"/>
      <c r="J66" s="329"/>
      <c r="K66" s="329"/>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K66" s="329"/>
      <c r="AL66" s="329"/>
      <c r="AM66" s="329"/>
      <c r="AN66" s="329"/>
      <c r="AO66" s="329"/>
      <c r="AP66" s="329"/>
    </row>
    <row r="67" spans="3:42">
      <c r="C67" s="38"/>
      <c r="D67" s="329"/>
      <c r="E67" s="329"/>
      <c r="F67" s="329"/>
      <c r="G67" s="329"/>
      <c r="H67" s="329"/>
      <c r="I67" s="329"/>
      <c r="J67" s="329"/>
      <c r="K67" s="329"/>
      <c r="L67" s="329"/>
      <c r="M67" s="329"/>
      <c r="N67" s="329"/>
      <c r="O67" s="329"/>
      <c r="P67" s="329"/>
      <c r="Q67" s="329"/>
      <c r="R67" s="329"/>
      <c r="S67" s="329"/>
      <c r="T67" s="329"/>
      <c r="U67" s="329"/>
      <c r="V67" s="329"/>
      <c r="W67" s="329"/>
      <c r="X67" s="329"/>
      <c r="Y67" s="329"/>
      <c r="Z67" s="329"/>
      <c r="AA67" s="329"/>
      <c r="AB67" s="329"/>
      <c r="AC67" s="329"/>
      <c r="AD67" s="329"/>
      <c r="AE67" s="329"/>
      <c r="AF67" s="329"/>
      <c r="AG67" s="329"/>
      <c r="AH67" s="329"/>
      <c r="AI67" s="329"/>
      <c r="AJ67" s="329"/>
      <c r="AK67" s="329"/>
      <c r="AL67" s="329"/>
      <c r="AM67" s="329"/>
      <c r="AN67" s="329"/>
      <c r="AO67" s="329"/>
      <c r="AP67" s="329"/>
    </row>
    <row r="68" spans="3:42">
      <c r="C68" s="38"/>
      <c r="D68" s="329"/>
      <c r="E68" s="329"/>
      <c r="F68" s="329"/>
      <c r="G68" s="329"/>
      <c r="H68" s="329"/>
      <c r="I68" s="329"/>
      <c r="J68" s="329"/>
      <c r="K68" s="329"/>
      <c r="L68" s="329"/>
      <c r="M68" s="329"/>
      <c r="N68" s="329"/>
      <c r="O68" s="329"/>
      <c r="P68" s="329"/>
      <c r="Q68" s="329"/>
      <c r="R68" s="329"/>
      <c r="S68" s="329"/>
      <c r="T68" s="329"/>
      <c r="U68" s="329"/>
      <c r="V68" s="329"/>
      <c r="W68" s="329"/>
      <c r="X68" s="329"/>
      <c r="Y68" s="329"/>
      <c r="Z68" s="329"/>
      <c r="AA68" s="329"/>
      <c r="AB68" s="329"/>
      <c r="AC68" s="329"/>
      <c r="AD68" s="329"/>
      <c r="AE68" s="329"/>
      <c r="AF68" s="329"/>
      <c r="AG68" s="329"/>
      <c r="AH68" s="329"/>
      <c r="AI68" s="329"/>
      <c r="AJ68" s="329"/>
      <c r="AK68" s="329"/>
      <c r="AL68" s="329"/>
      <c r="AM68" s="329"/>
      <c r="AN68" s="329"/>
      <c r="AO68" s="329"/>
      <c r="AP68" s="329"/>
    </row>
    <row r="69" spans="3:42">
      <c r="C69" s="38"/>
      <c r="D69" s="329"/>
      <c r="E69" s="329"/>
      <c r="F69" s="329"/>
      <c r="G69" s="329"/>
      <c r="H69" s="329"/>
      <c r="I69" s="329"/>
      <c r="J69" s="329"/>
      <c r="K69" s="329"/>
      <c r="L69" s="329"/>
      <c r="M69" s="329"/>
      <c r="N69" s="329"/>
      <c r="O69" s="329"/>
      <c r="P69" s="329"/>
      <c r="Q69" s="329"/>
      <c r="R69" s="329"/>
      <c r="S69" s="329"/>
      <c r="T69" s="329"/>
      <c r="U69" s="329"/>
      <c r="V69" s="329"/>
      <c r="W69" s="329"/>
      <c r="X69" s="329"/>
      <c r="Y69" s="329"/>
      <c r="Z69" s="329"/>
      <c r="AA69" s="329"/>
      <c r="AB69" s="329"/>
      <c r="AC69" s="329"/>
      <c r="AD69" s="329"/>
      <c r="AE69" s="329"/>
      <c r="AF69" s="329"/>
      <c r="AG69" s="329"/>
      <c r="AH69" s="329"/>
      <c r="AI69" s="329"/>
      <c r="AJ69" s="329"/>
      <c r="AK69" s="329"/>
      <c r="AL69" s="329"/>
      <c r="AM69" s="329"/>
      <c r="AN69" s="329"/>
      <c r="AO69" s="329"/>
      <c r="AP69" s="329"/>
    </row>
    <row r="70" spans="3:42">
      <c r="C70" s="38"/>
      <c r="D70" s="329"/>
      <c r="E70" s="329"/>
      <c r="F70" s="329"/>
      <c r="G70" s="329"/>
      <c r="H70" s="329"/>
      <c r="I70" s="329"/>
      <c r="J70" s="329"/>
      <c r="K70" s="329"/>
      <c r="L70" s="329"/>
      <c r="M70" s="329"/>
      <c r="N70" s="329"/>
      <c r="O70" s="329"/>
      <c r="P70" s="329"/>
      <c r="Q70" s="329"/>
      <c r="R70" s="329"/>
      <c r="S70" s="329"/>
      <c r="T70" s="329"/>
      <c r="U70" s="329"/>
      <c r="V70" s="329"/>
      <c r="W70" s="329"/>
      <c r="X70" s="329"/>
      <c r="Y70" s="329"/>
      <c r="Z70" s="329"/>
      <c r="AA70" s="329"/>
      <c r="AB70" s="329"/>
      <c r="AC70" s="329"/>
      <c r="AD70" s="329"/>
      <c r="AE70" s="329"/>
      <c r="AF70" s="329"/>
      <c r="AG70" s="329"/>
      <c r="AH70" s="329"/>
      <c r="AI70" s="329"/>
      <c r="AJ70" s="329"/>
      <c r="AK70" s="329"/>
      <c r="AL70" s="329"/>
      <c r="AM70" s="329"/>
      <c r="AN70" s="329"/>
      <c r="AO70" s="329"/>
      <c r="AP70" s="329"/>
    </row>
    <row r="71" spans="3:42">
      <c r="C71" s="38"/>
      <c r="D71" s="329"/>
      <c r="E71" s="329"/>
      <c r="F71" s="329"/>
      <c r="G71" s="329"/>
      <c r="H71" s="329"/>
      <c r="I71" s="329"/>
      <c r="J71" s="329"/>
      <c r="K71" s="329"/>
      <c r="L71" s="329"/>
      <c r="M71" s="329"/>
      <c r="N71" s="329"/>
      <c r="O71" s="329"/>
      <c r="P71" s="329"/>
      <c r="Q71" s="329"/>
      <c r="R71" s="329"/>
      <c r="S71" s="329"/>
      <c r="T71" s="329"/>
      <c r="U71" s="329"/>
      <c r="V71" s="329"/>
      <c r="W71" s="329"/>
      <c r="X71" s="329"/>
      <c r="Y71" s="329"/>
      <c r="Z71" s="329"/>
      <c r="AA71" s="329"/>
      <c r="AB71" s="329"/>
      <c r="AC71" s="329"/>
      <c r="AD71" s="329"/>
      <c r="AE71" s="329"/>
      <c r="AF71" s="329"/>
      <c r="AG71" s="329"/>
      <c r="AH71" s="329"/>
      <c r="AI71" s="329"/>
      <c r="AJ71" s="329"/>
      <c r="AK71" s="329"/>
      <c r="AL71" s="329"/>
      <c r="AM71" s="329"/>
      <c r="AN71" s="329"/>
      <c r="AO71" s="329"/>
      <c r="AP71" s="329"/>
    </row>
    <row r="72" spans="3:42">
      <c r="C72" s="38"/>
      <c r="D72" s="329"/>
      <c r="E72" s="329"/>
      <c r="F72" s="329"/>
      <c r="G72" s="329"/>
      <c r="H72" s="329"/>
      <c r="I72" s="329"/>
      <c r="J72" s="329"/>
      <c r="K72" s="329"/>
      <c r="L72" s="329"/>
      <c r="M72" s="329"/>
      <c r="N72" s="329"/>
      <c r="O72" s="329"/>
      <c r="P72" s="329"/>
      <c r="Q72" s="329"/>
      <c r="R72" s="329"/>
      <c r="S72" s="329"/>
      <c r="T72" s="329"/>
      <c r="U72" s="329"/>
      <c r="V72" s="329"/>
      <c r="W72" s="329"/>
      <c r="X72" s="329"/>
      <c r="Y72" s="329"/>
      <c r="Z72" s="329"/>
      <c r="AA72" s="329"/>
      <c r="AB72" s="329"/>
      <c r="AC72" s="329"/>
      <c r="AD72" s="329"/>
      <c r="AE72" s="329"/>
      <c r="AF72" s="329"/>
      <c r="AG72" s="329"/>
      <c r="AH72" s="329"/>
      <c r="AI72" s="329"/>
      <c r="AJ72" s="329"/>
      <c r="AK72" s="329"/>
      <c r="AL72" s="329"/>
      <c r="AM72" s="329"/>
      <c r="AN72" s="329"/>
      <c r="AO72" s="329"/>
      <c r="AP72" s="329"/>
    </row>
    <row r="73" spans="3:42">
      <c r="C73" s="38"/>
      <c r="D73" s="329"/>
      <c r="E73" s="329"/>
      <c r="F73" s="329"/>
      <c r="G73" s="329"/>
      <c r="H73" s="329"/>
      <c r="I73" s="329"/>
      <c r="J73" s="329"/>
      <c r="K73" s="329"/>
      <c r="L73" s="329"/>
      <c r="M73" s="329"/>
      <c r="N73" s="329"/>
      <c r="O73" s="329"/>
      <c r="P73" s="329"/>
      <c r="Q73" s="329"/>
      <c r="R73" s="329"/>
      <c r="S73" s="329"/>
      <c r="T73" s="329"/>
      <c r="U73" s="329"/>
      <c r="V73" s="329"/>
      <c r="W73" s="329"/>
      <c r="X73" s="329"/>
      <c r="Y73" s="329"/>
      <c r="Z73" s="329"/>
      <c r="AA73" s="329"/>
      <c r="AB73" s="329"/>
      <c r="AC73" s="329"/>
      <c r="AD73" s="329"/>
      <c r="AE73" s="329"/>
      <c r="AF73" s="329"/>
      <c r="AG73" s="329"/>
      <c r="AH73" s="329"/>
      <c r="AI73" s="329"/>
      <c r="AJ73" s="329"/>
      <c r="AK73" s="329"/>
      <c r="AL73" s="329"/>
      <c r="AM73" s="329"/>
      <c r="AN73" s="329"/>
      <c r="AO73" s="329"/>
      <c r="AP73" s="329"/>
    </row>
    <row r="74" spans="3:42">
      <c r="C74" s="38"/>
      <c r="D74" s="329"/>
      <c r="E74" s="329"/>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329"/>
      <c r="AM74" s="329"/>
      <c r="AN74" s="329"/>
      <c r="AO74" s="329"/>
      <c r="AP74" s="329"/>
    </row>
    <row r="75" spans="3:42">
      <c r="C75" s="38"/>
      <c r="D75" s="329"/>
      <c r="E75" s="329"/>
      <c r="F75" s="329"/>
      <c r="G75" s="329"/>
      <c r="H75" s="329"/>
      <c r="I75" s="329"/>
      <c r="J75" s="329"/>
      <c r="K75" s="329"/>
      <c r="L75" s="329"/>
      <c r="M75" s="329"/>
      <c r="N75" s="329"/>
      <c r="O75" s="329"/>
      <c r="P75" s="329"/>
      <c r="Q75" s="329"/>
      <c r="R75" s="329"/>
      <c r="S75" s="329"/>
      <c r="T75" s="329"/>
      <c r="U75" s="329"/>
      <c r="V75" s="329"/>
      <c r="W75" s="329"/>
      <c r="X75" s="329"/>
      <c r="Y75" s="329"/>
      <c r="Z75" s="329"/>
      <c r="AA75" s="329"/>
      <c r="AB75" s="329"/>
      <c r="AC75" s="329"/>
      <c r="AD75" s="329"/>
      <c r="AE75" s="329"/>
      <c r="AF75" s="329"/>
      <c r="AG75" s="329"/>
      <c r="AH75" s="329"/>
      <c r="AI75" s="329"/>
      <c r="AJ75" s="329"/>
      <c r="AK75" s="329"/>
      <c r="AL75" s="329"/>
      <c r="AM75" s="329"/>
      <c r="AN75" s="329"/>
      <c r="AO75" s="329"/>
      <c r="AP75" s="329"/>
    </row>
    <row r="76" spans="3:42">
      <c r="C76" s="38"/>
      <c r="D76" s="329"/>
      <c r="E76" s="329"/>
      <c r="F76" s="329"/>
      <c r="G76" s="329"/>
      <c r="H76" s="329"/>
      <c r="I76" s="329"/>
      <c r="J76" s="329"/>
      <c r="K76" s="329"/>
      <c r="L76" s="329"/>
      <c r="M76" s="329"/>
      <c r="N76" s="329"/>
      <c r="O76" s="329"/>
      <c r="P76" s="329"/>
      <c r="Q76" s="329"/>
      <c r="R76" s="329"/>
      <c r="S76" s="329"/>
      <c r="T76" s="329"/>
      <c r="U76" s="329"/>
      <c r="V76" s="329"/>
      <c r="W76" s="329"/>
      <c r="X76" s="329"/>
      <c r="Y76" s="329"/>
      <c r="Z76" s="329"/>
      <c r="AA76" s="329"/>
      <c r="AB76" s="329"/>
      <c r="AC76" s="329"/>
      <c r="AD76" s="329"/>
      <c r="AE76" s="329"/>
      <c r="AF76" s="329"/>
      <c r="AG76" s="329"/>
      <c r="AH76" s="329"/>
      <c r="AI76" s="329"/>
      <c r="AJ76" s="329"/>
      <c r="AK76" s="329"/>
      <c r="AL76" s="329"/>
      <c r="AM76" s="329"/>
      <c r="AN76" s="329"/>
      <c r="AO76" s="329"/>
      <c r="AP76" s="329"/>
    </row>
    <row r="77" spans="3:42">
      <c r="C77" s="38"/>
      <c r="D77" s="329"/>
      <c r="E77" s="329"/>
      <c r="F77" s="329"/>
      <c r="G77" s="329"/>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29"/>
      <c r="AK77" s="329"/>
      <c r="AL77" s="329"/>
      <c r="AM77" s="329"/>
      <c r="AN77" s="329"/>
      <c r="AO77" s="329"/>
      <c r="AP77" s="329"/>
    </row>
    <row r="78" spans="3:42">
      <c r="C78" s="38"/>
      <c r="D78" s="329"/>
      <c r="E78" s="329"/>
      <c r="F78" s="329"/>
      <c r="G78" s="329"/>
      <c r="H78" s="329"/>
      <c r="I78" s="329"/>
      <c r="J78" s="329"/>
      <c r="K78" s="329"/>
      <c r="L78" s="329"/>
      <c r="M78" s="329"/>
      <c r="N78" s="329"/>
      <c r="O78" s="329"/>
      <c r="P78" s="329"/>
      <c r="Q78" s="329"/>
      <c r="R78" s="329"/>
      <c r="S78" s="329"/>
      <c r="T78" s="329"/>
      <c r="U78" s="329"/>
      <c r="V78" s="329"/>
      <c r="W78" s="329"/>
      <c r="X78" s="329"/>
      <c r="Y78" s="329"/>
      <c r="Z78" s="329"/>
      <c r="AA78" s="329"/>
      <c r="AB78" s="329"/>
      <c r="AC78" s="329"/>
      <c r="AD78" s="329"/>
      <c r="AE78" s="329"/>
      <c r="AF78" s="329"/>
      <c r="AG78" s="329"/>
      <c r="AH78" s="329"/>
      <c r="AI78" s="329"/>
      <c r="AJ78" s="329"/>
      <c r="AK78" s="329"/>
      <c r="AL78" s="329"/>
      <c r="AM78" s="329"/>
      <c r="AN78" s="329"/>
      <c r="AO78" s="329"/>
      <c r="AP78" s="329"/>
    </row>
    <row r="79" spans="3:42">
      <c r="C79" s="38"/>
      <c r="D79" s="329"/>
      <c r="E79" s="329"/>
      <c r="F79" s="329"/>
      <c r="G79" s="329"/>
      <c r="H79" s="329"/>
      <c r="I79" s="329"/>
      <c r="J79" s="329"/>
      <c r="K79" s="329"/>
      <c r="L79" s="329"/>
      <c r="M79" s="329"/>
      <c r="N79" s="329"/>
      <c r="O79" s="329"/>
      <c r="P79" s="329"/>
      <c r="Q79" s="329"/>
      <c r="R79" s="329"/>
      <c r="S79" s="329"/>
      <c r="T79" s="329"/>
      <c r="U79" s="329"/>
      <c r="V79" s="329"/>
      <c r="W79" s="329"/>
      <c r="X79" s="329"/>
      <c r="Y79" s="329"/>
      <c r="Z79" s="329"/>
      <c r="AA79" s="329"/>
      <c r="AB79" s="329"/>
      <c r="AC79" s="329"/>
      <c r="AD79" s="329"/>
      <c r="AE79" s="329"/>
      <c r="AF79" s="329"/>
      <c r="AG79" s="329"/>
      <c r="AH79" s="329"/>
      <c r="AI79" s="329"/>
      <c r="AJ79" s="329"/>
      <c r="AK79" s="329"/>
      <c r="AL79" s="329"/>
      <c r="AM79" s="329"/>
      <c r="AN79" s="329"/>
      <c r="AO79" s="329"/>
      <c r="AP79" s="329"/>
    </row>
    <row r="80" spans="3:42">
      <c r="C80" s="38"/>
      <c r="D80" s="329"/>
      <c r="E80" s="329"/>
      <c r="F80" s="329"/>
      <c r="G80" s="329"/>
      <c r="H80" s="329"/>
      <c r="I80" s="329"/>
      <c r="J80" s="329"/>
      <c r="K80" s="329"/>
      <c r="L80" s="329"/>
      <c r="M80" s="329"/>
      <c r="N80" s="329"/>
      <c r="O80" s="329"/>
      <c r="P80" s="329"/>
      <c r="Q80" s="329"/>
      <c r="R80" s="329"/>
      <c r="S80" s="329"/>
      <c r="T80" s="329"/>
      <c r="U80" s="329"/>
      <c r="V80" s="329"/>
      <c r="W80" s="329"/>
      <c r="X80" s="329"/>
      <c r="Y80" s="329"/>
      <c r="Z80" s="329"/>
      <c r="AA80" s="329"/>
      <c r="AB80" s="329"/>
      <c r="AC80" s="329"/>
      <c r="AD80" s="329"/>
      <c r="AE80" s="329"/>
      <c r="AF80" s="329"/>
      <c r="AG80" s="329"/>
      <c r="AH80" s="329"/>
      <c r="AI80" s="329"/>
      <c r="AJ80" s="329"/>
      <c r="AK80" s="329"/>
      <c r="AL80" s="329"/>
      <c r="AM80" s="329"/>
      <c r="AN80" s="329"/>
      <c r="AO80" s="329"/>
      <c r="AP80" s="329"/>
    </row>
    <row r="81" spans="3:42">
      <c r="C81" s="38"/>
      <c r="D81" s="329"/>
      <c r="E81" s="329"/>
      <c r="F81" s="329"/>
      <c r="G81" s="329"/>
      <c r="H81" s="329"/>
      <c r="I81" s="329"/>
      <c r="J81" s="329"/>
      <c r="K81" s="329"/>
      <c r="L81" s="329"/>
      <c r="M81" s="329"/>
      <c r="N81" s="329"/>
      <c r="O81" s="329"/>
      <c r="P81" s="329"/>
      <c r="Q81" s="329"/>
      <c r="R81" s="329"/>
      <c r="S81" s="329"/>
      <c r="T81" s="329"/>
      <c r="U81" s="329"/>
      <c r="V81" s="329"/>
      <c r="W81" s="329"/>
      <c r="X81" s="329"/>
      <c r="Y81" s="329"/>
      <c r="Z81" s="329"/>
      <c r="AA81" s="329"/>
      <c r="AB81" s="329"/>
      <c r="AC81" s="329"/>
      <c r="AD81" s="329"/>
      <c r="AE81" s="329"/>
      <c r="AF81" s="329"/>
      <c r="AG81" s="329"/>
      <c r="AH81" s="329"/>
      <c r="AI81" s="329"/>
      <c r="AJ81" s="329"/>
      <c r="AK81" s="329"/>
      <c r="AL81" s="329"/>
      <c r="AM81" s="329"/>
      <c r="AN81" s="329"/>
      <c r="AO81" s="329"/>
      <c r="AP81" s="329"/>
    </row>
    <row r="82" spans="3:42">
      <c r="C82" s="38"/>
      <c r="D82" s="329"/>
      <c r="E82" s="329"/>
      <c r="F82" s="329"/>
      <c r="G82" s="329"/>
      <c r="H82" s="329"/>
      <c r="I82" s="329"/>
      <c r="J82" s="329"/>
      <c r="K82" s="329"/>
      <c r="L82" s="329"/>
      <c r="M82" s="329"/>
      <c r="N82" s="329"/>
      <c r="O82" s="329"/>
      <c r="P82" s="329"/>
      <c r="Q82" s="329"/>
      <c r="R82" s="329"/>
      <c r="S82" s="329"/>
      <c r="T82" s="329"/>
      <c r="U82" s="329"/>
      <c r="V82" s="329"/>
      <c r="W82" s="329"/>
      <c r="X82" s="329"/>
      <c r="Y82" s="329"/>
      <c r="Z82" s="329"/>
      <c r="AA82" s="329"/>
      <c r="AB82" s="329"/>
      <c r="AC82" s="329"/>
      <c r="AD82" s="329"/>
      <c r="AE82" s="329"/>
      <c r="AF82" s="329"/>
      <c r="AG82" s="329"/>
      <c r="AH82" s="329"/>
      <c r="AI82" s="329"/>
      <c r="AJ82" s="329"/>
      <c r="AK82" s="329"/>
      <c r="AL82" s="329"/>
      <c r="AM82" s="329"/>
      <c r="AN82" s="329"/>
      <c r="AO82" s="329"/>
      <c r="AP82" s="329"/>
    </row>
    <row r="83" spans="3:42">
      <c r="C83" s="38"/>
      <c r="D83" s="329"/>
      <c r="E83" s="329"/>
      <c r="F83" s="329"/>
      <c r="G83" s="329"/>
      <c r="H83" s="329"/>
      <c r="I83" s="329"/>
      <c r="J83" s="329"/>
      <c r="K83" s="329"/>
      <c r="L83" s="329"/>
      <c r="M83" s="329"/>
      <c r="N83" s="329"/>
      <c r="O83" s="329"/>
      <c r="P83" s="329"/>
      <c r="Q83" s="329"/>
      <c r="R83" s="329"/>
      <c r="S83" s="329"/>
      <c r="T83" s="329"/>
      <c r="U83" s="329"/>
      <c r="V83" s="329"/>
      <c r="W83" s="329"/>
      <c r="X83" s="329"/>
      <c r="Y83" s="329"/>
      <c r="Z83" s="329"/>
      <c r="AA83" s="329"/>
      <c r="AB83" s="329"/>
      <c r="AC83" s="329"/>
      <c r="AD83" s="329"/>
      <c r="AE83" s="329"/>
      <c r="AF83" s="329"/>
      <c r="AG83" s="329"/>
      <c r="AH83" s="329"/>
      <c r="AI83" s="329"/>
      <c r="AJ83" s="329"/>
      <c r="AK83" s="329"/>
      <c r="AL83" s="329"/>
      <c r="AM83" s="329"/>
      <c r="AN83" s="329"/>
      <c r="AO83" s="329"/>
      <c r="AP83" s="329"/>
    </row>
    <row r="84" spans="3:42">
      <c r="C84" s="38"/>
      <c r="D84" s="329"/>
      <c r="E84" s="329"/>
      <c r="F84" s="329"/>
      <c r="G84" s="329"/>
      <c r="H84" s="329"/>
      <c r="I84" s="329"/>
      <c r="J84" s="329"/>
      <c r="K84" s="329"/>
      <c r="L84" s="329"/>
      <c r="M84" s="329"/>
      <c r="N84" s="329"/>
      <c r="O84" s="329"/>
      <c r="P84" s="329"/>
      <c r="Q84" s="329"/>
      <c r="R84" s="329"/>
      <c r="S84" s="329"/>
      <c r="T84" s="329"/>
      <c r="U84" s="329"/>
      <c r="V84" s="329"/>
      <c r="W84" s="329"/>
      <c r="X84" s="329"/>
      <c r="Y84" s="329"/>
      <c r="Z84" s="329"/>
      <c r="AA84" s="329"/>
      <c r="AB84" s="329"/>
      <c r="AC84" s="329"/>
      <c r="AD84" s="329"/>
      <c r="AE84" s="329"/>
      <c r="AF84" s="329"/>
      <c r="AG84" s="329"/>
      <c r="AH84" s="329"/>
      <c r="AI84" s="329"/>
      <c r="AJ84" s="329"/>
      <c r="AK84" s="329"/>
      <c r="AL84" s="329"/>
      <c r="AM84" s="329"/>
      <c r="AN84" s="329"/>
      <c r="AO84" s="329"/>
      <c r="AP84" s="329"/>
    </row>
    <row r="85" spans="3:42">
      <c r="C85" s="38"/>
      <c r="D85" s="329"/>
      <c r="E85" s="329"/>
      <c r="F85" s="329"/>
      <c r="G85" s="329"/>
      <c r="H85" s="329"/>
      <c r="I85" s="329"/>
      <c r="J85" s="329"/>
      <c r="K85" s="329"/>
      <c r="L85" s="329"/>
      <c r="M85" s="329"/>
      <c r="N85" s="329"/>
      <c r="O85" s="329"/>
      <c r="P85" s="329"/>
      <c r="Q85" s="329"/>
      <c r="R85" s="329"/>
      <c r="S85" s="329"/>
      <c r="T85" s="329"/>
      <c r="U85" s="329"/>
      <c r="V85" s="329"/>
      <c r="W85" s="329"/>
      <c r="X85" s="329"/>
      <c r="Y85" s="329"/>
      <c r="Z85" s="329"/>
      <c r="AA85" s="329"/>
      <c r="AB85" s="329"/>
      <c r="AC85" s="329"/>
      <c r="AD85" s="329"/>
      <c r="AE85" s="329"/>
      <c r="AF85" s="329"/>
      <c r="AG85" s="329"/>
      <c r="AH85" s="329"/>
      <c r="AI85" s="329"/>
      <c r="AJ85" s="329"/>
      <c r="AK85" s="329"/>
      <c r="AL85" s="329"/>
      <c r="AM85" s="329"/>
      <c r="AN85" s="329"/>
      <c r="AO85" s="329"/>
      <c r="AP85" s="329"/>
    </row>
    <row r="86" spans="3:42">
      <c r="C86" s="38"/>
      <c r="D86" s="329"/>
      <c r="E86" s="329"/>
      <c r="F86" s="329"/>
      <c r="G86" s="329"/>
      <c r="H86" s="329"/>
      <c r="I86" s="329"/>
      <c r="J86" s="329"/>
      <c r="K86" s="329"/>
      <c r="L86" s="329"/>
      <c r="M86" s="329"/>
      <c r="N86" s="329"/>
      <c r="O86" s="329"/>
      <c r="P86" s="329"/>
      <c r="Q86" s="329"/>
      <c r="R86" s="329"/>
      <c r="S86" s="329"/>
      <c r="T86" s="329"/>
      <c r="U86" s="329"/>
      <c r="V86" s="329"/>
      <c r="W86" s="329"/>
      <c r="X86" s="329"/>
      <c r="Y86" s="329"/>
      <c r="Z86" s="329"/>
      <c r="AA86" s="329"/>
      <c r="AB86" s="329"/>
      <c r="AC86" s="329"/>
      <c r="AD86" s="329"/>
      <c r="AE86" s="329"/>
      <c r="AF86" s="329"/>
      <c r="AG86" s="329"/>
      <c r="AH86" s="329"/>
      <c r="AI86" s="329"/>
      <c r="AJ86" s="329"/>
      <c r="AK86" s="329"/>
      <c r="AL86" s="329"/>
      <c r="AM86" s="329"/>
      <c r="AN86" s="329"/>
      <c r="AO86" s="329"/>
      <c r="AP86" s="329"/>
    </row>
    <row r="87" spans="3:42">
      <c r="C87" s="38"/>
      <c r="D87" s="329"/>
      <c r="E87" s="329"/>
      <c r="F87" s="329"/>
      <c r="G87" s="329"/>
      <c r="H87" s="329"/>
      <c r="I87" s="329"/>
      <c r="J87" s="329"/>
      <c r="K87" s="329"/>
      <c r="L87" s="329"/>
      <c r="M87" s="329"/>
      <c r="N87" s="329"/>
      <c r="O87" s="329"/>
      <c r="P87" s="329"/>
      <c r="Q87" s="329"/>
      <c r="R87" s="329"/>
      <c r="S87" s="329"/>
      <c r="T87" s="329"/>
      <c r="U87" s="329"/>
      <c r="V87" s="329"/>
      <c r="W87" s="329"/>
      <c r="X87" s="329"/>
      <c r="Y87" s="329"/>
      <c r="Z87" s="329"/>
      <c r="AA87" s="329"/>
      <c r="AB87" s="329"/>
      <c r="AC87" s="329"/>
      <c r="AD87" s="329"/>
      <c r="AE87" s="329"/>
      <c r="AF87" s="329"/>
      <c r="AG87" s="329"/>
      <c r="AH87" s="329"/>
      <c r="AI87" s="329"/>
      <c r="AJ87" s="329"/>
      <c r="AK87" s="329"/>
      <c r="AL87" s="329"/>
      <c r="AM87" s="329"/>
      <c r="AN87" s="329"/>
      <c r="AO87" s="329"/>
      <c r="AP87" s="329"/>
    </row>
    <row r="88" spans="3:42">
      <c r="C88" s="38"/>
      <c r="D88" s="329"/>
      <c r="E88" s="329"/>
      <c r="F88" s="329"/>
      <c r="G88" s="329"/>
      <c r="H88" s="329"/>
      <c r="I88" s="329"/>
      <c r="J88" s="329"/>
      <c r="K88" s="329"/>
      <c r="L88" s="329"/>
      <c r="M88" s="329"/>
      <c r="N88" s="329"/>
      <c r="O88" s="329"/>
      <c r="P88" s="329"/>
      <c r="Q88" s="329"/>
      <c r="R88" s="329"/>
      <c r="S88" s="329"/>
      <c r="T88" s="329"/>
      <c r="U88" s="329"/>
      <c r="V88" s="329"/>
      <c r="W88" s="329"/>
      <c r="X88" s="329"/>
      <c r="Y88" s="329"/>
      <c r="Z88" s="329"/>
      <c r="AA88" s="329"/>
      <c r="AB88" s="329"/>
      <c r="AC88" s="329"/>
      <c r="AD88" s="329"/>
      <c r="AE88" s="329"/>
      <c r="AF88" s="329"/>
      <c r="AG88" s="329"/>
      <c r="AH88" s="329"/>
      <c r="AI88" s="329"/>
      <c r="AJ88" s="329"/>
      <c r="AK88" s="329"/>
      <c r="AL88" s="329"/>
      <c r="AM88" s="329"/>
      <c r="AN88" s="329"/>
      <c r="AO88" s="329"/>
      <c r="AP88" s="329"/>
    </row>
    <row r="89" spans="3:42">
      <c r="C89" s="38"/>
      <c r="D89" s="329"/>
      <c r="E89" s="329"/>
      <c r="F89" s="329"/>
      <c r="G89" s="329"/>
      <c r="H89" s="329"/>
      <c r="I89" s="329"/>
      <c r="J89" s="329"/>
      <c r="K89" s="329"/>
      <c r="L89" s="329"/>
      <c r="M89" s="329"/>
      <c r="N89" s="329"/>
      <c r="O89" s="329"/>
      <c r="P89" s="329"/>
      <c r="Q89" s="329"/>
      <c r="R89" s="329"/>
      <c r="S89" s="329"/>
      <c r="T89" s="329"/>
      <c r="U89" s="329"/>
      <c r="V89" s="329"/>
      <c r="W89" s="329"/>
      <c r="X89" s="329"/>
      <c r="Y89" s="329"/>
      <c r="Z89" s="329"/>
      <c r="AA89" s="329"/>
      <c r="AB89" s="329"/>
      <c r="AC89" s="329"/>
      <c r="AD89" s="329"/>
      <c r="AE89" s="329"/>
      <c r="AF89" s="329"/>
      <c r="AG89" s="329"/>
      <c r="AH89" s="329"/>
      <c r="AI89" s="329"/>
      <c r="AJ89" s="329"/>
      <c r="AK89" s="329"/>
      <c r="AL89" s="329"/>
      <c r="AM89" s="329"/>
      <c r="AN89" s="329"/>
      <c r="AO89" s="329"/>
      <c r="AP89" s="329"/>
    </row>
    <row r="90" spans="3:42">
      <c r="C90" s="38"/>
      <c r="D90" s="329"/>
      <c r="E90" s="329"/>
      <c r="F90" s="329"/>
      <c r="G90" s="329"/>
      <c r="H90" s="329"/>
      <c r="I90" s="329"/>
      <c r="J90" s="329"/>
      <c r="K90" s="329"/>
      <c r="L90" s="329"/>
      <c r="M90" s="329"/>
      <c r="N90" s="329"/>
      <c r="O90" s="329"/>
      <c r="P90" s="329"/>
      <c r="Q90" s="329"/>
      <c r="R90" s="329"/>
      <c r="S90" s="329"/>
      <c r="T90" s="329"/>
      <c r="U90" s="329"/>
      <c r="V90" s="329"/>
      <c r="W90" s="329"/>
      <c r="X90" s="329"/>
      <c r="Y90" s="329"/>
      <c r="Z90" s="329"/>
      <c r="AA90" s="329"/>
      <c r="AB90" s="329"/>
      <c r="AC90" s="329"/>
      <c r="AD90" s="329"/>
      <c r="AE90" s="329"/>
      <c r="AF90" s="329"/>
      <c r="AG90" s="329"/>
      <c r="AH90" s="329"/>
      <c r="AI90" s="329"/>
      <c r="AJ90" s="329"/>
      <c r="AK90" s="329"/>
      <c r="AL90" s="329"/>
      <c r="AM90" s="329"/>
      <c r="AN90" s="329"/>
      <c r="AO90" s="329"/>
      <c r="AP90" s="329"/>
    </row>
    <row r="91" spans="3:42">
      <c r="C91" s="38"/>
      <c r="D91" s="329"/>
      <c r="E91" s="329"/>
      <c r="F91" s="329"/>
      <c r="G91" s="329"/>
      <c r="H91" s="329"/>
      <c r="I91" s="329"/>
      <c r="J91" s="329"/>
      <c r="K91" s="329"/>
      <c r="L91" s="329"/>
      <c r="M91" s="329"/>
      <c r="N91" s="329"/>
      <c r="O91" s="329"/>
      <c r="P91" s="329"/>
      <c r="Q91" s="329"/>
      <c r="R91" s="329"/>
      <c r="S91" s="329"/>
      <c r="T91" s="329"/>
      <c r="U91" s="329"/>
      <c r="V91" s="329"/>
      <c r="W91" s="329"/>
      <c r="X91" s="329"/>
      <c r="Y91" s="329"/>
      <c r="Z91" s="329"/>
      <c r="AA91" s="329"/>
      <c r="AB91" s="329"/>
      <c r="AC91" s="329"/>
      <c r="AD91" s="329"/>
      <c r="AE91" s="329"/>
      <c r="AF91" s="329"/>
      <c r="AG91" s="329"/>
      <c r="AH91" s="329"/>
      <c r="AI91" s="329"/>
      <c r="AJ91" s="329"/>
      <c r="AK91" s="329"/>
      <c r="AL91" s="329"/>
      <c r="AM91" s="329"/>
      <c r="AN91" s="329"/>
      <c r="AO91" s="329"/>
      <c r="AP91" s="329"/>
    </row>
    <row r="92" spans="3:42">
      <c r="C92" s="38"/>
      <c r="D92" s="329"/>
      <c r="E92" s="329"/>
      <c r="F92" s="329"/>
      <c r="G92" s="329"/>
      <c r="H92" s="329"/>
      <c r="I92" s="329"/>
      <c r="J92" s="329"/>
      <c r="K92" s="329"/>
      <c r="L92" s="329"/>
      <c r="M92" s="329"/>
      <c r="N92" s="329"/>
      <c r="O92" s="329"/>
      <c r="P92" s="329"/>
      <c r="Q92" s="329"/>
      <c r="R92" s="329"/>
      <c r="S92" s="329"/>
      <c r="T92" s="329"/>
      <c r="U92" s="329"/>
      <c r="V92" s="329"/>
      <c r="W92" s="329"/>
      <c r="X92" s="329"/>
      <c r="Y92" s="329"/>
      <c r="Z92" s="329"/>
      <c r="AA92" s="329"/>
      <c r="AB92" s="329"/>
      <c r="AC92" s="329"/>
      <c r="AD92" s="329"/>
      <c r="AE92" s="329"/>
      <c r="AF92" s="329"/>
      <c r="AG92" s="329"/>
      <c r="AH92" s="329"/>
      <c r="AI92" s="329"/>
      <c r="AJ92" s="329"/>
      <c r="AK92" s="329"/>
      <c r="AL92" s="329"/>
      <c r="AM92" s="329"/>
      <c r="AN92" s="329"/>
      <c r="AO92" s="329"/>
      <c r="AP92" s="329"/>
    </row>
    <row r="93" spans="3:42">
      <c r="C93" s="38"/>
      <c r="D93" s="329"/>
      <c r="E93" s="329"/>
      <c r="F93" s="329"/>
      <c r="G93" s="329"/>
      <c r="H93" s="329"/>
      <c r="I93" s="329"/>
      <c r="J93" s="329"/>
      <c r="K93" s="329"/>
      <c r="L93" s="329"/>
      <c r="M93" s="329"/>
      <c r="N93" s="329"/>
      <c r="O93" s="329"/>
      <c r="P93" s="329"/>
      <c r="Q93" s="329"/>
      <c r="R93" s="329"/>
      <c r="S93" s="329"/>
      <c r="T93" s="329"/>
      <c r="U93" s="329"/>
      <c r="V93" s="329"/>
      <c r="W93" s="329"/>
      <c r="X93" s="329"/>
      <c r="Y93" s="329"/>
      <c r="Z93" s="329"/>
      <c r="AA93" s="329"/>
      <c r="AB93" s="329"/>
      <c r="AC93" s="329"/>
      <c r="AD93" s="329"/>
      <c r="AE93" s="329"/>
      <c r="AF93" s="329"/>
      <c r="AG93" s="329"/>
      <c r="AH93" s="329"/>
      <c r="AI93" s="329"/>
      <c r="AJ93" s="329"/>
      <c r="AK93" s="329"/>
      <c r="AL93" s="329"/>
      <c r="AM93" s="329"/>
      <c r="AN93" s="329"/>
      <c r="AO93" s="329"/>
      <c r="AP93" s="329"/>
    </row>
    <row r="94" spans="3:42">
      <c r="C94" s="38"/>
      <c r="D94" s="329"/>
      <c r="E94" s="329"/>
      <c r="F94" s="329"/>
      <c r="G94" s="329"/>
      <c r="H94" s="329"/>
      <c r="I94" s="329"/>
      <c r="J94" s="329"/>
      <c r="K94" s="329"/>
      <c r="L94" s="329"/>
      <c r="M94" s="329"/>
      <c r="N94" s="329"/>
      <c r="O94" s="329"/>
      <c r="P94" s="329"/>
      <c r="Q94" s="329"/>
      <c r="R94" s="329"/>
      <c r="S94" s="329"/>
      <c r="T94" s="329"/>
      <c r="U94" s="329"/>
      <c r="V94" s="329"/>
      <c r="W94" s="329"/>
      <c r="X94" s="329"/>
      <c r="Y94" s="329"/>
      <c r="Z94" s="329"/>
      <c r="AA94" s="329"/>
      <c r="AB94" s="329"/>
      <c r="AC94" s="329"/>
      <c r="AD94" s="329"/>
      <c r="AE94" s="329"/>
      <c r="AF94" s="329"/>
      <c r="AG94" s="329"/>
      <c r="AH94" s="329"/>
      <c r="AI94" s="329"/>
      <c r="AJ94" s="329"/>
      <c r="AK94" s="329"/>
      <c r="AL94" s="329"/>
      <c r="AM94" s="329"/>
      <c r="AN94" s="329"/>
      <c r="AO94" s="329"/>
      <c r="AP94" s="329"/>
    </row>
    <row r="95" spans="3:42">
      <c r="C95" s="38"/>
      <c r="D95" s="329"/>
      <c r="E95" s="329"/>
      <c r="F95" s="329"/>
      <c r="G95" s="329"/>
      <c r="H95" s="329"/>
      <c r="I95" s="329"/>
      <c r="J95" s="329"/>
      <c r="K95" s="329"/>
      <c r="L95" s="329"/>
      <c r="M95" s="329"/>
      <c r="N95" s="329"/>
      <c r="O95" s="329"/>
      <c r="P95" s="329"/>
      <c r="Q95" s="329"/>
      <c r="R95" s="329"/>
      <c r="S95" s="329"/>
      <c r="T95" s="329"/>
      <c r="U95" s="329"/>
      <c r="V95" s="329"/>
      <c r="W95" s="329"/>
      <c r="X95" s="329"/>
      <c r="Y95" s="329"/>
      <c r="Z95" s="329"/>
      <c r="AA95" s="329"/>
      <c r="AB95" s="329"/>
      <c r="AC95" s="329"/>
      <c r="AD95" s="329"/>
      <c r="AE95" s="329"/>
      <c r="AF95" s="329"/>
      <c r="AG95" s="329"/>
      <c r="AH95" s="329"/>
      <c r="AI95" s="329"/>
      <c r="AJ95" s="329"/>
      <c r="AK95" s="329"/>
      <c r="AL95" s="329"/>
      <c r="AM95" s="329"/>
      <c r="AN95" s="329"/>
      <c r="AO95" s="329"/>
      <c r="AP95" s="329"/>
    </row>
    <row r="96" spans="3:42">
      <c r="C96" s="38"/>
      <c r="D96" s="329"/>
      <c r="E96" s="329"/>
      <c r="F96" s="329"/>
      <c r="G96" s="329"/>
      <c r="H96" s="329"/>
      <c r="I96" s="329"/>
      <c r="J96" s="329"/>
      <c r="K96" s="329"/>
      <c r="L96" s="329"/>
      <c r="M96" s="329"/>
      <c r="N96" s="329"/>
      <c r="O96" s="329"/>
      <c r="P96" s="329"/>
      <c r="Q96" s="329"/>
      <c r="R96" s="329"/>
      <c r="S96" s="329"/>
      <c r="T96" s="329"/>
      <c r="U96" s="329"/>
      <c r="V96" s="329"/>
      <c r="W96" s="329"/>
      <c r="X96" s="329"/>
      <c r="Y96" s="329"/>
      <c r="Z96" s="329"/>
      <c r="AA96" s="329"/>
      <c r="AB96" s="329"/>
      <c r="AC96" s="329"/>
      <c r="AD96" s="329"/>
      <c r="AE96" s="329"/>
      <c r="AF96" s="329"/>
      <c r="AG96" s="329"/>
      <c r="AH96" s="329"/>
      <c r="AI96" s="329"/>
      <c r="AJ96" s="329"/>
      <c r="AK96" s="329"/>
      <c r="AL96" s="329"/>
      <c r="AM96" s="329"/>
      <c r="AN96" s="329"/>
      <c r="AO96" s="329"/>
      <c r="AP96" s="329"/>
    </row>
    <row r="97" spans="3:42">
      <c r="C97" s="38"/>
      <c r="D97" s="329"/>
      <c r="E97" s="329"/>
      <c r="F97" s="329"/>
      <c r="G97" s="329"/>
      <c r="H97" s="329"/>
      <c r="I97" s="329"/>
      <c r="J97" s="329"/>
      <c r="K97" s="329"/>
      <c r="L97" s="329"/>
      <c r="M97" s="329"/>
      <c r="N97" s="329"/>
      <c r="O97" s="329"/>
      <c r="P97" s="329"/>
      <c r="Q97" s="329"/>
      <c r="R97" s="329"/>
      <c r="S97" s="329"/>
      <c r="T97" s="329"/>
      <c r="U97" s="329"/>
      <c r="V97" s="329"/>
      <c r="W97" s="329"/>
      <c r="X97" s="329"/>
      <c r="Y97" s="329"/>
      <c r="Z97" s="329"/>
      <c r="AA97" s="329"/>
      <c r="AB97" s="329"/>
      <c r="AC97" s="329"/>
      <c r="AD97" s="329"/>
      <c r="AE97" s="329"/>
      <c r="AF97" s="329"/>
      <c r="AG97" s="329"/>
      <c r="AH97" s="329"/>
      <c r="AI97" s="329"/>
      <c r="AJ97" s="329"/>
      <c r="AK97" s="329"/>
      <c r="AL97" s="329"/>
      <c r="AM97" s="329"/>
      <c r="AN97" s="329"/>
      <c r="AO97" s="329"/>
      <c r="AP97" s="329"/>
    </row>
    <row r="98" spans="3:42">
      <c r="C98" s="38"/>
      <c r="D98" s="329"/>
      <c r="E98" s="329"/>
      <c r="F98" s="329"/>
      <c r="G98" s="329"/>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row>
    <row r="99" spans="3:42">
      <c r="C99" s="38"/>
      <c r="D99" s="329"/>
      <c r="E99" s="329"/>
      <c r="F99" s="329"/>
      <c r="G99" s="329"/>
      <c r="H99" s="329"/>
      <c r="I99" s="329"/>
      <c r="J99" s="329"/>
      <c r="K99" s="329"/>
      <c r="L99" s="329"/>
      <c r="M99" s="329"/>
      <c r="N99" s="329"/>
      <c r="O99" s="329"/>
      <c r="P99" s="329"/>
      <c r="Q99" s="329"/>
      <c r="R99" s="329"/>
      <c r="S99" s="329"/>
      <c r="T99" s="329"/>
      <c r="U99" s="329"/>
      <c r="V99" s="329"/>
      <c r="W99" s="329"/>
      <c r="X99" s="329"/>
      <c r="Y99" s="329"/>
      <c r="Z99" s="329"/>
      <c r="AA99" s="329"/>
      <c r="AB99" s="329"/>
      <c r="AC99" s="329"/>
      <c r="AD99" s="329"/>
      <c r="AE99" s="329"/>
      <c r="AF99" s="329"/>
      <c r="AG99" s="329"/>
      <c r="AH99" s="329"/>
      <c r="AI99" s="329"/>
      <c r="AJ99" s="329"/>
      <c r="AK99" s="329"/>
      <c r="AL99" s="329"/>
      <c r="AM99" s="329"/>
      <c r="AN99" s="329"/>
      <c r="AO99" s="329"/>
      <c r="AP99" s="329"/>
    </row>
    <row r="100" spans="3:42">
      <c r="C100" s="38"/>
      <c r="D100" s="329"/>
      <c r="E100" s="329"/>
      <c r="F100" s="329"/>
      <c r="G100" s="329"/>
      <c r="H100" s="329"/>
      <c r="I100" s="329"/>
      <c r="J100" s="329"/>
      <c r="K100" s="329"/>
      <c r="L100" s="329"/>
      <c r="M100" s="329"/>
      <c r="N100" s="329"/>
      <c r="O100" s="329"/>
      <c r="P100" s="329"/>
      <c r="Q100" s="329"/>
      <c r="R100" s="329"/>
      <c r="S100" s="329"/>
      <c r="T100" s="329"/>
      <c r="U100" s="329"/>
      <c r="V100" s="329"/>
      <c r="W100" s="329"/>
      <c r="X100" s="329"/>
      <c r="Y100" s="329"/>
      <c r="Z100" s="329"/>
      <c r="AA100" s="329"/>
      <c r="AB100" s="329"/>
      <c r="AC100" s="329"/>
      <c r="AD100" s="329"/>
      <c r="AE100" s="329"/>
      <c r="AF100" s="329"/>
      <c r="AG100" s="329"/>
      <c r="AH100" s="329"/>
      <c r="AI100" s="329"/>
      <c r="AJ100" s="329"/>
      <c r="AK100" s="329"/>
      <c r="AL100" s="329"/>
      <c r="AM100" s="329"/>
      <c r="AN100" s="329"/>
      <c r="AO100" s="329"/>
      <c r="AP100" s="329"/>
    </row>
    <row r="101" spans="3:42">
      <c r="C101" s="38"/>
      <c r="D101" s="329"/>
      <c r="E101" s="329"/>
      <c r="F101" s="329"/>
      <c r="G101" s="329"/>
      <c r="H101" s="329"/>
      <c r="I101" s="329"/>
      <c r="J101" s="329"/>
      <c r="K101" s="329"/>
      <c r="L101" s="329"/>
      <c r="M101" s="329"/>
      <c r="N101" s="329"/>
      <c r="O101" s="329"/>
      <c r="P101" s="329"/>
      <c r="Q101" s="329"/>
      <c r="R101" s="329"/>
      <c r="S101" s="329"/>
      <c r="T101" s="329"/>
      <c r="U101" s="329"/>
      <c r="V101" s="329"/>
      <c r="W101" s="329"/>
      <c r="X101" s="329"/>
      <c r="Y101" s="329"/>
      <c r="Z101" s="329"/>
      <c r="AA101" s="329"/>
      <c r="AB101" s="329"/>
      <c r="AC101" s="329"/>
      <c r="AD101" s="329"/>
      <c r="AE101" s="329"/>
      <c r="AF101" s="329"/>
      <c r="AG101" s="329"/>
      <c r="AH101" s="329"/>
      <c r="AI101" s="329"/>
      <c r="AJ101" s="329"/>
      <c r="AK101" s="329"/>
      <c r="AL101" s="329"/>
      <c r="AM101" s="329"/>
      <c r="AN101" s="329"/>
      <c r="AO101" s="329"/>
      <c r="AP101" s="329"/>
    </row>
    <row r="102" spans="3:42">
      <c r="C102" s="38"/>
      <c r="D102" s="329"/>
      <c r="E102" s="329"/>
      <c r="F102" s="329"/>
      <c r="G102" s="329"/>
      <c r="H102" s="329"/>
      <c r="I102" s="329"/>
      <c r="J102" s="329"/>
      <c r="K102" s="329"/>
      <c r="L102" s="329"/>
      <c r="M102" s="329"/>
      <c r="N102" s="329"/>
      <c r="O102" s="329"/>
      <c r="P102" s="329"/>
      <c r="Q102" s="329"/>
      <c r="R102" s="329"/>
      <c r="S102" s="329"/>
      <c r="T102" s="329"/>
      <c r="U102" s="329"/>
      <c r="V102" s="329"/>
      <c r="W102" s="329"/>
      <c r="X102" s="329"/>
      <c r="Y102" s="329"/>
      <c r="Z102" s="329"/>
      <c r="AA102" s="329"/>
      <c r="AB102" s="329"/>
      <c r="AC102" s="329"/>
      <c r="AD102" s="329"/>
      <c r="AE102" s="329"/>
      <c r="AF102" s="329"/>
      <c r="AG102" s="329"/>
      <c r="AH102" s="329"/>
      <c r="AI102" s="329"/>
      <c r="AJ102" s="329"/>
      <c r="AK102" s="329"/>
      <c r="AL102" s="329"/>
      <c r="AM102" s="329"/>
      <c r="AN102" s="329"/>
      <c r="AO102" s="329"/>
      <c r="AP102" s="329"/>
    </row>
    <row r="103" spans="3:42">
      <c r="C103" s="38"/>
      <c r="D103" s="329"/>
      <c r="E103" s="329"/>
      <c r="F103" s="329"/>
      <c r="G103" s="329"/>
      <c r="H103" s="329"/>
      <c r="I103" s="329"/>
      <c r="J103" s="329"/>
      <c r="K103" s="329"/>
      <c r="L103" s="329"/>
      <c r="M103" s="329"/>
      <c r="N103" s="329"/>
      <c r="O103" s="329"/>
      <c r="P103" s="329"/>
      <c r="Q103" s="329"/>
      <c r="R103" s="329"/>
      <c r="S103" s="329"/>
      <c r="T103" s="329"/>
      <c r="U103" s="329"/>
      <c r="V103" s="329"/>
      <c r="W103" s="329"/>
      <c r="X103" s="329"/>
      <c r="Y103" s="329"/>
      <c r="Z103" s="329"/>
      <c r="AA103" s="329"/>
      <c r="AB103" s="329"/>
      <c r="AC103" s="329"/>
      <c r="AD103" s="329"/>
      <c r="AE103" s="329"/>
      <c r="AF103" s="329"/>
      <c r="AG103" s="329"/>
      <c r="AH103" s="329"/>
      <c r="AI103" s="329"/>
      <c r="AJ103" s="329"/>
      <c r="AK103" s="329"/>
      <c r="AL103" s="329"/>
      <c r="AM103" s="329"/>
      <c r="AN103" s="329"/>
      <c r="AO103" s="329"/>
      <c r="AP103" s="329"/>
    </row>
    <row r="104" spans="3:42">
      <c r="C104" s="38"/>
      <c r="D104" s="329"/>
      <c r="E104" s="329"/>
      <c r="F104" s="329"/>
      <c r="G104" s="329"/>
      <c r="H104" s="329"/>
      <c r="I104" s="329"/>
      <c r="J104" s="329"/>
      <c r="K104" s="329"/>
      <c r="L104" s="329"/>
      <c r="M104" s="329"/>
      <c r="N104" s="329"/>
      <c r="O104" s="329"/>
      <c r="P104" s="329"/>
      <c r="Q104" s="329"/>
      <c r="R104" s="329"/>
      <c r="S104" s="329"/>
      <c r="T104" s="329"/>
      <c r="U104" s="329"/>
      <c r="V104" s="329"/>
      <c r="W104" s="329"/>
      <c r="X104" s="329"/>
      <c r="Y104" s="329"/>
      <c r="Z104" s="329"/>
      <c r="AA104" s="329"/>
      <c r="AB104" s="329"/>
      <c r="AC104" s="329"/>
      <c r="AD104" s="329"/>
      <c r="AE104" s="329"/>
      <c r="AF104" s="329"/>
      <c r="AG104" s="329"/>
      <c r="AH104" s="329"/>
      <c r="AI104" s="329"/>
      <c r="AJ104" s="329"/>
      <c r="AK104" s="329"/>
      <c r="AL104" s="329"/>
      <c r="AM104" s="329"/>
      <c r="AN104" s="329"/>
      <c r="AO104" s="329"/>
      <c r="AP104" s="329"/>
    </row>
    <row r="105" spans="3:42">
      <c r="C105" s="38"/>
      <c r="D105" s="329"/>
      <c r="E105" s="329"/>
      <c r="F105" s="329"/>
      <c r="G105" s="329"/>
      <c r="H105" s="329"/>
      <c r="I105" s="329"/>
      <c r="J105" s="329"/>
      <c r="K105" s="329"/>
      <c r="L105" s="329"/>
      <c r="M105" s="329"/>
      <c r="N105" s="329"/>
      <c r="O105" s="329"/>
      <c r="P105" s="329"/>
      <c r="Q105" s="329"/>
      <c r="R105" s="329"/>
      <c r="S105" s="329"/>
      <c r="T105" s="329"/>
      <c r="U105" s="329"/>
      <c r="V105" s="329"/>
      <c r="W105" s="329"/>
      <c r="X105" s="329"/>
      <c r="Y105" s="329"/>
      <c r="Z105" s="329"/>
      <c r="AA105" s="329"/>
      <c r="AB105" s="329"/>
      <c r="AC105" s="329"/>
      <c r="AD105" s="329"/>
      <c r="AE105" s="329"/>
      <c r="AF105" s="329"/>
      <c r="AG105" s="329"/>
      <c r="AH105" s="329"/>
      <c r="AI105" s="329"/>
      <c r="AJ105" s="329"/>
      <c r="AK105" s="329"/>
      <c r="AL105" s="329"/>
      <c r="AM105" s="329"/>
      <c r="AN105" s="329"/>
      <c r="AO105" s="329"/>
      <c r="AP105" s="329"/>
    </row>
    <row r="106" spans="3:42">
      <c r="C106" s="38"/>
      <c r="D106" s="329"/>
      <c r="E106" s="329"/>
      <c r="F106" s="329"/>
      <c r="G106" s="329"/>
      <c r="H106" s="329"/>
      <c r="I106" s="329"/>
      <c r="J106" s="329"/>
      <c r="K106" s="329"/>
      <c r="L106" s="329"/>
      <c r="M106" s="329"/>
      <c r="N106" s="329"/>
      <c r="O106" s="329"/>
      <c r="P106" s="329"/>
      <c r="Q106" s="329"/>
      <c r="R106" s="329"/>
      <c r="S106" s="329"/>
      <c r="T106" s="329"/>
      <c r="U106" s="329"/>
      <c r="V106" s="329"/>
      <c r="W106" s="329"/>
      <c r="X106" s="329"/>
      <c r="Y106" s="329"/>
      <c r="Z106" s="329"/>
      <c r="AA106" s="329"/>
      <c r="AB106" s="329"/>
      <c r="AC106" s="329"/>
      <c r="AD106" s="329"/>
      <c r="AE106" s="329"/>
      <c r="AF106" s="329"/>
      <c r="AG106" s="329"/>
      <c r="AH106" s="329"/>
      <c r="AI106" s="329"/>
      <c r="AJ106" s="329"/>
      <c r="AK106" s="329"/>
      <c r="AL106" s="329"/>
      <c r="AM106" s="329"/>
      <c r="AN106" s="329"/>
      <c r="AO106" s="329"/>
      <c r="AP106" s="329"/>
    </row>
    <row r="107" spans="3:42">
      <c r="C107" s="38"/>
      <c r="D107" s="329"/>
      <c r="E107" s="329"/>
      <c r="F107" s="329"/>
      <c r="G107" s="329"/>
      <c r="H107" s="329"/>
      <c r="I107" s="329"/>
      <c r="J107" s="329"/>
      <c r="K107" s="329"/>
      <c r="L107" s="329"/>
      <c r="M107" s="329"/>
      <c r="N107" s="329"/>
      <c r="O107" s="329"/>
      <c r="P107" s="329"/>
      <c r="Q107" s="329"/>
      <c r="R107" s="329"/>
      <c r="S107" s="329"/>
      <c r="T107" s="329"/>
      <c r="U107" s="329"/>
      <c r="V107" s="329"/>
      <c r="W107" s="329"/>
      <c r="X107" s="329"/>
      <c r="Y107" s="329"/>
      <c r="Z107" s="329"/>
      <c r="AA107" s="329"/>
      <c r="AB107" s="329"/>
      <c r="AC107" s="329"/>
      <c r="AD107" s="329"/>
      <c r="AE107" s="329"/>
      <c r="AF107" s="329"/>
      <c r="AG107" s="329"/>
      <c r="AH107" s="329"/>
      <c r="AI107" s="329"/>
      <c r="AJ107" s="329"/>
      <c r="AK107" s="329"/>
      <c r="AL107" s="329"/>
      <c r="AM107" s="329"/>
      <c r="AN107" s="329"/>
      <c r="AO107" s="329"/>
      <c r="AP107" s="329"/>
    </row>
    <row r="108" spans="3:42">
      <c r="C108" s="38"/>
      <c r="D108" s="329"/>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329"/>
      <c r="AJ108" s="329"/>
      <c r="AK108" s="329"/>
      <c r="AL108" s="329"/>
      <c r="AM108" s="329"/>
      <c r="AN108" s="329"/>
      <c r="AO108" s="329"/>
      <c r="AP108" s="329"/>
    </row>
    <row r="109" spans="3:42">
      <c r="C109" s="38"/>
      <c r="D109" s="329"/>
      <c r="E109" s="329"/>
      <c r="F109" s="329"/>
      <c r="G109" s="329"/>
      <c r="H109" s="329"/>
      <c r="I109" s="329"/>
      <c r="J109" s="329"/>
      <c r="K109" s="329"/>
      <c r="L109" s="329"/>
      <c r="M109" s="329"/>
      <c r="N109" s="329"/>
      <c r="O109" s="329"/>
      <c r="P109" s="329"/>
      <c r="Q109" s="329"/>
      <c r="R109" s="329"/>
      <c r="S109" s="329"/>
      <c r="T109" s="329"/>
      <c r="U109" s="329"/>
      <c r="V109" s="329"/>
      <c r="W109" s="329"/>
      <c r="X109" s="329"/>
      <c r="Y109" s="329"/>
      <c r="Z109" s="329"/>
      <c r="AA109" s="329"/>
      <c r="AB109" s="329"/>
      <c r="AC109" s="329"/>
      <c r="AD109" s="329"/>
      <c r="AE109" s="329"/>
      <c r="AF109" s="329"/>
      <c r="AG109" s="329"/>
      <c r="AH109" s="329"/>
      <c r="AI109" s="329"/>
      <c r="AJ109" s="329"/>
      <c r="AK109" s="329"/>
      <c r="AL109" s="329"/>
      <c r="AM109" s="329"/>
      <c r="AN109" s="329"/>
      <c r="AO109" s="329"/>
      <c r="AP109" s="329"/>
    </row>
    <row r="110" spans="3:42">
      <c r="C110" s="38"/>
      <c r="D110" s="329"/>
      <c r="E110" s="329"/>
      <c r="F110" s="329"/>
      <c r="G110" s="329"/>
      <c r="H110" s="329"/>
      <c r="I110" s="329"/>
      <c r="J110" s="329"/>
      <c r="K110" s="329"/>
      <c r="L110" s="329"/>
      <c r="M110" s="329"/>
      <c r="N110" s="329"/>
      <c r="O110" s="329"/>
      <c r="P110" s="329"/>
      <c r="Q110" s="329"/>
      <c r="R110" s="329"/>
      <c r="S110" s="329"/>
      <c r="T110" s="329"/>
      <c r="U110" s="329"/>
      <c r="V110" s="329"/>
      <c r="W110" s="329"/>
      <c r="X110" s="329"/>
      <c r="Y110" s="329"/>
      <c r="Z110" s="329"/>
      <c r="AA110" s="329"/>
      <c r="AB110" s="329"/>
      <c r="AC110" s="329"/>
      <c r="AD110" s="329"/>
      <c r="AE110" s="329"/>
      <c r="AF110" s="329"/>
      <c r="AG110" s="329"/>
      <c r="AH110" s="329"/>
      <c r="AI110" s="329"/>
      <c r="AJ110" s="329"/>
      <c r="AK110" s="329"/>
      <c r="AL110" s="329"/>
      <c r="AM110" s="329"/>
      <c r="AN110" s="329"/>
      <c r="AO110" s="329"/>
      <c r="AP110" s="329"/>
    </row>
    <row r="111" spans="3:42">
      <c r="C111" s="38"/>
      <c r="D111" s="329"/>
      <c r="E111" s="329"/>
      <c r="F111" s="329"/>
      <c r="G111" s="329"/>
      <c r="H111" s="329"/>
      <c r="I111" s="329"/>
      <c r="J111" s="329"/>
      <c r="K111" s="329"/>
      <c r="L111" s="329"/>
      <c r="M111" s="329"/>
      <c r="N111" s="329"/>
      <c r="O111" s="329"/>
      <c r="P111" s="329"/>
      <c r="Q111" s="329"/>
      <c r="R111" s="329"/>
      <c r="S111" s="329"/>
      <c r="T111" s="329"/>
      <c r="U111" s="329"/>
      <c r="V111" s="329"/>
      <c r="W111" s="329"/>
      <c r="X111" s="329"/>
      <c r="Y111" s="329"/>
      <c r="Z111" s="329"/>
      <c r="AA111" s="329"/>
      <c r="AB111" s="329"/>
      <c r="AC111" s="329"/>
      <c r="AD111" s="329"/>
      <c r="AE111" s="329"/>
      <c r="AF111" s="329"/>
      <c r="AG111" s="329"/>
      <c r="AH111" s="329"/>
      <c r="AI111" s="329"/>
      <c r="AJ111" s="329"/>
      <c r="AK111" s="329"/>
      <c r="AL111" s="329"/>
      <c r="AM111" s="329"/>
      <c r="AN111" s="329"/>
      <c r="AO111" s="329"/>
      <c r="AP111" s="329"/>
    </row>
    <row r="112" spans="3:42">
      <c r="C112" s="38"/>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329"/>
      <c r="AE112" s="329"/>
      <c r="AF112" s="329"/>
      <c r="AG112" s="329"/>
      <c r="AH112" s="329"/>
      <c r="AI112" s="329"/>
      <c r="AJ112" s="329"/>
      <c r="AK112" s="329"/>
      <c r="AL112" s="329"/>
      <c r="AM112" s="329"/>
      <c r="AN112" s="329"/>
      <c r="AO112" s="329"/>
      <c r="AP112" s="329"/>
    </row>
    <row r="113" spans="3:42">
      <c r="C113" s="38"/>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329"/>
      <c r="AE113" s="329"/>
      <c r="AF113" s="329"/>
      <c r="AG113" s="329"/>
      <c r="AH113" s="329"/>
      <c r="AI113" s="329"/>
      <c r="AJ113" s="329"/>
      <c r="AK113" s="329"/>
      <c r="AL113" s="329"/>
      <c r="AM113" s="329"/>
      <c r="AN113" s="329"/>
      <c r="AO113" s="329"/>
      <c r="AP113" s="329"/>
    </row>
    <row r="114" spans="3:42">
      <c r="C114" s="38"/>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329"/>
      <c r="AE114" s="329"/>
      <c r="AF114" s="329"/>
      <c r="AG114" s="329"/>
      <c r="AH114" s="329"/>
      <c r="AI114" s="329"/>
      <c r="AJ114" s="329"/>
      <c r="AK114" s="329"/>
      <c r="AL114" s="329"/>
      <c r="AM114" s="329"/>
      <c r="AN114" s="329"/>
      <c r="AO114" s="329"/>
      <c r="AP114" s="329"/>
    </row>
    <row r="115" spans="3:42">
      <c r="C115" s="38"/>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29"/>
      <c r="AD115" s="329"/>
      <c r="AE115" s="329"/>
      <c r="AF115" s="329"/>
      <c r="AG115" s="329"/>
      <c r="AH115" s="329"/>
      <c r="AI115" s="329"/>
      <c r="AJ115" s="329"/>
      <c r="AK115" s="329"/>
      <c r="AL115" s="329"/>
      <c r="AM115" s="329"/>
      <c r="AN115" s="329"/>
      <c r="AO115" s="329"/>
      <c r="AP115" s="329"/>
    </row>
    <row r="116" spans="3:42">
      <c r="C116" s="38"/>
      <c r="D116" s="329"/>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29"/>
      <c r="AD116" s="329"/>
      <c r="AE116" s="329"/>
      <c r="AF116" s="329"/>
      <c r="AG116" s="329"/>
      <c r="AH116" s="329"/>
      <c r="AI116" s="329"/>
      <c r="AJ116" s="329"/>
      <c r="AK116" s="329"/>
      <c r="AL116" s="329"/>
      <c r="AM116" s="329"/>
      <c r="AN116" s="329"/>
      <c r="AO116" s="329"/>
      <c r="AP116" s="329"/>
    </row>
    <row r="117" spans="3:42">
      <c r="C117" s="38"/>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29"/>
      <c r="AD117" s="329"/>
      <c r="AE117" s="329"/>
      <c r="AF117" s="329"/>
      <c r="AG117" s="329"/>
      <c r="AH117" s="329"/>
      <c r="AI117" s="329"/>
      <c r="AJ117" s="329"/>
      <c r="AK117" s="329"/>
      <c r="AL117" s="329"/>
      <c r="AM117" s="329"/>
      <c r="AN117" s="329"/>
      <c r="AO117" s="329"/>
      <c r="AP117" s="329"/>
    </row>
    <row r="118" spans="3:42">
      <c r="C118" s="38"/>
      <c r="D118" s="329"/>
      <c r="E118" s="329"/>
      <c r="F118" s="329"/>
      <c r="G118" s="329"/>
      <c r="H118" s="329"/>
      <c r="I118" s="329"/>
      <c r="J118" s="329"/>
      <c r="K118" s="329"/>
      <c r="L118" s="329"/>
      <c r="M118" s="329"/>
      <c r="N118" s="329"/>
      <c r="O118" s="329"/>
      <c r="P118" s="329"/>
      <c r="Q118" s="329"/>
      <c r="R118" s="329"/>
      <c r="S118" s="329"/>
      <c r="T118" s="329"/>
      <c r="U118" s="329"/>
      <c r="V118" s="329"/>
      <c r="W118" s="329"/>
      <c r="X118" s="329"/>
      <c r="Y118" s="329"/>
      <c r="Z118" s="329"/>
      <c r="AA118" s="329"/>
      <c r="AB118" s="329"/>
      <c r="AC118" s="329"/>
      <c r="AD118" s="329"/>
      <c r="AE118" s="329"/>
      <c r="AF118" s="329"/>
      <c r="AG118" s="329"/>
      <c r="AH118" s="329"/>
      <c r="AI118" s="329"/>
      <c r="AJ118" s="329"/>
      <c r="AK118" s="329"/>
      <c r="AL118" s="329"/>
      <c r="AM118" s="329"/>
      <c r="AN118" s="329"/>
      <c r="AO118" s="329"/>
      <c r="AP118" s="329"/>
    </row>
    <row r="119" spans="3:42">
      <c r="C119" s="38"/>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29"/>
      <c r="AD119" s="329"/>
      <c r="AE119" s="329"/>
      <c r="AF119" s="329"/>
      <c r="AG119" s="329"/>
      <c r="AH119" s="329"/>
      <c r="AI119" s="329"/>
      <c r="AJ119" s="329"/>
      <c r="AK119" s="329"/>
      <c r="AL119" s="329"/>
      <c r="AM119" s="329"/>
      <c r="AN119" s="329"/>
      <c r="AO119" s="329"/>
      <c r="AP119" s="329"/>
    </row>
    <row r="120" spans="3:42">
      <c r="C120" s="38"/>
      <c r="D120" s="329"/>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329"/>
      <c r="AE120" s="329"/>
      <c r="AF120" s="329"/>
      <c r="AG120" s="329"/>
      <c r="AH120" s="329"/>
      <c r="AI120" s="329"/>
      <c r="AJ120" s="329"/>
      <c r="AK120" s="329"/>
      <c r="AL120" s="329"/>
      <c r="AM120" s="329"/>
      <c r="AN120" s="329"/>
      <c r="AO120" s="329"/>
      <c r="AP120" s="329"/>
    </row>
    <row r="121" spans="3:42">
      <c r="C121" s="38"/>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329"/>
      <c r="AE121" s="329"/>
      <c r="AF121" s="329"/>
      <c r="AG121" s="329"/>
      <c r="AH121" s="329"/>
      <c r="AI121" s="329"/>
      <c r="AJ121" s="329"/>
      <c r="AK121" s="329"/>
      <c r="AL121" s="329"/>
      <c r="AM121" s="329"/>
      <c r="AN121" s="329"/>
      <c r="AO121" s="329"/>
      <c r="AP121" s="329"/>
    </row>
    <row r="122" spans="3:42">
      <c r="C122" s="38"/>
      <c r="D122" s="329"/>
      <c r="E122" s="329"/>
      <c r="F122" s="329"/>
      <c r="G122" s="329"/>
      <c r="H122" s="329"/>
      <c r="I122" s="329"/>
      <c r="J122" s="329"/>
      <c r="K122" s="329"/>
      <c r="L122" s="329"/>
      <c r="M122" s="329"/>
      <c r="N122" s="329"/>
      <c r="O122" s="329"/>
      <c r="P122" s="329"/>
      <c r="Q122" s="329"/>
      <c r="R122" s="329"/>
      <c r="S122" s="329"/>
      <c r="T122" s="329"/>
      <c r="U122" s="329"/>
      <c r="V122" s="329"/>
      <c r="W122" s="329"/>
      <c r="X122" s="329"/>
      <c r="Y122" s="329"/>
      <c r="Z122" s="329"/>
      <c r="AA122" s="329"/>
      <c r="AB122" s="329"/>
      <c r="AC122" s="329"/>
      <c r="AD122" s="329"/>
      <c r="AE122" s="329"/>
      <c r="AF122" s="329"/>
      <c r="AG122" s="329"/>
      <c r="AH122" s="329"/>
      <c r="AI122" s="329"/>
      <c r="AJ122" s="329"/>
      <c r="AK122" s="329"/>
      <c r="AL122" s="329"/>
      <c r="AM122" s="329"/>
      <c r="AN122" s="329"/>
      <c r="AO122" s="329"/>
      <c r="AP122" s="329"/>
    </row>
    <row r="123" spans="3:42">
      <c r="C123" s="38"/>
      <c r="D123" s="329"/>
      <c r="E123" s="329"/>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29"/>
      <c r="AK123" s="329"/>
      <c r="AL123" s="329"/>
      <c r="AM123" s="329"/>
      <c r="AN123" s="329"/>
      <c r="AO123" s="329"/>
      <c r="AP123" s="329"/>
    </row>
    <row r="124" spans="3:42">
      <c r="C124" s="38"/>
      <c r="D124" s="329"/>
      <c r="E124" s="329"/>
      <c r="F124" s="329"/>
      <c r="G124" s="329"/>
      <c r="H124" s="329"/>
      <c r="I124" s="329"/>
      <c r="J124" s="329"/>
      <c r="K124" s="329"/>
      <c r="L124" s="329"/>
      <c r="M124" s="329"/>
      <c r="N124" s="329"/>
      <c r="O124" s="329"/>
      <c r="P124" s="329"/>
      <c r="Q124" s="329"/>
      <c r="R124" s="329"/>
      <c r="S124" s="329"/>
      <c r="T124" s="329"/>
      <c r="U124" s="329"/>
      <c r="V124" s="329"/>
      <c r="W124" s="329"/>
      <c r="X124" s="329"/>
      <c r="Y124" s="329"/>
      <c r="Z124" s="329"/>
      <c r="AA124" s="329"/>
      <c r="AB124" s="329"/>
      <c r="AC124" s="329"/>
      <c r="AD124" s="329"/>
      <c r="AE124" s="329"/>
      <c r="AF124" s="329"/>
      <c r="AG124" s="329"/>
      <c r="AH124" s="329"/>
      <c r="AI124" s="329"/>
      <c r="AJ124" s="329"/>
      <c r="AK124" s="329"/>
      <c r="AL124" s="329"/>
      <c r="AM124" s="329"/>
      <c r="AN124" s="329"/>
      <c r="AO124" s="329"/>
      <c r="AP124" s="329"/>
    </row>
    <row r="125" spans="3:42">
      <c r="C125" s="38"/>
      <c r="D125" s="329"/>
      <c r="E125" s="329"/>
      <c r="F125" s="329"/>
      <c r="G125" s="329"/>
      <c r="H125" s="329"/>
      <c r="I125" s="329"/>
      <c r="J125" s="329"/>
      <c r="K125" s="329"/>
      <c r="L125" s="329"/>
      <c r="M125" s="329"/>
      <c r="N125" s="329"/>
      <c r="O125" s="329"/>
      <c r="P125" s="329"/>
      <c r="Q125" s="329"/>
      <c r="R125" s="329"/>
      <c r="S125" s="329"/>
      <c r="T125" s="329"/>
      <c r="U125" s="329"/>
      <c r="V125" s="329"/>
      <c r="W125" s="329"/>
      <c r="X125" s="329"/>
      <c r="Y125" s="329"/>
      <c r="Z125" s="329"/>
      <c r="AA125" s="329"/>
      <c r="AB125" s="329"/>
      <c r="AC125" s="329"/>
      <c r="AD125" s="329"/>
      <c r="AE125" s="329"/>
      <c r="AF125" s="329"/>
      <c r="AG125" s="329"/>
      <c r="AH125" s="329"/>
      <c r="AI125" s="329"/>
      <c r="AJ125" s="329"/>
      <c r="AK125" s="329"/>
      <c r="AL125" s="329"/>
      <c r="AM125" s="329"/>
      <c r="AN125" s="329"/>
      <c r="AO125" s="329"/>
      <c r="AP125" s="329"/>
    </row>
    <row r="126" spans="3:42">
      <c r="C126" s="38"/>
      <c r="D126" s="329"/>
      <c r="E126" s="329"/>
      <c r="F126" s="329"/>
      <c r="G126" s="329"/>
      <c r="H126" s="329"/>
      <c r="I126" s="329"/>
      <c r="J126" s="329"/>
      <c r="K126" s="329"/>
      <c r="L126" s="329"/>
      <c r="M126" s="329"/>
      <c r="N126" s="329"/>
      <c r="O126" s="329"/>
      <c r="P126" s="329"/>
      <c r="Q126" s="329"/>
      <c r="R126" s="329"/>
      <c r="S126" s="329"/>
      <c r="T126" s="329"/>
      <c r="U126" s="329"/>
      <c r="V126" s="329"/>
      <c r="W126" s="329"/>
      <c r="X126" s="329"/>
      <c r="Y126" s="329"/>
      <c r="Z126" s="329"/>
      <c r="AA126" s="329"/>
      <c r="AB126" s="329"/>
      <c r="AC126" s="329"/>
      <c r="AD126" s="329"/>
      <c r="AE126" s="329"/>
      <c r="AF126" s="329"/>
      <c r="AG126" s="329"/>
      <c r="AH126" s="329"/>
      <c r="AI126" s="329"/>
      <c r="AJ126" s="329"/>
      <c r="AK126" s="329"/>
      <c r="AL126" s="329"/>
      <c r="AM126" s="329"/>
      <c r="AN126" s="329"/>
      <c r="AO126" s="329"/>
      <c r="AP126" s="329"/>
    </row>
    <row r="127" spans="3:42">
      <c r="C127" s="38"/>
      <c r="D127" s="329"/>
      <c r="E127" s="329"/>
      <c r="F127" s="329"/>
      <c r="G127" s="329"/>
      <c r="H127" s="329"/>
      <c r="I127" s="329"/>
      <c r="J127" s="329"/>
      <c r="K127" s="329"/>
      <c r="L127" s="329"/>
      <c r="M127" s="329"/>
      <c r="N127" s="329"/>
      <c r="O127" s="329"/>
      <c r="P127" s="329"/>
      <c r="Q127" s="329"/>
      <c r="R127" s="329"/>
      <c r="S127" s="329"/>
      <c r="T127" s="329"/>
      <c r="U127" s="329"/>
      <c r="V127" s="329"/>
      <c r="W127" s="329"/>
      <c r="X127" s="329"/>
      <c r="Y127" s="329"/>
      <c r="Z127" s="329"/>
      <c r="AA127" s="329"/>
      <c r="AB127" s="329"/>
      <c r="AC127" s="329"/>
      <c r="AD127" s="329"/>
      <c r="AE127" s="329"/>
      <c r="AF127" s="329"/>
      <c r="AG127" s="329"/>
      <c r="AH127" s="329"/>
      <c r="AI127" s="329"/>
      <c r="AJ127" s="329"/>
      <c r="AK127" s="329"/>
      <c r="AL127" s="329"/>
      <c r="AM127" s="329"/>
      <c r="AN127" s="329"/>
      <c r="AO127" s="329"/>
      <c r="AP127" s="329"/>
    </row>
    <row r="128" spans="3:42">
      <c r="C128" s="38"/>
      <c r="D128" s="329"/>
      <c r="E128" s="329"/>
      <c r="F128" s="329"/>
      <c r="G128" s="329"/>
      <c r="H128" s="329"/>
      <c r="I128" s="329"/>
      <c r="J128" s="329"/>
      <c r="K128" s="329"/>
      <c r="L128" s="329"/>
      <c r="M128" s="329"/>
      <c r="N128" s="329"/>
      <c r="O128" s="329"/>
      <c r="P128" s="329"/>
      <c r="Q128" s="329"/>
      <c r="R128" s="329"/>
      <c r="S128" s="329"/>
      <c r="T128" s="329"/>
      <c r="U128" s="329"/>
      <c r="V128" s="329"/>
      <c r="W128" s="329"/>
      <c r="X128" s="329"/>
      <c r="Y128" s="329"/>
      <c r="Z128" s="329"/>
      <c r="AA128" s="329"/>
      <c r="AB128" s="329"/>
      <c r="AC128" s="329"/>
      <c r="AD128" s="329"/>
      <c r="AE128" s="329"/>
      <c r="AF128" s="329"/>
      <c r="AG128" s="329"/>
      <c r="AH128" s="329"/>
      <c r="AI128" s="329"/>
      <c r="AJ128" s="329"/>
      <c r="AK128" s="329"/>
      <c r="AL128" s="329"/>
      <c r="AM128" s="329"/>
      <c r="AN128" s="329"/>
      <c r="AO128" s="329"/>
      <c r="AP128" s="329"/>
    </row>
    <row r="129" spans="3:42">
      <c r="C129" s="38"/>
      <c r="D129" s="329"/>
      <c r="E129" s="329"/>
      <c r="F129" s="329"/>
      <c r="G129" s="329"/>
      <c r="H129" s="329"/>
      <c r="I129" s="329"/>
      <c r="J129" s="329"/>
      <c r="K129" s="329"/>
      <c r="L129" s="329"/>
      <c r="M129" s="329"/>
      <c r="N129" s="329"/>
      <c r="O129" s="329"/>
      <c r="P129" s="329"/>
      <c r="Q129" s="329"/>
      <c r="R129" s="329"/>
      <c r="S129" s="329"/>
      <c r="T129" s="329"/>
      <c r="U129" s="329"/>
      <c r="V129" s="329"/>
      <c r="W129" s="329"/>
      <c r="X129" s="329"/>
      <c r="Y129" s="329"/>
      <c r="Z129" s="329"/>
      <c r="AA129" s="329"/>
      <c r="AB129" s="329"/>
      <c r="AC129" s="329"/>
      <c r="AD129" s="329"/>
      <c r="AE129" s="329"/>
      <c r="AF129" s="329"/>
      <c r="AG129" s="329"/>
      <c r="AH129" s="329"/>
      <c r="AI129" s="329"/>
      <c r="AJ129" s="329"/>
      <c r="AK129" s="329"/>
      <c r="AL129" s="329"/>
      <c r="AM129" s="329"/>
      <c r="AN129" s="329"/>
      <c r="AO129" s="329"/>
      <c r="AP129" s="329"/>
    </row>
    <row r="130" spans="3:42">
      <c r="C130" s="38"/>
      <c r="D130" s="329"/>
      <c r="E130" s="329"/>
      <c r="F130" s="329"/>
      <c r="G130" s="329"/>
      <c r="H130" s="329"/>
      <c r="I130" s="329"/>
      <c r="J130" s="329"/>
      <c r="K130" s="329"/>
      <c r="L130" s="329"/>
      <c r="M130" s="329"/>
      <c r="N130" s="329"/>
      <c r="O130" s="329"/>
      <c r="P130" s="329"/>
      <c r="Q130" s="329"/>
      <c r="R130" s="329"/>
      <c r="S130" s="329"/>
      <c r="T130" s="329"/>
      <c r="U130" s="329"/>
      <c r="V130" s="329"/>
      <c r="W130" s="329"/>
      <c r="X130" s="329"/>
      <c r="Y130" s="329"/>
      <c r="Z130" s="329"/>
      <c r="AA130" s="329"/>
      <c r="AB130" s="329"/>
      <c r="AC130" s="329"/>
      <c r="AD130" s="329"/>
      <c r="AE130" s="329"/>
      <c r="AF130" s="329"/>
      <c r="AG130" s="329"/>
      <c r="AH130" s="329"/>
      <c r="AI130" s="329"/>
      <c r="AJ130" s="329"/>
      <c r="AK130" s="329"/>
      <c r="AL130" s="329"/>
      <c r="AM130" s="329"/>
      <c r="AN130" s="329"/>
      <c r="AO130" s="329"/>
      <c r="AP130" s="329"/>
    </row>
    <row r="131" spans="3:42">
      <c r="C131" s="38"/>
      <c r="D131" s="329"/>
      <c r="E131" s="329"/>
      <c r="F131" s="329"/>
      <c r="G131" s="329"/>
      <c r="H131" s="329"/>
      <c r="I131" s="329"/>
      <c r="J131" s="329"/>
      <c r="K131" s="329"/>
      <c r="L131" s="329"/>
      <c r="M131" s="329"/>
      <c r="N131" s="329"/>
      <c r="O131" s="329"/>
      <c r="P131" s="329"/>
      <c r="Q131" s="329"/>
      <c r="R131" s="329"/>
      <c r="S131" s="329"/>
      <c r="T131" s="329"/>
      <c r="U131" s="329"/>
      <c r="V131" s="329"/>
      <c r="W131" s="329"/>
      <c r="X131" s="329"/>
      <c r="Y131" s="329"/>
      <c r="Z131" s="329"/>
      <c r="AA131" s="329"/>
      <c r="AB131" s="329"/>
      <c r="AC131" s="329"/>
      <c r="AD131" s="329"/>
      <c r="AE131" s="329"/>
      <c r="AF131" s="329"/>
      <c r="AG131" s="329"/>
      <c r="AH131" s="329"/>
      <c r="AI131" s="329"/>
      <c r="AJ131" s="329"/>
      <c r="AK131" s="329"/>
      <c r="AL131" s="329"/>
      <c r="AM131" s="329"/>
      <c r="AN131" s="329"/>
      <c r="AO131" s="329"/>
      <c r="AP131" s="329"/>
    </row>
    <row r="132" spans="3:42">
      <c r="C132" s="38"/>
      <c r="D132" s="329"/>
      <c r="E132" s="329"/>
      <c r="F132" s="329"/>
      <c r="G132" s="329"/>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c r="AN132" s="329"/>
      <c r="AO132" s="329"/>
      <c r="AP132" s="329"/>
    </row>
    <row r="133" spans="3:42">
      <c r="C133" s="38"/>
      <c r="D133" s="329"/>
      <c r="E133" s="329"/>
      <c r="F133" s="329"/>
      <c r="G133" s="329"/>
      <c r="H133" s="329"/>
      <c r="I133" s="329"/>
      <c r="J133" s="329"/>
      <c r="K133" s="329"/>
      <c r="L133" s="329"/>
      <c r="M133" s="329"/>
      <c r="N133" s="329"/>
      <c r="O133" s="329"/>
      <c r="P133" s="329"/>
      <c r="Q133" s="329"/>
      <c r="R133" s="329"/>
      <c r="S133" s="329"/>
      <c r="T133" s="329"/>
      <c r="U133" s="329"/>
      <c r="V133" s="329"/>
      <c r="W133" s="329"/>
      <c r="X133" s="329"/>
      <c r="Y133" s="329"/>
      <c r="Z133" s="329"/>
      <c r="AA133" s="329"/>
      <c r="AB133" s="329"/>
      <c r="AC133" s="329"/>
      <c r="AD133" s="329"/>
      <c r="AE133" s="329"/>
      <c r="AF133" s="329"/>
      <c r="AG133" s="329"/>
      <c r="AH133" s="329"/>
      <c r="AI133" s="329"/>
      <c r="AJ133" s="329"/>
      <c r="AK133" s="329"/>
      <c r="AL133" s="329"/>
      <c r="AM133" s="329"/>
      <c r="AN133" s="329"/>
      <c r="AO133" s="329"/>
      <c r="AP133" s="329"/>
    </row>
    <row r="134" spans="3:42">
      <c r="C134" s="38"/>
      <c r="D134" s="329"/>
      <c r="E134" s="329"/>
      <c r="F134" s="329"/>
      <c r="G134" s="329"/>
      <c r="H134" s="329"/>
      <c r="I134" s="329"/>
      <c r="J134" s="329"/>
      <c r="K134" s="329"/>
      <c r="L134" s="329"/>
      <c r="M134" s="329"/>
      <c r="N134" s="329"/>
      <c r="O134" s="329"/>
      <c r="P134" s="329"/>
      <c r="Q134" s="329"/>
      <c r="R134" s="329"/>
      <c r="S134" s="329"/>
      <c r="T134" s="329"/>
      <c r="U134" s="329"/>
      <c r="V134" s="329"/>
      <c r="W134" s="329"/>
      <c r="X134" s="329"/>
      <c r="Y134" s="329"/>
      <c r="Z134" s="329"/>
      <c r="AA134" s="329"/>
      <c r="AB134" s="329"/>
      <c r="AC134" s="329"/>
      <c r="AD134" s="329"/>
      <c r="AE134" s="329"/>
      <c r="AF134" s="329"/>
      <c r="AG134" s="329"/>
      <c r="AH134" s="329"/>
      <c r="AI134" s="329"/>
      <c r="AJ134" s="329"/>
      <c r="AK134" s="329"/>
      <c r="AL134" s="329"/>
      <c r="AM134" s="329"/>
      <c r="AN134" s="329"/>
      <c r="AO134" s="329"/>
      <c r="AP134" s="329"/>
    </row>
    <row r="135" spans="3:42">
      <c r="C135" s="38"/>
      <c r="D135" s="329"/>
      <c r="E135" s="329"/>
      <c r="F135" s="329"/>
      <c r="G135" s="329"/>
      <c r="H135" s="329"/>
      <c r="I135" s="329"/>
      <c r="J135" s="329"/>
      <c r="K135" s="329"/>
      <c r="L135" s="329"/>
      <c r="M135" s="329"/>
      <c r="N135" s="329"/>
      <c r="O135" s="329"/>
      <c r="P135" s="329"/>
      <c r="Q135" s="329"/>
      <c r="R135" s="329"/>
      <c r="S135" s="329"/>
      <c r="T135" s="329"/>
      <c r="U135" s="329"/>
      <c r="V135" s="329"/>
      <c r="W135" s="329"/>
      <c r="X135" s="329"/>
      <c r="Y135" s="329"/>
      <c r="Z135" s="329"/>
      <c r="AA135" s="329"/>
      <c r="AB135" s="329"/>
      <c r="AC135" s="329"/>
      <c r="AD135" s="329"/>
      <c r="AE135" s="329"/>
      <c r="AF135" s="329"/>
      <c r="AG135" s="329"/>
      <c r="AH135" s="329"/>
      <c r="AI135" s="329"/>
      <c r="AJ135" s="329"/>
      <c r="AK135" s="329"/>
      <c r="AL135" s="329"/>
      <c r="AM135" s="329"/>
      <c r="AN135" s="329"/>
      <c r="AO135" s="329"/>
      <c r="AP135" s="329"/>
    </row>
    <row r="136" spans="3:42">
      <c r="C136" s="38"/>
      <c r="D136" s="329"/>
      <c r="E136" s="329"/>
      <c r="F136" s="329"/>
      <c r="G136" s="329"/>
      <c r="H136" s="329"/>
      <c r="I136" s="329"/>
      <c r="J136" s="329"/>
      <c r="K136" s="329"/>
      <c r="L136" s="329"/>
      <c r="M136" s="329"/>
      <c r="N136" s="329"/>
      <c r="O136" s="329"/>
      <c r="P136" s="329"/>
      <c r="Q136" s="329"/>
      <c r="R136" s="329"/>
      <c r="S136" s="329"/>
      <c r="T136" s="329"/>
      <c r="U136" s="329"/>
      <c r="V136" s="329"/>
      <c r="W136" s="329"/>
      <c r="X136" s="329"/>
      <c r="Y136" s="329"/>
      <c r="Z136" s="329"/>
      <c r="AA136" s="329"/>
      <c r="AB136" s="329"/>
      <c r="AC136" s="329"/>
      <c r="AD136" s="329"/>
      <c r="AE136" s="329"/>
      <c r="AF136" s="329"/>
      <c r="AG136" s="329"/>
      <c r="AH136" s="329"/>
      <c r="AI136" s="329"/>
      <c r="AJ136" s="329"/>
      <c r="AK136" s="329"/>
      <c r="AL136" s="329"/>
      <c r="AM136" s="329"/>
      <c r="AN136" s="329"/>
      <c r="AO136" s="329"/>
      <c r="AP136" s="329"/>
    </row>
    <row r="137" spans="3:42">
      <c r="C137" s="38"/>
      <c r="D137" s="329"/>
      <c r="E137" s="329"/>
      <c r="F137" s="329"/>
      <c r="G137" s="329"/>
      <c r="H137" s="329"/>
      <c r="I137" s="329"/>
      <c r="J137" s="329"/>
      <c r="K137" s="329"/>
      <c r="L137" s="329"/>
      <c r="M137" s="329"/>
      <c r="N137" s="329"/>
      <c r="O137" s="329"/>
      <c r="P137" s="329"/>
      <c r="Q137" s="329"/>
      <c r="R137" s="329"/>
      <c r="S137" s="329"/>
      <c r="T137" s="329"/>
      <c r="U137" s="329"/>
      <c r="V137" s="329"/>
      <c r="W137" s="329"/>
      <c r="X137" s="329"/>
      <c r="Y137" s="329"/>
      <c r="Z137" s="329"/>
      <c r="AA137" s="329"/>
      <c r="AB137" s="329"/>
      <c r="AC137" s="329"/>
      <c r="AD137" s="329"/>
      <c r="AE137" s="329"/>
      <c r="AF137" s="329"/>
      <c r="AG137" s="329"/>
      <c r="AH137" s="329"/>
      <c r="AI137" s="329"/>
      <c r="AJ137" s="329"/>
      <c r="AK137" s="329"/>
      <c r="AL137" s="329"/>
      <c r="AM137" s="329"/>
      <c r="AN137" s="329"/>
      <c r="AO137" s="329"/>
      <c r="AP137" s="329"/>
    </row>
    <row r="138" spans="3:42">
      <c r="C138" s="38"/>
      <c r="D138" s="329"/>
      <c r="E138" s="329"/>
      <c r="F138" s="329"/>
      <c r="G138" s="329"/>
      <c r="H138" s="329"/>
      <c r="I138" s="329"/>
      <c r="J138" s="329"/>
      <c r="K138" s="329"/>
      <c r="L138" s="329"/>
      <c r="M138" s="329"/>
      <c r="N138" s="329"/>
      <c r="O138" s="329"/>
      <c r="P138" s="329"/>
      <c r="Q138" s="329"/>
      <c r="R138" s="329"/>
      <c r="S138" s="329"/>
      <c r="T138" s="329"/>
      <c r="U138" s="329"/>
      <c r="V138" s="329"/>
      <c r="W138" s="329"/>
      <c r="X138" s="329"/>
      <c r="Y138" s="329"/>
      <c r="Z138" s="329"/>
      <c r="AA138" s="329"/>
      <c r="AB138" s="329"/>
      <c r="AC138" s="329"/>
      <c r="AD138" s="329"/>
      <c r="AE138" s="329"/>
      <c r="AF138" s="329"/>
      <c r="AG138" s="329"/>
      <c r="AH138" s="329"/>
      <c r="AI138" s="329"/>
      <c r="AJ138" s="329"/>
      <c r="AK138" s="329"/>
      <c r="AL138" s="329"/>
      <c r="AM138" s="329"/>
      <c r="AN138" s="329"/>
      <c r="AO138" s="329"/>
      <c r="AP138" s="329"/>
    </row>
    <row r="139" spans="3:42">
      <c r="C139" s="38"/>
      <c r="D139" s="329"/>
      <c r="E139" s="329"/>
      <c r="F139" s="329"/>
      <c r="G139" s="329"/>
      <c r="H139" s="329"/>
      <c r="I139" s="329"/>
      <c r="J139" s="329"/>
      <c r="K139" s="329"/>
      <c r="L139" s="329"/>
      <c r="M139" s="329"/>
      <c r="N139" s="329"/>
      <c r="O139" s="329"/>
      <c r="P139" s="329"/>
      <c r="Q139" s="329"/>
      <c r="R139" s="329"/>
      <c r="S139" s="329"/>
      <c r="T139" s="329"/>
      <c r="U139" s="329"/>
      <c r="V139" s="329"/>
      <c r="W139" s="329"/>
      <c r="X139" s="329"/>
      <c r="Y139" s="329"/>
      <c r="Z139" s="329"/>
      <c r="AA139" s="329"/>
      <c r="AB139" s="329"/>
      <c r="AC139" s="329"/>
      <c r="AD139" s="329"/>
      <c r="AE139" s="329"/>
      <c r="AF139" s="329"/>
      <c r="AG139" s="329"/>
      <c r="AH139" s="329"/>
      <c r="AI139" s="329"/>
      <c r="AJ139" s="329"/>
      <c r="AK139" s="329"/>
      <c r="AL139" s="329"/>
      <c r="AM139" s="329"/>
      <c r="AN139" s="329"/>
      <c r="AO139" s="329"/>
      <c r="AP139" s="329"/>
    </row>
    <row r="140" spans="3:42">
      <c r="C140" s="38"/>
      <c r="D140" s="329"/>
      <c r="E140" s="329"/>
      <c r="F140" s="329"/>
      <c r="G140" s="329"/>
      <c r="H140" s="329"/>
      <c r="I140" s="329"/>
      <c r="J140" s="329"/>
      <c r="K140" s="329"/>
      <c r="L140" s="329"/>
      <c r="M140" s="329"/>
      <c r="N140" s="329"/>
      <c r="O140" s="329"/>
      <c r="P140" s="329"/>
      <c r="Q140" s="329"/>
      <c r="R140" s="329"/>
      <c r="S140" s="329"/>
      <c r="T140" s="329"/>
      <c r="U140" s="329"/>
      <c r="V140" s="329"/>
      <c r="W140" s="329"/>
      <c r="X140" s="329"/>
      <c r="Y140" s="329"/>
      <c r="Z140" s="329"/>
      <c r="AA140" s="329"/>
      <c r="AB140" s="329"/>
      <c r="AC140" s="329"/>
      <c r="AD140" s="329"/>
      <c r="AE140" s="329"/>
      <c r="AF140" s="329"/>
      <c r="AG140" s="329"/>
      <c r="AH140" s="329"/>
      <c r="AI140" s="329"/>
      <c r="AJ140" s="329"/>
      <c r="AK140" s="329"/>
      <c r="AL140" s="329"/>
      <c r="AM140" s="329"/>
      <c r="AN140" s="329"/>
      <c r="AO140" s="329"/>
      <c r="AP140" s="329"/>
    </row>
    <row r="141" spans="3:42">
      <c r="C141" s="38"/>
      <c r="D141" s="329"/>
      <c r="E141" s="329"/>
      <c r="F141" s="329"/>
      <c r="G141" s="329"/>
      <c r="H141" s="329"/>
      <c r="I141" s="329"/>
      <c r="J141" s="329"/>
      <c r="K141" s="329"/>
      <c r="L141" s="329"/>
      <c r="M141" s="329"/>
      <c r="N141" s="329"/>
      <c r="O141" s="329"/>
      <c r="P141" s="329"/>
      <c r="Q141" s="329"/>
      <c r="R141" s="329"/>
      <c r="S141" s="329"/>
      <c r="T141" s="329"/>
      <c r="U141" s="329"/>
      <c r="V141" s="329"/>
      <c r="W141" s="329"/>
      <c r="X141" s="329"/>
      <c r="Y141" s="329"/>
      <c r="Z141" s="329"/>
      <c r="AA141" s="329"/>
      <c r="AB141" s="329"/>
      <c r="AC141" s="329"/>
      <c r="AD141" s="329"/>
      <c r="AE141" s="329"/>
      <c r="AF141" s="329"/>
      <c r="AG141" s="329"/>
      <c r="AH141" s="329"/>
      <c r="AI141" s="329"/>
      <c r="AJ141" s="329"/>
      <c r="AK141" s="329"/>
      <c r="AL141" s="329"/>
      <c r="AM141" s="329"/>
      <c r="AN141" s="329"/>
      <c r="AO141" s="329"/>
      <c r="AP141" s="329"/>
    </row>
    <row r="142" spans="3:42">
      <c r="C142" s="38"/>
      <c r="D142" s="329"/>
      <c r="E142" s="329"/>
      <c r="F142" s="329"/>
      <c r="G142" s="329"/>
      <c r="H142" s="329"/>
      <c r="I142" s="329"/>
      <c r="J142" s="329"/>
      <c r="K142" s="329"/>
      <c r="L142" s="329"/>
      <c r="M142" s="329"/>
      <c r="N142" s="329"/>
      <c r="O142" s="329"/>
      <c r="P142" s="329"/>
      <c r="Q142" s="329"/>
      <c r="R142" s="329"/>
      <c r="S142" s="329"/>
      <c r="T142" s="329"/>
      <c r="U142" s="329"/>
      <c r="V142" s="329"/>
      <c r="W142" s="329"/>
      <c r="X142" s="329"/>
      <c r="Y142" s="329"/>
      <c r="Z142" s="329"/>
      <c r="AA142" s="329"/>
      <c r="AB142" s="329"/>
      <c r="AC142" s="329"/>
      <c r="AD142" s="329"/>
      <c r="AE142" s="329"/>
      <c r="AF142" s="329"/>
      <c r="AG142" s="329"/>
      <c r="AH142" s="329"/>
      <c r="AI142" s="329"/>
      <c r="AJ142" s="329"/>
      <c r="AK142" s="329"/>
      <c r="AL142" s="329"/>
      <c r="AM142" s="329"/>
      <c r="AN142" s="329"/>
      <c r="AO142" s="329"/>
      <c r="AP142" s="329"/>
    </row>
    <row r="143" spans="3:42">
      <c r="C143" s="38"/>
      <c r="D143" s="329"/>
      <c r="E143" s="329"/>
      <c r="F143" s="329"/>
      <c r="G143" s="329"/>
      <c r="H143" s="329"/>
      <c r="I143" s="329"/>
      <c r="J143" s="329"/>
      <c r="K143" s="329"/>
      <c r="L143" s="329"/>
      <c r="M143" s="329"/>
      <c r="N143" s="329"/>
      <c r="O143" s="329"/>
      <c r="P143" s="329"/>
      <c r="Q143" s="329"/>
      <c r="R143" s="329"/>
      <c r="S143" s="329"/>
      <c r="T143" s="329"/>
      <c r="U143" s="329"/>
      <c r="V143" s="329"/>
      <c r="W143" s="329"/>
      <c r="X143" s="329"/>
      <c r="Y143" s="329"/>
      <c r="Z143" s="329"/>
      <c r="AA143" s="329"/>
      <c r="AB143" s="329"/>
      <c r="AC143" s="329"/>
      <c r="AD143" s="329"/>
      <c r="AE143" s="329"/>
      <c r="AF143" s="329"/>
      <c r="AG143" s="329"/>
      <c r="AH143" s="329"/>
      <c r="AI143" s="329"/>
      <c r="AJ143" s="329"/>
      <c r="AK143" s="329"/>
      <c r="AL143" s="329"/>
      <c r="AM143" s="329"/>
      <c r="AN143" s="329"/>
      <c r="AO143" s="329"/>
      <c r="AP143" s="329"/>
    </row>
    <row r="144" spans="3:42">
      <c r="C144" s="38"/>
      <c r="D144" s="329"/>
      <c r="E144" s="329"/>
      <c r="F144" s="329"/>
      <c r="G144" s="329"/>
      <c r="H144" s="329"/>
      <c r="I144" s="329"/>
      <c r="J144" s="329"/>
      <c r="K144" s="329"/>
      <c r="L144" s="329"/>
      <c r="M144" s="329"/>
      <c r="N144" s="329"/>
      <c r="O144" s="329"/>
      <c r="P144" s="329"/>
      <c r="Q144" s="329"/>
      <c r="R144" s="329"/>
      <c r="S144" s="329"/>
      <c r="T144" s="329"/>
      <c r="U144" s="329"/>
      <c r="V144" s="329"/>
      <c r="W144" s="329"/>
      <c r="X144" s="329"/>
      <c r="Y144" s="329"/>
      <c r="Z144" s="329"/>
      <c r="AA144" s="329"/>
      <c r="AB144" s="329"/>
      <c r="AC144" s="329"/>
      <c r="AD144" s="329"/>
      <c r="AE144" s="329"/>
      <c r="AF144" s="329"/>
      <c r="AG144" s="329"/>
      <c r="AH144" s="329"/>
      <c r="AI144" s="329"/>
      <c r="AJ144" s="329"/>
      <c r="AK144" s="329"/>
      <c r="AL144" s="329"/>
      <c r="AM144" s="329"/>
      <c r="AN144" s="329"/>
      <c r="AO144" s="329"/>
      <c r="AP144" s="329"/>
    </row>
    <row r="145" spans="3:42">
      <c r="C145" s="38"/>
      <c r="D145" s="329"/>
      <c r="E145" s="329"/>
      <c r="F145" s="329"/>
      <c r="G145" s="329"/>
      <c r="H145" s="329"/>
      <c r="I145" s="329"/>
      <c r="J145" s="329"/>
      <c r="K145" s="329"/>
      <c r="L145" s="329"/>
      <c r="M145" s="329"/>
      <c r="N145" s="329"/>
      <c r="O145" s="329"/>
      <c r="P145" s="329"/>
      <c r="Q145" s="329"/>
      <c r="R145" s="329"/>
      <c r="S145" s="329"/>
      <c r="T145" s="329"/>
      <c r="U145" s="329"/>
      <c r="V145" s="329"/>
      <c r="W145" s="329"/>
      <c r="X145" s="329"/>
      <c r="Y145" s="329"/>
      <c r="Z145" s="329"/>
      <c r="AA145" s="329"/>
      <c r="AB145" s="329"/>
      <c r="AC145" s="329"/>
      <c r="AD145" s="329"/>
      <c r="AE145" s="329"/>
      <c r="AF145" s="329"/>
      <c r="AG145" s="329"/>
      <c r="AH145" s="329"/>
      <c r="AI145" s="329"/>
      <c r="AJ145" s="329"/>
      <c r="AK145" s="329"/>
      <c r="AL145" s="329"/>
      <c r="AM145" s="329"/>
      <c r="AN145" s="329"/>
      <c r="AO145" s="329"/>
      <c r="AP145" s="329"/>
    </row>
    <row r="146" spans="3:42">
      <c r="C146" s="38"/>
      <c r="D146" s="329"/>
      <c r="E146" s="329"/>
      <c r="F146" s="329"/>
      <c r="G146" s="329"/>
      <c r="H146" s="329"/>
      <c r="I146" s="329"/>
      <c r="J146" s="329"/>
      <c r="K146" s="329"/>
      <c r="L146" s="329"/>
      <c r="M146" s="329"/>
      <c r="N146" s="329"/>
      <c r="O146" s="329"/>
      <c r="P146" s="329"/>
      <c r="Q146" s="329"/>
      <c r="R146" s="329"/>
      <c r="S146" s="329"/>
      <c r="T146" s="329"/>
      <c r="U146" s="329"/>
      <c r="V146" s="329"/>
      <c r="W146" s="329"/>
      <c r="X146" s="329"/>
      <c r="Y146" s="329"/>
      <c r="Z146" s="329"/>
      <c r="AA146" s="329"/>
      <c r="AB146" s="329"/>
      <c r="AC146" s="329"/>
      <c r="AD146" s="329"/>
      <c r="AE146" s="329"/>
      <c r="AF146" s="329"/>
      <c r="AG146" s="329"/>
      <c r="AH146" s="329"/>
      <c r="AI146" s="329"/>
      <c r="AJ146" s="329"/>
      <c r="AK146" s="329"/>
      <c r="AL146" s="329"/>
      <c r="AM146" s="329"/>
      <c r="AN146" s="329"/>
      <c r="AO146" s="329"/>
      <c r="AP146" s="329"/>
    </row>
    <row r="147" spans="3:42">
      <c r="C147" s="38"/>
      <c r="D147" s="329"/>
      <c r="E147" s="329"/>
      <c r="F147" s="329"/>
      <c r="G147" s="329"/>
      <c r="H147" s="329"/>
      <c r="I147" s="329"/>
      <c r="J147" s="329"/>
      <c r="K147" s="329"/>
      <c r="L147" s="329"/>
      <c r="M147" s="329"/>
      <c r="N147" s="329"/>
      <c r="O147" s="329"/>
      <c r="P147" s="329"/>
      <c r="Q147" s="329"/>
      <c r="R147" s="329"/>
      <c r="S147" s="329"/>
      <c r="T147" s="329"/>
      <c r="U147" s="329"/>
      <c r="V147" s="329"/>
      <c r="W147" s="329"/>
      <c r="X147" s="329"/>
      <c r="Y147" s="329"/>
      <c r="Z147" s="329"/>
      <c r="AA147" s="329"/>
      <c r="AB147" s="329"/>
      <c r="AC147" s="329"/>
      <c r="AD147" s="329"/>
      <c r="AE147" s="329"/>
      <c r="AF147" s="329"/>
      <c r="AG147" s="329"/>
      <c r="AH147" s="329"/>
      <c r="AI147" s="329"/>
      <c r="AJ147" s="329"/>
      <c r="AK147" s="329"/>
      <c r="AL147" s="329"/>
      <c r="AM147" s="329"/>
      <c r="AN147" s="329"/>
      <c r="AO147" s="329"/>
      <c r="AP147" s="329"/>
    </row>
    <row r="148" spans="3:42">
      <c r="C148" s="38"/>
      <c r="D148" s="329"/>
      <c r="E148" s="329"/>
      <c r="F148" s="329"/>
      <c r="G148" s="329"/>
      <c r="H148" s="329"/>
      <c r="I148" s="329"/>
      <c r="J148" s="329"/>
      <c r="K148" s="329"/>
      <c r="L148" s="329"/>
      <c r="M148" s="329"/>
      <c r="N148" s="329"/>
      <c r="O148" s="329"/>
      <c r="P148" s="329"/>
      <c r="Q148" s="329"/>
      <c r="R148" s="329"/>
      <c r="S148" s="329"/>
      <c r="T148" s="329"/>
      <c r="U148" s="329"/>
      <c r="V148" s="329"/>
      <c r="W148" s="329"/>
      <c r="X148" s="329"/>
      <c r="Y148" s="329"/>
      <c r="Z148" s="329"/>
      <c r="AA148" s="329"/>
      <c r="AB148" s="329"/>
      <c r="AC148" s="329"/>
      <c r="AD148" s="329"/>
      <c r="AE148" s="329"/>
      <c r="AF148" s="329"/>
      <c r="AG148" s="329"/>
      <c r="AH148" s="329"/>
      <c r="AI148" s="329"/>
      <c r="AJ148" s="329"/>
      <c r="AK148" s="329"/>
      <c r="AL148" s="329"/>
      <c r="AM148" s="329"/>
      <c r="AN148" s="329"/>
      <c r="AO148" s="329"/>
      <c r="AP148" s="329"/>
    </row>
    <row r="149" spans="3:42">
      <c r="C149" s="38"/>
      <c r="D149" s="329"/>
      <c r="E149" s="329"/>
      <c r="F149" s="329"/>
      <c r="G149" s="329"/>
      <c r="H149" s="329"/>
      <c r="I149" s="329"/>
      <c r="J149" s="329"/>
      <c r="K149" s="329"/>
      <c r="L149" s="329"/>
      <c r="M149" s="329"/>
      <c r="N149" s="329"/>
      <c r="O149" s="329"/>
      <c r="P149" s="329"/>
      <c r="Q149" s="329"/>
      <c r="R149" s="329"/>
      <c r="S149" s="329"/>
      <c r="T149" s="329"/>
      <c r="U149" s="329"/>
      <c r="V149" s="329"/>
      <c r="W149" s="329"/>
      <c r="X149" s="329"/>
      <c r="Y149" s="329"/>
      <c r="Z149" s="329"/>
      <c r="AA149" s="329"/>
      <c r="AB149" s="329"/>
      <c r="AC149" s="329"/>
      <c r="AD149" s="329"/>
      <c r="AE149" s="329"/>
      <c r="AF149" s="329"/>
      <c r="AG149" s="329"/>
      <c r="AH149" s="329"/>
      <c r="AI149" s="329"/>
      <c r="AJ149" s="329"/>
      <c r="AK149" s="329"/>
      <c r="AL149" s="329"/>
      <c r="AM149" s="329"/>
      <c r="AN149" s="329"/>
      <c r="AO149" s="329"/>
      <c r="AP149" s="329"/>
    </row>
    <row r="150" spans="3:42">
      <c r="C150" s="38"/>
      <c r="D150" s="329"/>
      <c r="E150" s="329"/>
      <c r="F150" s="329"/>
      <c r="G150" s="329"/>
      <c r="H150" s="329"/>
      <c r="I150" s="329"/>
      <c r="J150" s="329"/>
      <c r="K150" s="329"/>
      <c r="L150" s="329"/>
      <c r="M150" s="329"/>
      <c r="N150" s="329"/>
      <c r="O150" s="329"/>
      <c r="P150" s="329"/>
      <c r="Q150" s="329"/>
      <c r="R150" s="329"/>
      <c r="S150" s="329"/>
      <c r="T150" s="329"/>
      <c r="U150" s="329"/>
      <c r="V150" s="329"/>
      <c r="W150" s="329"/>
      <c r="X150" s="329"/>
      <c r="Y150" s="329"/>
      <c r="Z150" s="329"/>
      <c r="AA150" s="329"/>
      <c r="AB150" s="329"/>
      <c r="AC150" s="329"/>
      <c r="AD150" s="329"/>
      <c r="AE150" s="329"/>
      <c r="AF150" s="329"/>
      <c r="AG150" s="329"/>
      <c r="AH150" s="329"/>
      <c r="AI150" s="329"/>
      <c r="AJ150" s="329"/>
      <c r="AK150" s="329"/>
      <c r="AL150" s="329"/>
      <c r="AM150" s="329"/>
      <c r="AN150" s="329"/>
      <c r="AO150" s="329"/>
      <c r="AP150" s="329"/>
    </row>
    <row r="151" spans="3:42">
      <c r="C151" s="38"/>
      <c r="D151" s="329"/>
      <c r="E151" s="329"/>
      <c r="F151" s="329"/>
      <c r="G151" s="329"/>
      <c r="H151" s="329"/>
      <c r="I151" s="329"/>
      <c r="J151" s="329"/>
      <c r="K151" s="329"/>
      <c r="L151" s="329"/>
      <c r="M151" s="329"/>
      <c r="N151" s="329"/>
      <c r="O151" s="329"/>
      <c r="P151" s="329"/>
      <c r="Q151" s="329"/>
      <c r="R151" s="329"/>
      <c r="S151" s="329"/>
      <c r="T151" s="329"/>
      <c r="U151" s="329"/>
      <c r="V151" s="329"/>
      <c r="W151" s="329"/>
      <c r="X151" s="329"/>
      <c r="Y151" s="329"/>
      <c r="Z151" s="329"/>
      <c r="AA151" s="329"/>
      <c r="AB151" s="329"/>
      <c r="AC151" s="329"/>
      <c r="AD151" s="329"/>
      <c r="AE151" s="329"/>
      <c r="AF151" s="329"/>
      <c r="AG151" s="329"/>
      <c r="AH151" s="329"/>
      <c r="AI151" s="329"/>
      <c r="AJ151" s="329"/>
      <c r="AK151" s="329"/>
      <c r="AL151" s="329"/>
      <c r="AM151" s="329"/>
      <c r="AN151" s="329"/>
      <c r="AO151" s="329"/>
      <c r="AP151" s="329"/>
    </row>
    <row r="152" spans="3:42">
      <c r="C152" s="38"/>
      <c r="D152" s="329"/>
      <c r="E152" s="329"/>
      <c r="F152" s="329"/>
      <c r="G152" s="329"/>
      <c r="H152" s="329"/>
      <c r="I152" s="329"/>
      <c r="J152" s="329"/>
      <c r="K152" s="329"/>
      <c r="L152" s="329"/>
      <c r="M152" s="329"/>
      <c r="N152" s="329"/>
      <c r="O152" s="329"/>
      <c r="P152" s="329"/>
      <c r="Q152" s="329"/>
      <c r="R152" s="329"/>
      <c r="S152" s="329"/>
      <c r="T152" s="329"/>
      <c r="U152" s="329"/>
      <c r="V152" s="329"/>
      <c r="W152" s="329"/>
      <c r="X152" s="329"/>
      <c r="Y152" s="329"/>
      <c r="Z152" s="329"/>
      <c r="AA152" s="329"/>
      <c r="AB152" s="329"/>
      <c r="AC152" s="329"/>
      <c r="AD152" s="329"/>
      <c r="AE152" s="329"/>
      <c r="AF152" s="329"/>
      <c r="AG152" s="329"/>
      <c r="AH152" s="329"/>
      <c r="AI152" s="329"/>
      <c r="AJ152" s="329"/>
      <c r="AK152" s="329"/>
      <c r="AL152" s="329"/>
      <c r="AM152" s="329"/>
      <c r="AN152" s="329"/>
      <c r="AO152" s="329"/>
      <c r="AP152" s="329"/>
    </row>
    <row r="153" spans="3:42">
      <c r="C153" s="38"/>
      <c r="D153" s="329"/>
      <c r="E153" s="329"/>
      <c r="F153" s="329"/>
      <c r="G153" s="329"/>
      <c r="H153" s="329"/>
      <c r="I153" s="329"/>
      <c r="J153" s="329"/>
      <c r="K153" s="329"/>
      <c r="L153" s="329"/>
      <c r="M153" s="329"/>
      <c r="N153" s="329"/>
      <c r="O153" s="329"/>
      <c r="P153" s="329"/>
      <c r="Q153" s="329"/>
      <c r="R153" s="329"/>
      <c r="S153" s="329"/>
      <c r="T153" s="329"/>
      <c r="U153" s="329"/>
      <c r="V153" s="329"/>
      <c r="W153" s="329"/>
      <c r="X153" s="329"/>
      <c r="Y153" s="329"/>
      <c r="Z153" s="329"/>
      <c r="AA153" s="329"/>
      <c r="AB153" s="329"/>
      <c r="AC153" s="329"/>
      <c r="AD153" s="329"/>
      <c r="AE153" s="329"/>
      <c r="AF153" s="329"/>
      <c r="AG153" s="329"/>
      <c r="AH153" s="329"/>
      <c r="AI153" s="329"/>
      <c r="AJ153" s="329"/>
      <c r="AK153" s="329"/>
      <c r="AL153" s="329"/>
      <c r="AM153" s="329"/>
      <c r="AN153" s="329"/>
      <c r="AO153" s="329"/>
      <c r="AP153" s="329"/>
    </row>
    <row r="154" spans="3:42">
      <c r="C154" s="38"/>
      <c r="D154" s="329"/>
      <c r="E154" s="329"/>
      <c r="F154" s="329"/>
      <c r="G154" s="329"/>
      <c r="H154" s="329"/>
      <c r="I154" s="329"/>
      <c r="J154" s="329"/>
      <c r="K154" s="329"/>
      <c r="L154" s="329"/>
      <c r="M154" s="329"/>
      <c r="N154" s="329"/>
      <c r="O154" s="329"/>
      <c r="P154" s="329"/>
      <c r="Q154" s="329"/>
      <c r="R154" s="329"/>
      <c r="S154" s="329"/>
      <c r="T154" s="329"/>
      <c r="U154" s="329"/>
      <c r="V154" s="329"/>
      <c r="W154" s="329"/>
      <c r="X154" s="329"/>
      <c r="Y154" s="329"/>
      <c r="Z154" s="329"/>
      <c r="AA154" s="329"/>
      <c r="AB154" s="329"/>
      <c r="AC154" s="329"/>
      <c r="AD154" s="329"/>
      <c r="AE154" s="329"/>
      <c r="AF154" s="329"/>
      <c r="AG154" s="329"/>
      <c r="AH154" s="329"/>
      <c r="AI154" s="329"/>
      <c r="AJ154" s="329"/>
      <c r="AK154" s="329"/>
      <c r="AL154" s="329"/>
      <c r="AM154" s="329"/>
      <c r="AN154" s="329"/>
      <c r="AO154" s="329"/>
      <c r="AP154" s="329"/>
    </row>
    <row r="155" spans="3:42">
      <c r="C155" s="38"/>
      <c r="D155" s="329"/>
      <c r="E155" s="329"/>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29"/>
      <c r="AK155" s="329"/>
      <c r="AL155" s="329"/>
      <c r="AM155" s="329"/>
      <c r="AN155" s="329"/>
      <c r="AO155" s="329"/>
      <c r="AP155" s="329"/>
    </row>
    <row r="156" spans="3:42">
      <c r="C156" s="38"/>
      <c r="D156" s="329"/>
      <c r="E156" s="329"/>
      <c r="F156" s="329"/>
      <c r="G156" s="329"/>
      <c r="H156" s="329"/>
      <c r="I156" s="329"/>
      <c r="J156" s="329"/>
      <c r="K156" s="329"/>
      <c r="L156" s="329"/>
      <c r="M156" s="329"/>
      <c r="N156" s="329"/>
      <c r="O156" s="329"/>
      <c r="P156" s="329"/>
      <c r="Q156" s="329"/>
      <c r="R156" s="329"/>
      <c r="S156" s="329"/>
      <c r="T156" s="329"/>
      <c r="U156" s="329"/>
      <c r="V156" s="329"/>
      <c r="W156" s="329"/>
      <c r="X156" s="329"/>
      <c r="Y156" s="329"/>
      <c r="Z156" s="329"/>
      <c r="AA156" s="329"/>
      <c r="AB156" s="329"/>
      <c r="AC156" s="329"/>
      <c r="AD156" s="329"/>
      <c r="AE156" s="329"/>
      <c r="AF156" s="329"/>
      <c r="AG156" s="329"/>
      <c r="AH156" s="329"/>
      <c r="AI156" s="329"/>
      <c r="AJ156" s="329"/>
      <c r="AK156" s="329"/>
      <c r="AL156" s="329"/>
      <c r="AM156" s="329"/>
      <c r="AN156" s="329"/>
      <c r="AO156" s="329"/>
      <c r="AP156" s="329"/>
    </row>
    <row r="157" spans="3:42">
      <c r="C157" s="38"/>
      <c r="D157" s="329"/>
      <c r="E157" s="329"/>
      <c r="F157" s="329"/>
      <c r="G157" s="329"/>
      <c r="H157" s="329"/>
      <c r="I157" s="329"/>
      <c r="J157" s="329"/>
      <c r="K157" s="329"/>
      <c r="L157" s="329"/>
      <c r="M157" s="329"/>
      <c r="N157" s="329"/>
      <c r="O157" s="329"/>
      <c r="P157" s="329"/>
      <c r="Q157" s="329"/>
      <c r="R157" s="329"/>
      <c r="S157" s="329"/>
      <c r="T157" s="329"/>
      <c r="U157" s="329"/>
      <c r="V157" s="329"/>
      <c r="W157" s="329"/>
      <c r="X157" s="329"/>
      <c r="Y157" s="329"/>
      <c r="Z157" s="329"/>
      <c r="AA157" s="329"/>
      <c r="AB157" s="329"/>
      <c r="AC157" s="329"/>
      <c r="AD157" s="329"/>
      <c r="AE157" s="329"/>
      <c r="AF157" s="329"/>
      <c r="AG157" s="329"/>
      <c r="AH157" s="329"/>
      <c r="AI157" s="329"/>
      <c r="AJ157" s="329"/>
      <c r="AK157" s="329"/>
      <c r="AL157" s="329"/>
      <c r="AM157" s="329"/>
      <c r="AN157" s="329"/>
      <c r="AO157" s="329"/>
      <c r="AP157" s="329"/>
    </row>
    <row r="158" spans="3:42">
      <c r="C158" s="38"/>
      <c r="D158" s="329"/>
      <c r="E158" s="329"/>
      <c r="F158" s="329"/>
      <c r="G158" s="329"/>
      <c r="H158" s="329"/>
      <c r="I158" s="329"/>
      <c r="J158" s="329"/>
      <c r="K158" s="329"/>
      <c r="L158" s="329"/>
      <c r="M158" s="329"/>
      <c r="N158" s="329"/>
      <c r="O158" s="329"/>
      <c r="P158" s="329"/>
      <c r="Q158" s="329"/>
      <c r="R158" s="329"/>
      <c r="S158" s="329"/>
      <c r="T158" s="329"/>
      <c r="U158" s="329"/>
      <c r="V158" s="329"/>
      <c r="W158" s="329"/>
      <c r="X158" s="329"/>
      <c r="Y158" s="329"/>
      <c r="Z158" s="329"/>
      <c r="AA158" s="329"/>
      <c r="AB158" s="329"/>
      <c r="AC158" s="329"/>
      <c r="AD158" s="329"/>
      <c r="AE158" s="329"/>
      <c r="AF158" s="329"/>
      <c r="AG158" s="329"/>
      <c r="AH158" s="329"/>
      <c r="AI158" s="329"/>
      <c r="AJ158" s="329"/>
      <c r="AK158" s="329"/>
      <c r="AL158" s="329"/>
      <c r="AM158" s="329"/>
      <c r="AN158" s="329"/>
      <c r="AO158" s="329"/>
      <c r="AP158" s="329"/>
    </row>
    <row r="159" spans="3:42">
      <c r="C159" s="38"/>
      <c r="D159" s="329"/>
      <c r="E159" s="329"/>
      <c r="F159" s="329"/>
      <c r="G159" s="329"/>
      <c r="H159" s="329"/>
      <c r="I159" s="329"/>
      <c r="J159" s="329"/>
      <c r="K159" s="329"/>
      <c r="L159" s="329"/>
      <c r="M159" s="329"/>
      <c r="N159" s="329"/>
      <c r="O159" s="329"/>
      <c r="P159" s="329"/>
      <c r="Q159" s="329"/>
      <c r="R159" s="329"/>
      <c r="S159" s="329"/>
      <c r="T159" s="329"/>
      <c r="U159" s="329"/>
      <c r="V159" s="329"/>
      <c r="W159" s="329"/>
      <c r="X159" s="329"/>
      <c r="Y159" s="329"/>
      <c r="Z159" s="329"/>
      <c r="AA159" s="329"/>
      <c r="AB159" s="329"/>
      <c r="AC159" s="329"/>
      <c r="AD159" s="329"/>
      <c r="AE159" s="329"/>
      <c r="AF159" s="329"/>
      <c r="AG159" s="329"/>
      <c r="AH159" s="329"/>
      <c r="AI159" s="329"/>
      <c r="AJ159" s="329"/>
      <c r="AK159" s="329"/>
      <c r="AL159" s="329"/>
      <c r="AM159" s="329"/>
      <c r="AN159" s="329"/>
      <c r="AO159" s="329"/>
      <c r="AP159" s="329"/>
    </row>
    <row r="160" spans="3:42">
      <c r="C160" s="38"/>
      <c r="D160" s="329"/>
      <c r="E160" s="329"/>
      <c r="F160" s="329"/>
      <c r="G160" s="329"/>
      <c r="H160" s="329"/>
      <c r="I160" s="329"/>
      <c r="J160" s="329"/>
      <c r="K160" s="329"/>
      <c r="L160" s="329"/>
      <c r="M160" s="329"/>
      <c r="N160" s="329"/>
      <c r="O160" s="329"/>
      <c r="P160" s="329"/>
      <c r="Q160" s="329"/>
      <c r="R160" s="329"/>
      <c r="S160" s="329"/>
      <c r="T160" s="329"/>
      <c r="U160" s="329"/>
      <c r="V160" s="329"/>
      <c r="W160" s="329"/>
      <c r="X160" s="329"/>
      <c r="Y160" s="329"/>
      <c r="Z160" s="329"/>
      <c r="AA160" s="329"/>
      <c r="AB160" s="329"/>
      <c r="AC160" s="329"/>
      <c r="AD160" s="329"/>
      <c r="AE160" s="329"/>
      <c r="AF160" s="329"/>
      <c r="AG160" s="329"/>
      <c r="AH160" s="329"/>
      <c r="AI160" s="329"/>
      <c r="AJ160" s="329"/>
      <c r="AK160" s="329"/>
      <c r="AL160" s="329"/>
      <c r="AM160" s="329"/>
      <c r="AN160" s="329"/>
      <c r="AO160" s="329"/>
      <c r="AP160" s="329"/>
    </row>
    <row r="161" spans="3:42">
      <c r="C161" s="38"/>
      <c r="D161" s="329"/>
      <c r="E161" s="329"/>
      <c r="F161" s="329"/>
      <c r="G161" s="329"/>
      <c r="H161" s="329"/>
      <c r="I161" s="329"/>
      <c r="J161" s="329"/>
      <c r="K161" s="329"/>
      <c r="L161" s="329"/>
      <c r="M161" s="329"/>
      <c r="N161" s="329"/>
      <c r="O161" s="329"/>
      <c r="P161" s="329"/>
      <c r="Q161" s="329"/>
      <c r="R161" s="329"/>
      <c r="S161" s="329"/>
      <c r="T161" s="329"/>
      <c r="U161" s="329"/>
      <c r="V161" s="329"/>
      <c r="W161" s="329"/>
      <c r="X161" s="329"/>
      <c r="Y161" s="329"/>
      <c r="Z161" s="329"/>
      <c r="AA161" s="329"/>
      <c r="AB161" s="329"/>
      <c r="AC161" s="329"/>
      <c r="AD161" s="329"/>
      <c r="AE161" s="329"/>
      <c r="AF161" s="329"/>
      <c r="AG161" s="329"/>
      <c r="AH161" s="329"/>
      <c r="AI161" s="329"/>
      <c r="AJ161" s="329"/>
      <c r="AK161" s="329"/>
      <c r="AL161" s="329"/>
      <c r="AM161" s="329"/>
      <c r="AN161" s="329"/>
      <c r="AO161" s="329"/>
      <c r="AP161" s="329"/>
    </row>
    <row r="162" spans="3:42">
      <c r="C162" s="38"/>
      <c r="D162" s="329"/>
      <c r="E162" s="329"/>
      <c r="F162" s="329"/>
      <c r="G162" s="329"/>
      <c r="H162" s="329"/>
      <c r="I162" s="329"/>
      <c r="J162" s="329"/>
      <c r="K162" s="329"/>
      <c r="L162" s="329"/>
      <c r="M162" s="329"/>
      <c r="N162" s="329"/>
      <c r="O162" s="329"/>
      <c r="P162" s="329"/>
      <c r="Q162" s="329"/>
      <c r="R162" s="329"/>
      <c r="S162" s="329"/>
      <c r="T162" s="329"/>
      <c r="U162" s="329"/>
      <c r="V162" s="329"/>
      <c r="W162" s="329"/>
      <c r="X162" s="329"/>
      <c r="Y162" s="329"/>
      <c r="Z162" s="329"/>
      <c r="AA162" s="329"/>
      <c r="AB162" s="329"/>
      <c r="AC162" s="329"/>
      <c r="AD162" s="329"/>
      <c r="AE162" s="329"/>
      <c r="AF162" s="329"/>
      <c r="AG162" s="329"/>
      <c r="AH162" s="329"/>
      <c r="AI162" s="329"/>
      <c r="AJ162" s="329"/>
      <c r="AK162" s="329"/>
      <c r="AL162" s="329"/>
      <c r="AM162" s="329"/>
      <c r="AN162" s="329"/>
      <c r="AO162" s="329"/>
      <c r="AP162" s="329"/>
    </row>
    <row r="163" spans="3:42">
      <c r="C163" s="38"/>
      <c r="D163" s="329"/>
      <c r="E163" s="329"/>
      <c r="F163" s="329"/>
      <c r="G163" s="329"/>
      <c r="H163" s="329"/>
      <c r="I163" s="329"/>
      <c r="J163" s="329"/>
      <c r="K163" s="329"/>
      <c r="L163" s="329"/>
      <c r="M163" s="329"/>
      <c r="N163" s="329"/>
      <c r="O163" s="329"/>
      <c r="P163" s="329"/>
      <c r="Q163" s="329"/>
      <c r="R163" s="329"/>
      <c r="S163" s="329"/>
      <c r="T163" s="329"/>
      <c r="U163" s="329"/>
      <c r="V163" s="329"/>
      <c r="W163" s="329"/>
      <c r="X163" s="329"/>
      <c r="Y163" s="329"/>
      <c r="Z163" s="329"/>
      <c r="AA163" s="329"/>
      <c r="AB163" s="329"/>
      <c r="AC163" s="329"/>
      <c r="AD163" s="329"/>
      <c r="AE163" s="329"/>
      <c r="AF163" s="329"/>
      <c r="AG163" s="329"/>
      <c r="AH163" s="329"/>
      <c r="AI163" s="329"/>
      <c r="AJ163" s="329"/>
      <c r="AK163" s="329"/>
      <c r="AL163" s="329"/>
      <c r="AM163" s="329"/>
      <c r="AN163" s="329"/>
      <c r="AO163" s="329"/>
      <c r="AP163" s="329"/>
    </row>
    <row r="164" spans="3:42">
      <c r="C164" s="38"/>
      <c r="D164" s="329"/>
      <c r="E164" s="329"/>
      <c r="F164" s="329"/>
      <c r="G164" s="329"/>
      <c r="H164" s="329"/>
      <c r="I164" s="329"/>
      <c r="J164" s="329"/>
      <c r="K164" s="329"/>
      <c r="L164" s="329"/>
      <c r="M164" s="329"/>
      <c r="N164" s="329"/>
      <c r="O164" s="329"/>
      <c r="P164" s="329"/>
      <c r="Q164" s="329"/>
      <c r="R164" s="329"/>
      <c r="S164" s="329"/>
      <c r="T164" s="329"/>
      <c r="U164" s="329"/>
      <c r="V164" s="329"/>
      <c r="W164" s="329"/>
      <c r="X164" s="329"/>
      <c r="Y164" s="329"/>
      <c r="Z164" s="329"/>
      <c r="AA164" s="329"/>
      <c r="AB164" s="329"/>
      <c r="AC164" s="329"/>
      <c r="AD164" s="329"/>
      <c r="AE164" s="329"/>
      <c r="AF164" s="329"/>
      <c r="AG164" s="329"/>
      <c r="AH164" s="329"/>
      <c r="AI164" s="329"/>
      <c r="AJ164" s="329"/>
      <c r="AK164" s="329"/>
      <c r="AL164" s="329"/>
      <c r="AM164" s="329"/>
      <c r="AN164" s="329"/>
      <c r="AO164" s="329"/>
      <c r="AP164" s="329"/>
    </row>
    <row r="165" spans="3:42">
      <c r="C165" s="38"/>
      <c r="D165" s="329"/>
      <c r="E165" s="329"/>
      <c r="F165" s="329"/>
      <c r="G165" s="329"/>
      <c r="H165" s="329"/>
      <c r="I165" s="329"/>
      <c r="J165" s="329"/>
      <c r="K165" s="329"/>
      <c r="L165" s="329"/>
      <c r="M165" s="329"/>
      <c r="N165" s="329"/>
      <c r="O165" s="329"/>
      <c r="P165" s="329"/>
      <c r="Q165" s="329"/>
      <c r="R165" s="329"/>
      <c r="S165" s="329"/>
      <c r="T165" s="329"/>
      <c r="U165" s="329"/>
      <c r="V165" s="329"/>
      <c r="W165" s="329"/>
      <c r="X165" s="329"/>
      <c r="Y165" s="329"/>
      <c r="Z165" s="329"/>
      <c r="AA165" s="329"/>
      <c r="AB165" s="329"/>
      <c r="AC165" s="329"/>
      <c r="AD165" s="329"/>
      <c r="AE165" s="329"/>
      <c r="AF165" s="329"/>
      <c r="AG165" s="329"/>
      <c r="AH165" s="329"/>
      <c r="AI165" s="329"/>
      <c r="AJ165" s="329"/>
      <c r="AK165" s="329"/>
      <c r="AL165" s="329"/>
      <c r="AM165" s="329"/>
      <c r="AN165" s="329"/>
      <c r="AO165" s="329"/>
      <c r="AP165" s="329"/>
    </row>
    <row r="166" spans="3:42">
      <c r="C166" s="38"/>
      <c r="D166" s="329"/>
      <c r="E166" s="329"/>
      <c r="F166" s="329"/>
      <c r="G166" s="329"/>
      <c r="H166" s="329"/>
      <c r="I166" s="329"/>
      <c r="J166" s="329"/>
      <c r="K166" s="329"/>
      <c r="L166" s="329"/>
      <c r="M166" s="329"/>
      <c r="N166" s="329"/>
      <c r="O166" s="329"/>
      <c r="P166" s="329"/>
      <c r="Q166" s="329"/>
      <c r="R166" s="329"/>
      <c r="S166" s="329"/>
      <c r="T166" s="329"/>
      <c r="U166" s="329"/>
      <c r="V166" s="329"/>
      <c r="W166" s="329"/>
      <c r="X166" s="329"/>
      <c r="Y166" s="329"/>
      <c r="Z166" s="329"/>
      <c r="AA166" s="329"/>
      <c r="AB166" s="329"/>
      <c r="AC166" s="329"/>
      <c r="AD166" s="329"/>
      <c r="AE166" s="329"/>
      <c r="AF166" s="329"/>
      <c r="AG166" s="329"/>
      <c r="AH166" s="329"/>
      <c r="AI166" s="329"/>
      <c r="AJ166" s="329"/>
      <c r="AK166" s="329"/>
      <c r="AL166" s="329"/>
      <c r="AM166" s="329"/>
      <c r="AN166" s="329"/>
      <c r="AO166" s="329"/>
      <c r="AP166" s="329"/>
    </row>
    <row r="167" spans="3:42">
      <c r="C167" s="38"/>
      <c r="D167" s="329"/>
      <c r="E167" s="329"/>
      <c r="F167" s="329"/>
      <c r="G167" s="329"/>
      <c r="H167" s="329"/>
      <c r="I167" s="329"/>
      <c r="J167" s="329"/>
      <c r="K167" s="329"/>
      <c r="L167" s="329"/>
      <c r="M167" s="329"/>
      <c r="N167" s="329"/>
      <c r="O167" s="329"/>
      <c r="P167" s="329"/>
      <c r="Q167" s="329"/>
      <c r="R167" s="329"/>
      <c r="S167" s="329"/>
      <c r="T167" s="329"/>
      <c r="U167" s="329"/>
      <c r="V167" s="329"/>
      <c r="W167" s="329"/>
      <c r="X167" s="329"/>
      <c r="Y167" s="329"/>
      <c r="Z167" s="329"/>
      <c r="AA167" s="329"/>
      <c r="AB167" s="329"/>
      <c r="AC167" s="329"/>
      <c r="AD167" s="329"/>
      <c r="AE167" s="329"/>
      <c r="AF167" s="329"/>
      <c r="AG167" s="329"/>
      <c r="AH167" s="329"/>
      <c r="AI167" s="329"/>
      <c r="AJ167" s="329"/>
      <c r="AK167" s="329"/>
      <c r="AL167" s="329"/>
      <c r="AM167" s="329"/>
      <c r="AN167" s="329"/>
      <c r="AO167" s="329"/>
      <c r="AP167" s="329"/>
    </row>
    <row r="168" spans="3:42">
      <c r="C168" s="38"/>
      <c r="D168" s="329"/>
      <c r="E168" s="329"/>
      <c r="F168" s="329"/>
      <c r="G168" s="329"/>
      <c r="H168" s="329"/>
      <c r="I168" s="329"/>
      <c r="J168" s="329"/>
      <c r="K168" s="329"/>
      <c r="L168" s="329"/>
      <c r="M168" s="329"/>
      <c r="N168" s="329"/>
      <c r="O168" s="329"/>
      <c r="P168" s="329"/>
      <c r="Q168" s="329"/>
      <c r="R168" s="329"/>
      <c r="S168" s="329"/>
      <c r="T168" s="329"/>
      <c r="U168" s="329"/>
      <c r="V168" s="329"/>
      <c r="W168" s="329"/>
      <c r="X168" s="329"/>
      <c r="Y168" s="329"/>
      <c r="Z168" s="329"/>
      <c r="AA168" s="329"/>
      <c r="AB168" s="329"/>
      <c r="AC168" s="329"/>
      <c r="AD168" s="329"/>
      <c r="AE168" s="329"/>
      <c r="AF168" s="329"/>
      <c r="AG168" s="329"/>
      <c r="AH168" s="329"/>
      <c r="AI168" s="329"/>
      <c r="AJ168" s="329"/>
      <c r="AK168" s="329"/>
      <c r="AL168" s="329"/>
      <c r="AM168" s="329"/>
      <c r="AN168" s="329"/>
      <c r="AO168" s="329"/>
      <c r="AP168" s="329"/>
    </row>
    <row r="169" spans="3:42">
      <c r="C169" s="38"/>
      <c r="D169" s="329"/>
      <c r="E169" s="329"/>
      <c r="F169" s="329"/>
      <c r="G169" s="329"/>
      <c r="H169" s="329"/>
      <c r="I169" s="329"/>
      <c r="J169" s="329"/>
      <c r="K169" s="329"/>
      <c r="L169" s="329"/>
      <c r="M169" s="329"/>
      <c r="N169" s="329"/>
      <c r="O169" s="329"/>
      <c r="P169" s="329"/>
      <c r="Q169" s="329"/>
      <c r="R169" s="329"/>
      <c r="S169" s="329"/>
      <c r="T169" s="329"/>
      <c r="U169" s="329"/>
      <c r="V169" s="329"/>
      <c r="W169" s="329"/>
      <c r="X169" s="329"/>
      <c r="Y169" s="329"/>
      <c r="Z169" s="329"/>
      <c r="AA169" s="329"/>
      <c r="AB169" s="329"/>
      <c r="AC169" s="329"/>
      <c r="AD169" s="329"/>
      <c r="AE169" s="329"/>
      <c r="AF169" s="329"/>
      <c r="AG169" s="329"/>
      <c r="AH169" s="329"/>
      <c r="AI169" s="329"/>
      <c r="AJ169" s="329"/>
      <c r="AK169" s="329"/>
      <c r="AL169" s="329"/>
      <c r="AM169" s="329"/>
      <c r="AN169" s="329"/>
      <c r="AO169" s="329"/>
      <c r="AP169" s="329"/>
    </row>
    <row r="170" spans="3:42">
      <c r="C170" s="38"/>
      <c r="D170" s="329"/>
      <c r="E170" s="329"/>
      <c r="F170" s="329"/>
      <c r="G170" s="329"/>
      <c r="H170" s="329"/>
      <c r="I170" s="329"/>
      <c r="J170" s="329"/>
      <c r="K170" s="329"/>
      <c r="L170" s="329"/>
      <c r="M170" s="329"/>
      <c r="N170" s="329"/>
      <c r="O170" s="329"/>
      <c r="P170" s="329"/>
      <c r="Q170" s="329"/>
      <c r="R170" s="329"/>
      <c r="S170" s="329"/>
      <c r="T170" s="329"/>
      <c r="U170" s="329"/>
      <c r="V170" s="329"/>
      <c r="W170" s="329"/>
      <c r="X170" s="329"/>
      <c r="Y170" s="329"/>
      <c r="Z170" s="329"/>
      <c r="AA170" s="329"/>
      <c r="AB170" s="329"/>
      <c r="AC170" s="329"/>
      <c r="AD170" s="329"/>
      <c r="AE170" s="329"/>
      <c r="AF170" s="329"/>
      <c r="AG170" s="329"/>
      <c r="AH170" s="329"/>
      <c r="AI170" s="329"/>
      <c r="AJ170" s="329"/>
      <c r="AK170" s="329"/>
      <c r="AL170" s="329"/>
      <c r="AM170" s="329"/>
      <c r="AN170" s="329"/>
      <c r="AO170" s="329"/>
      <c r="AP170" s="329"/>
    </row>
    <row r="171" spans="3:42">
      <c r="C171" s="38"/>
      <c r="D171" s="329"/>
      <c r="E171" s="329"/>
      <c r="F171" s="329"/>
      <c r="G171" s="329"/>
      <c r="H171" s="329"/>
      <c r="I171" s="329"/>
      <c r="J171" s="329"/>
      <c r="K171" s="329"/>
      <c r="L171" s="329"/>
      <c r="M171" s="329"/>
      <c r="N171" s="329"/>
      <c r="O171" s="329"/>
      <c r="P171" s="329"/>
      <c r="Q171" s="329"/>
      <c r="R171" s="329"/>
      <c r="S171" s="329"/>
      <c r="T171" s="329"/>
      <c r="U171" s="329"/>
      <c r="V171" s="329"/>
      <c r="W171" s="329"/>
      <c r="X171" s="329"/>
      <c r="Y171" s="329"/>
      <c r="Z171" s="329"/>
      <c r="AA171" s="329"/>
      <c r="AB171" s="329"/>
      <c r="AC171" s="329"/>
      <c r="AD171" s="329"/>
      <c r="AE171" s="329"/>
      <c r="AF171" s="329"/>
      <c r="AG171" s="329"/>
      <c r="AH171" s="329"/>
      <c r="AI171" s="329"/>
      <c r="AJ171" s="329"/>
      <c r="AK171" s="329"/>
      <c r="AL171" s="329"/>
      <c r="AM171" s="329"/>
      <c r="AN171" s="329"/>
      <c r="AO171" s="329"/>
      <c r="AP171" s="329"/>
    </row>
    <row r="172" spans="3:42">
      <c r="C172" s="38"/>
      <c r="D172" s="329"/>
      <c r="E172" s="329"/>
      <c r="F172" s="329"/>
      <c r="G172" s="329"/>
      <c r="H172" s="329"/>
      <c r="I172" s="329"/>
      <c r="J172" s="329"/>
      <c r="K172" s="329"/>
      <c r="L172" s="329"/>
      <c r="M172" s="329"/>
      <c r="N172" s="329"/>
      <c r="O172" s="329"/>
      <c r="P172" s="329"/>
      <c r="Q172" s="329"/>
      <c r="R172" s="329"/>
      <c r="S172" s="329"/>
      <c r="T172" s="329"/>
      <c r="U172" s="329"/>
      <c r="V172" s="329"/>
      <c r="W172" s="329"/>
      <c r="X172" s="329"/>
      <c r="Y172" s="329"/>
      <c r="Z172" s="329"/>
      <c r="AA172" s="329"/>
      <c r="AB172" s="329"/>
      <c r="AC172" s="329"/>
      <c r="AD172" s="329"/>
      <c r="AE172" s="329"/>
      <c r="AF172" s="329"/>
      <c r="AG172" s="329"/>
      <c r="AH172" s="329"/>
      <c r="AI172" s="329"/>
      <c r="AJ172" s="329"/>
      <c r="AK172" s="329"/>
      <c r="AL172" s="329"/>
      <c r="AM172" s="329"/>
      <c r="AN172" s="329"/>
      <c r="AO172" s="329"/>
      <c r="AP172" s="329"/>
    </row>
    <row r="173" spans="3:42">
      <c r="C173" s="38"/>
      <c r="D173" s="329"/>
      <c r="E173" s="329"/>
      <c r="F173" s="329"/>
      <c r="G173" s="329"/>
      <c r="H173" s="329"/>
      <c r="I173" s="329"/>
      <c r="J173" s="329"/>
      <c r="K173" s="329"/>
      <c r="L173" s="329"/>
      <c r="M173" s="329"/>
      <c r="N173" s="329"/>
      <c r="O173" s="329"/>
      <c r="P173" s="329"/>
      <c r="Q173" s="329"/>
      <c r="R173" s="329"/>
      <c r="S173" s="329"/>
      <c r="T173" s="329"/>
      <c r="U173" s="329"/>
      <c r="V173" s="329"/>
      <c r="W173" s="329"/>
      <c r="X173" s="329"/>
      <c r="Y173" s="329"/>
      <c r="Z173" s="329"/>
      <c r="AA173" s="329"/>
      <c r="AB173" s="329"/>
      <c r="AC173" s="329"/>
      <c r="AD173" s="329"/>
      <c r="AE173" s="329"/>
      <c r="AF173" s="329"/>
      <c r="AG173" s="329"/>
      <c r="AH173" s="329"/>
      <c r="AI173" s="329"/>
      <c r="AJ173" s="329"/>
      <c r="AK173" s="329"/>
      <c r="AL173" s="329"/>
      <c r="AM173" s="329"/>
      <c r="AN173" s="329"/>
      <c r="AO173" s="329"/>
      <c r="AP173" s="329"/>
    </row>
    <row r="174" spans="3:42">
      <c r="C174" s="38"/>
      <c r="D174" s="329"/>
      <c r="E174" s="329"/>
      <c r="F174" s="329"/>
      <c r="G174" s="329"/>
      <c r="H174" s="329"/>
      <c r="I174" s="329"/>
      <c r="J174" s="329"/>
      <c r="K174" s="329"/>
      <c r="L174" s="329"/>
      <c r="M174" s="329"/>
      <c r="N174" s="329"/>
      <c r="O174" s="329"/>
      <c r="P174" s="329"/>
      <c r="Q174" s="329"/>
      <c r="R174" s="329"/>
      <c r="S174" s="329"/>
      <c r="T174" s="329"/>
      <c r="U174" s="329"/>
      <c r="V174" s="329"/>
      <c r="W174" s="329"/>
      <c r="X174" s="329"/>
      <c r="Y174" s="329"/>
      <c r="Z174" s="329"/>
      <c r="AA174" s="329"/>
      <c r="AB174" s="329"/>
      <c r="AC174" s="329"/>
      <c r="AD174" s="329"/>
      <c r="AE174" s="329"/>
      <c r="AF174" s="329"/>
      <c r="AG174" s="329"/>
      <c r="AH174" s="329"/>
      <c r="AI174" s="329"/>
      <c r="AJ174" s="329"/>
      <c r="AK174" s="329"/>
      <c r="AL174" s="329"/>
      <c r="AM174" s="329"/>
      <c r="AN174" s="329"/>
      <c r="AO174" s="329"/>
      <c r="AP174" s="329"/>
    </row>
    <row r="175" spans="3:42">
      <c r="C175" s="38"/>
      <c r="D175" s="329"/>
      <c r="E175" s="329"/>
      <c r="F175" s="329"/>
      <c r="G175" s="329"/>
      <c r="H175" s="329"/>
      <c r="I175" s="329"/>
      <c r="J175" s="329"/>
      <c r="K175" s="329"/>
      <c r="L175" s="329"/>
      <c r="M175" s="329"/>
      <c r="N175" s="329"/>
      <c r="O175" s="329"/>
      <c r="P175" s="329"/>
      <c r="Q175" s="329"/>
      <c r="R175" s="329"/>
      <c r="S175" s="329"/>
      <c r="T175" s="329"/>
      <c r="U175" s="329"/>
      <c r="V175" s="329"/>
      <c r="W175" s="329"/>
      <c r="X175" s="329"/>
      <c r="Y175" s="329"/>
      <c r="Z175" s="329"/>
      <c r="AA175" s="329"/>
      <c r="AB175" s="329"/>
      <c r="AC175" s="329"/>
      <c r="AD175" s="329"/>
      <c r="AE175" s="329"/>
      <c r="AF175" s="329"/>
      <c r="AG175" s="329"/>
      <c r="AH175" s="329"/>
      <c r="AI175" s="329"/>
      <c r="AJ175" s="329"/>
      <c r="AK175" s="329"/>
      <c r="AL175" s="329"/>
      <c r="AM175" s="329"/>
      <c r="AN175" s="329"/>
      <c r="AO175" s="329"/>
      <c r="AP175" s="329"/>
    </row>
    <row r="176" spans="3:42">
      <c r="C176" s="38"/>
      <c r="D176" s="329"/>
      <c r="E176" s="329"/>
      <c r="F176" s="329"/>
      <c r="G176" s="329"/>
      <c r="H176" s="329"/>
      <c r="I176" s="329"/>
      <c r="J176" s="329"/>
      <c r="K176" s="329"/>
      <c r="L176" s="329"/>
      <c r="M176" s="329"/>
      <c r="N176" s="329"/>
      <c r="O176" s="329"/>
      <c r="P176" s="329"/>
      <c r="Q176" s="329"/>
      <c r="R176" s="329"/>
      <c r="S176" s="329"/>
      <c r="T176" s="329"/>
      <c r="U176" s="329"/>
      <c r="V176" s="329"/>
      <c r="W176" s="329"/>
      <c r="X176" s="329"/>
      <c r="Y176" s="329"/>
      <c r="Z176" s="329"/>
      <c r="AA176" s="329"/>
      <c r="AB176" s="329"/>
      <c r="AC176" s="329"/>
      <c r="AD176" s="329"/>
      <c r="AE176" s="329"/>
      <c r="AF176" s="329"/>
      <c r="AG176" s="329"/>
      <c r="AH176" s="329"/>
      <c r="AI176" s="329"/>
      <c r="AJ176" s="329"/>
      <c r="AK176" s="329"/>
      <c r="AL176" s="329"/>
      <c r="AM176" s="329"/>
      <c r="AN176" s="329"/>
      <c r="AO176" s="329"/>
      <c r="AP176" s="329"/>
    </row>
    <row r="177" spans="3:42">
      <c r="C177" s="38"/>
      <c r="D177" s="329"/>
      <c r="E177" s="329"/>
      <c r="F177" s="329"/>
      <c r="G177" s="329"/>
      <c r="H177" s="329"/>
      <c r="I177" s="329"/>
      <c r="J177" s="329"/>
      <c r="K177" s="329"/>
      <c r="L177" s="329"/>
      <c r="M177" s="329"/>
      <c r="N177" s="329"/>
      <c r="O177" s="329"/>
      <c r="P177" s="329"/>
      <c r="Q177" s="329"/>
      <c r="R177" s="329"/>
      <c r="S177" s="329"/>
      <c r="T177" s="329"/>
      <c r="U177" s="329"/>
      <c r="V177" s="329"/>
      <c r="W177" s="329"/>
      <c r="X177" s="329"/>
      <c r="Y177" s="329"/>
      <c r="Z177" s="329"/>
      <c r="AA177" s="329"/>
      <c r="AB177" s="329"/>
      <c r="AC177" s="329"/>
      <c r="AD177" s="329"/>
      <c r="AE177" s="329"/>
      <c r="AF177" s="329"/>
      <c r="AG177" s="329"/>
      <c r="AH177" s="329"/>
      <c r="AI177" s="329"/>
      <c r="AJ177" s="329"/>
      <c r="AK177" s="329"/>
      <c r="AL177" s="329"/>
      <c r="AM177" s="329"/>
      <c r="AN177" s="329"/>
      <c r="AO177" s="329"/>
      <c r="AP177" s="329"/>
    </row>
    <row r="178" spans="3:42">
      <c r="C178" s="38"/>
      <c r="D178" s="329"/>
      <c r="E178" s="329"/>
      <c r="F178" s="329"/>
      <c r="G178" s="329"/>
      <c r="H178" s="329"/>
      <c r="I178" s="329"/>
      <c r="J178" s="329"/>
      <c r="K178" s="329"/>
      <c r="L178" s="329"/>
      <c r="M178" s="329"/>
      <c r="N178" s="329"/>
      <c r="O178" s="329"/>
      <c r="P178" s="329"/>
      <c r="Q178" s="329"/>
      <c r="R178" s="329"/>
      <c r="S178" s="329"/>
      <c r="T178" s="329"/>
      <c r="U178" s="329"/>
      <c r="V178" s="329"/>
      <c r="W178" s="329"/>
      <c r="X178" s="329"/>
      <c r="Y178" s="329"/>
      <c r="Z178" s="329"/>
      <c r="AA178" s="329"/>
      <c r="AB178" s="329"/>
      <c r="AC178" s="329"/>
      <c r="AD178" s="329"/>
      <c r="AE178" s="329"/>
      <c r="AF178" s="329"/>
      <c r="AG178" s="329"/>
      <c r="AH178" s="329"/>
      <c r="AI178" s="329"/>
      <c r="AJ178" s="329"/>
      <c r="AK178" s="329"/>
      <c r="AL178" s="329"/>
      <c r="AM178" s="329"/>
      <c r="AN178" s="329"/>
      <c r="AO178" s="329"/>
      <c r="AP178" s="329"/>
    </row>
    <row r="179" spans="3:42">
      <c r="C179" s="38"/>
      <c r="D179" s="329"/>
      <c r="E179" s="329"/>
      <c r="F179" s="329"/>
      <c r="G179" s="329"/>
      <c r="H179" s="329"/>
      <c r="I179" s="329"/>
      <c r="J179" s="329"/>
      <c r="K179" s="329"/>
      <c r="L179" s="329"/>
      <c r="M179" s="329"/>
      <c r="N179" s="329"/>
      <c r="O179" s="329"/>
      <c r="P179" s="329"/>
      <c r="Q179" s="329"/>
      <c r="R179" s="329"/>
      <c r="S179" s="329"/>
      <c r="T179" s="329"/>
      <c r="U179" s="329"/>
      <c r="V179" s="329"/>
      <c r="W179" s="329"/>
      <c r="X179" s="329"/>
      <c r="Y179" s="329"/>
      <c r="Z179" s="329"/>
      <c r="AA179" s="329"/>
      <c r="AB179" s="329"/>
      <c r="AC179" s="329"/>
      <c r="AD179" s="329"/>
      <c r="AE179" s="329"/>
      <c r="AF179" s="329"/>
      <c r="AG179" s="329"/>
      <c r="AH179" s="329"/>
      <c r="AI179" s="329"/>
      <c r="AJ179" s="329"/>
      <c r="AK179" s="329"/>
      <c r="AL179" s="329"/>
      <c r="AM179" s="329"/>
      <c r="AN179" s="329"/>
      <c r="AO179" s="329"/>
      <c r="AP179" s="329"/>
    </row>
    <row r="180" spans="3:42">
      <c r="C180" s="38"/>
      <c r="D180" s="329"/>
      <c r="E180" s="329"/>
      <c r="F180" s="329"/>
      <c r="G180" s="329"/>
      <c r="H180" s="329"/>
      <c r="I180" s="329"/>
      <c r="J180" s="329"/>
      <c r="K180" s="329"/>
      <c r="L180" s="329"/>
      <c r="M180" s="329"/>
      <c r="N180" s="329"/>
      <c r="O180" s="329"/>
      <c r="P180" s="329"/>
      <c r="Q180" s="329"/>
      <c r="R180" s="329"/>
      <c r="S180" s="329"/>
      <c r="T180" s="329"/>
      <c r="U180" s="329"/>
      <c r="V180" s="329"/>
      <c r="W180" s="329"/>
      <c r="X180" s="329"/>
      <c r="Y180" s="329"/>
      <c r="Z180" s="329"/>
      <c r="AA180" s="329"/>
      <c r="AB180" s="329"/>
      <c r="AC180" s="329"/>
      <c r="AD180" s="329"/>
      <c r="AE180" s="329"/>
      <c r="AF180" s="329"/>
      <c r="AG180" s="329"/>
      <c r="AH180" s="329"/>
      <c r="AI180" s="329"/>
      <c r="AJ180" s="329"/>
      <c r="AK180" s="329"/>
      <c r="AL180" s="329"/>
      <c r="AM180" s="329"/>
      <c r="AN180" s="329"/>
      <c r="AO180" s="329"/>
      <c r="AP180" s="329"/>
    </row>
    <row r="181" spans="3:42">
      <c r="C181" s="38"/>
      <c r="D181" s="329"/>
      <c r="E181" s="329"/>
      <c r="F181" s="329"/>
      <c r="G181" s="329"/>
      <c r="H181" s="329"/>
      <c r="I181" s="329"/>
      <c r="J181" s="329"/>
      <c r="K181" s="329"/>
      <c r="L181" s="329"/>
      <c r="M181" s="329"/>
      <c r="N181" s="329"/>
      <c r="O181" s="329"/>
      <c r="P181" s="329"/>
      <c r="Q181" s="329"/>
      <c r="R181" s="329"/>
      <c r="S181" s="329"/>
      <c r="T181" s="329"/>
      <c r="U181" s="329"/>
      <c r="V181" s="329"/>
      <c r="W181" s="329"/>
      <c r="X181" s="329"/>
      <c r="Y181" s="329"/>
      <c r="Z181" s="329"/>
      <c r="AA181" s="329"/>
      <c r="AB181" s="329"/>
      <c r="AC181" s="329"/>
      <c r="AD181" s="329"/>
      <c r="AE181" s="329"/>
      <c r="AF181" s="329"/>
      <c r="AG181" s="329"/>
      <c r="AH181" s="329"/>
      <c r="AI181" s="329"/>
      <c r="AJ181" s="329"/>
      <c r="AK181" s="329"/>
      <c r="AL181" s="329"/>
      <c r="AM181" s="329"/>
      <c r="AN181" s="329"/>
      <c r="AO181" s="329"/>
      <c r="AP181" s="329"/>
    </row>
    <row r="182" spans="3:42">
      <c r="C182" s="38"/>
      <c r="D182" s="329"/>
      <c r="E182" s="329"/>
      <c r="F182" s="329"/>
      <c r="G182" s="329"/>
      <c r="H182" s="329"/>
      <c r="I182" s="329"/>
      <c r="J182" s="329"/>
      <c r="K182" s="329"/>
      <c r="L182" s="329"/>
      <c r="M182" s="329"/>
      <c r="N182" s="329"/>
      <c r="O182" s="329"/>
      <c r="P182" s="329"/>
      <c r="Q182" s="329"/>
      <c r="R182" s="329"/>
      <c r="S182" s="329"/>
      <c r="T182" s="329"/>
      <c r="U182" s="329"/>
      <c r="V182" s="329"/>
      <c r="W182" s="329"/>
      <c r="X182" s="329"/>
      <c r="Y182" s="329"/>
      <c r="Z182" s="329"/>
      <c r="AA182" s="329"/>
      <c r="AB182" s="329"/>
      <c r="AC182" s="329"/>
      <c r="AD182" s="329"/>
      <c r="AE182" s="329"/>
      <c r="AF182" s="329"/>
      <c r="AG182" s="329"/>
      <c r="AH182" s="329"/>
      <c r="AI182" s="329"/>
      <c r="AJ182" s="329"/>
      <c r="AK182" s="329"/>
      <c r="AL182" s="329"/>
      <c r="AM182" s="329"/>
      <c r="AN182" s="329"/>
      <c r="AO182" s="329"/>
      <c r="AP182" s="329"/>
    </row>
    <row r="183" spans="3:42">
      <c r="C183" s="38"/>
      <c r="D183" s="329"/>
      <c r="E183" s="329"/>
      <c r="F183" s="329"/>
      <c r="G183" s="329"/>
      <c r="H183" s="329"/>
      <c r="I183" s="329"/>
      <c r="J183" s="329"/>
      <c r="K183" s="329"/>
      <c r="L183" s="329"/>
      <c r="M183" s="329"/>
      <c r="N183" s="329"/>
      <c r="O183" s="329"/>
      <c r="P183" s="329"/>
      <c r="Q183" s="329"/>
      <c r="R183" s="329"/>
      <c r="S183" s="329"/>
      <c r="T183" s="329"/>
      <c r="U183" s="329"/>
      <c r="V183" s="329"/>
      <c r="W183" s="329"/>
      <c r="X183" s="329"/>
      <c r="Y183" s="329"/>
      <c r="Z183" s="329"/>
      <c r="AA183" s="329"/>
      <c r="AB183" s="329"/>
      <c r="AC183" s="329"/>
      <c r="AD183" s="329"/>
      <c r="AE183" s="329"/>
      <c r="AF183" s="329"/>
      <c r="AG183" s="329"/>
      <c r="AH183" s="329"/>
      <c r="AI183" s="329"/>
      <c r="AJ183" s="329"/>
      <c r="AK183" s="329"/>
      <c r="AL183" s="329"/>
      <c r="AM183" s="329"/>
      <c r="AN183" s="329"/>
      <c r="AO183" s="329"/>
      <c r="AP183" s="329"/>
    </row>
    <row r="184" spans="3:42">
      <c r="C184" s="38"/>
      <c r="D184" s="329"/>
      <c r="E184" s="329"/>
      <c r="F184" s="329"/>
      <c r="G184" s="329"/>
      <c r="H184" s="329"/>
      <c r="I184" s="329"/>
      <c r="J184" s="329"/>
      <c r="K184" s="329"/>
      <c r="L184" s="329"/>
      <c r="M184" s="329"/>
      <c r="N184" s="329"/>
      <c r="O184" s="329"/>
      <c r="P184" s="329"/>
      <c r="Q184" s="329"/>
      <c r="R184" s="329"/>
      <c r="S184" s="329"/>
      <c r="T184" s="329"/>
      <c r="U184" s="329"/>
      <c r="V184" s="329"/>
      <c r="W184" s="329"/>
      <c r="X184" s="329"/>
      <c r="Y184" s="329"/>
      <c r="Z184" s="329"/>
      <c r="AA184" s="329"/>
      <c r="AB184" s="329"/>
      <c r="AC184" s="329"/>
      <c r="AD184" s="329"/>
      <c r="AE184" s="329"/>
      <c r="AF184" s="329"/>
      <c r="AG184" s="329"/>
      <c r="AH184" s="329"/>
      <c r="AI184" s="329"/>
      <c r="AJ184" s="329"/>
      <c r="AK184" s="329"/>
      <c r="AL184" s="329"/>
      <c r="AM184" s="329"/>
      <c r="AN184" s="329"/>
      <c r="AO184" s="329"/>
      <c r="AP184" s="329"/>
    </row>
    <row r="185" spans="3:42">
      <c r="C185" s="38"/>
      <c r="D185" s="329"/>
      <c r="E185" s="329"/>
      <c r="F185" s="329"/>
      <c r="G185" s="329"/>
      <c r="H185" s="329"/>
      <c r="I185" s="329"/>
      <c r="J185" s="329"/>
      <c r="K185" s="329"/>
      <c r="L185" s="329"/>
      <c r="M185" s="329"/>
      <c r="N185" s="329"/>
      <c r="O185" s="329"/>
      <c r="P185" s="329"/>
      <c r="Q185" s="329"/>
      <c r="R185" s="329"/>
      <c r="S185" s="329"/>
      <c r="T185" s="329"/>
      <c r="U185" s="329"/>
      <c r="V185" s="329"/>
      <c r="W185" s="329"/>
      <c r="X185" s="329"/>
      <c r="Y185" s="329"/>
      <c r="Z185" s="329"/>
      <c r="AA185" s="329"/>
      <c r="AB185" s="329"/>
      <c r="AC185" s="329"/>
      <c r="AD185" s="329"/>
      <c r="AE185" s="329"/>
      <c r="AF185" s="329"/>
      <c r="AG185" s="329"/>
      <c r="AH185" s="329"/>
      <c r="AI185" s="329"/>
      <c r="AJ185" s="329"/>
      <c r="AK185" s="329"/>
      <c r="AL185" s="329"/>
      <c r="AM185" s="329"/>
      <c r="AN185" s="329"/>
      <c r="AO185" s="329"/>
      <c r="AP185" s="329"/>
    </row>
    <row r="186" spans="3:42">
      <c r="C186" s="38"/>
      <c r="D186" s="329"/>
      <c r="E186" s="329"/>
      <c r="F186" s="329"/>
      <c r="G186" s="329"/>
      <c r="H186" s="329"/>
      <c r="I186" s="329"/>
      <c r="J186" s="329"/>
      <c r="K186" s="329"/>
      <c r="L186" s="329"/>
      <c r="M186" s="329"/>
      <c r="N186" s="329"/>
      <c r="O186" s="329"/>
      <c r="P186" s="329"/>
      <c r="Q186" s="329"/>
      <c r="R186" s="329"/>
      <c r="S186" s="329"/>
      <c r="T186" s="329"/>
      <c r="U186" s="329"/>
      <c r="V186" s="329"/>
      <c r="W186" s="329"/>
      <c r="X186" s="329"/>
      <c r="Y186" s="329"/>
      <c r="Z186" s="329"/>
      <c r="AA186" s="329"/>
      <c r="AB186" s="329"/>
      <c r="AC186" s="329"/>
      <c r="AD186" s="329"/>
      <c r="AE186" s="329"/>
      <c r="AF186" s="329"/>
      <c r="AG186" s="329"/>
      <c r="AH186" s="329"/>
      <c r="AI186" s="329"/>
      <c r="AJ186" s="329"/>
      <c r="AK186" s="329"/>
      <c r="AL186" s="329"/>
      <c r="AM186" s="329"/>
      <c r="AN186" s="329"/>
      <c r="AO186" s="329"/>
      <c r="AP186" s="329"/>
    </row>
    <row r="187" spans="3:42">
      <c r="C187" s="38"/>
      <c r="D187" s="329"/>
      <c r="E187" s="329"/>
      <c r="F187" s="329"/>
      <c r="G187" s="329"/>
      <c r="H187" s="329"/>
      <c r="I187" s="329"/>
      <c r="J187" s="329"/>
      <c r="K187" s="329"/>
      <c r="L187" s="329"/>
      <c r="M187" s="329"/>
      <c r="N187" s="329"/>
      <c r="O187" s="329"/>
      <c r="P187" s="329"/>
      <c r="Q187" s="329"/>
      <c r="R187" s="329"/>
      <c r="S187" s="329"/>
      <c r="T187" s="329"/>
      <c r="U187" s="329"/>
      <c r="V187" s="329"/>
      <c r="W187" s="329"/>
      <c r="X187" s="329"/>
      <c r="Y187" s="329"/>
      <c r="Z187" s="329"/>
      <c r="AA187" s="329"/>
      <c r="AB187" s="329"/>
      <c r="AC187" s="329"/>
      <c r="AD187" s="329"/>
      <c r="AE187" s="329"/>
      <c r="AF187" s="329"/>
      <c r="AG187" s="329"/>
      <c r="AH187" s="329"/>
      <c r="AI187" s="329"/>
      <c r="AJ187" s="329"/>
      <c r="AK187" s="329"/>
      <c r="AL187" s="329"/>
      <c r="AM187" s="329"/>
      <c r="AN187" s="329"/>
      <c r="AO187" s="329"/>
      <c r="AP187" s="329"/>
    </row>
    <row r="188" spans="3:42">
      <c r="C188" s="38"/>
      <c r="D188" s="329"/>
      <c r="E188" s="329"/>
      <c r="F188" s="329"/>
      <c r="G188" s="329"/>
      <c r="H188" s="329"/>
      <c r="I188" s="329"/>
      <c r="J188" s="329"/>
      <c r="K188" s="329"/>
      <c r="L188" s="329"/>
      <c r="M188" s="329"/>
      <c r="N188" s="329"/>
      <c r="O188" s="329"/>
      <c r="P188" s="329"/>
      <c r="Q188" s="329"/>
      <c r="R188" s="329"/>
      <c r="S188" s="329"/>
      <c r="T188" s="329"/>
      <c r="U188" s="329"/>
      <c r="V188" s="329"/>
      <c r="W188" s="329"/>
      <c r="X188" s="329"/>
      <c r="Y188" s="329"/>
      <c r="Z188" s="329"/>
      <c r="AA188" s="329"/>
      <c r="AB188" s="329"/>
      <c r="AC188" s="329"/>
      <c r="AD188" s="329"/>
      <c r="AE188" s="329"/>
      <c r="AF188" s="329"/>
      <c r="AG188" s="329"/>
      <c r="AH188" s="329"/>
      <c r="AI188" s="329"/>
      <c r="AJ188" s="329"/>
      <c r="AK188" s="329"/>
      <c r="AL188" s="329"/>
      <c r="AM188" s="329"/>
      <c r="AN188" s="329"/>
      <c r="AO188" s="329"/>
      <c r="AP188" s="329"/>
    </row>
    <row r="189" spans="3:42">
      <c r="C189" s="38"/>
      <c r="D189" s="329"/>
      <c r="E189" s="329"/>
      <c r="F189" s="329"/>
      <c r="G189" s="329"/>
      <c r="H189" s="329"/>
      <c r="I189" s="329"/>
      <c r="J189" s="329"/>
      <c r="K189" s="329"/>
      <c r="L189" s="329"/>
      <c r="M189" s="329"/>
      <c r="N189" s="329"/>
      <c r="O189" s="329"/>
      <c r="P189" s="329"/>
      <c r="Q189" s="329"/>
      <c r="R189" s="329"/>
      <c r="S189" s="329"/>
      <c r="T189" s="329"/>
      <c r="U189" s="329"/>
      <c r="V189" s="329"/>
      <c r="W189" s="329"/>
      <c r="X189" s="329"/>
      <c r="Y189" s="329"/>
      <c r="Z189" s="329"/>
      <c r="AA189" s="329"/>
      <c r="AB189" s="329"/>
      <c r="AC189" s="329"/>
      <c r="AD189" s="329"/>
      <c r="AE189" s="329"/>
      <c r="AF189" s="329"/>
      <c r="AG189" s="329"/>
      <c r="AH189" s="329"/>
      <c r="AI189" s="329"/>
      <c r="AJ189" s="329"/>
      <c r="AK189" s="329"/>
      <c r="AL189" s="329"/>
      <c r="AM189" s="329"/>
      <c r="AN189" s="329"/>
      <c r="AO189" s="329"/>
      <c r="AP189" s="329"/>
    </row>
    <row r="190" spans="3:42">
      <c r="C190" s="38"/>
      <c r="D190" s="329"/>
      <c r="E190" s="329"/>
      <c r="F190" s="329"/>
      <c r="G190" s="329"/>
      <c r="H190" s="329"/>
      <c r="I190" s="329"/>
      <c r="J190" s="329"/>
      <c r="K190" s="329"/>
      <c r="L190" s="329"/>
      <c r="M190" s="329"/>
      <c r="N190" s="329"/>
      <c r="O190" s="329"/>
      <c r="P190" s="329"/>
      <c r="Q190" s="329"/>
      <c r="R190" s="329"/>
      <c r="S190" s="329"/>
      <c r="T190" s="329"/>
      <c r="U190" s="329"/>
      <c r="V190" s="329"/>
      <c r="W190" s="329"/>
      <c r="X190" s="329"/>
      <c r="Y190" s="329"/>
      <c r="Z190" s="329"/>
      <c r="AA190" s="329"/>
      <c r="AB190" s="329"/>
      <c r="AC190" s="329"/>
      <c r="AD190" s="329"/>
      <c r="AE190" s="329"/>
      <c r="AF190" s="329"/>
      <c r="AG190" s="329"/>
      <c r="AH190" s="329"/>
      <c r="AI190" s="329"/>
      <c r="AJ190" s="329"/>
      <c r="AK190" s="329"/>
      <c r="AL190" s="329"/>
      <c r="AM190" s="329"/>
      <c r="AN190" s="329"/>
      <c r="AO190" s="329"/>
      <c r="AP190" s="329"/>
    </row>
    <row r="191" spans="3:42">
      <c r="C191" s="38"/>
      <c r="D191" s="329"/>
      <c r="E191" s="329"/>
      <c r="F191" s="329"/>
      <c r="G191" s="329"/>
      <c r="H191" s="329"/>
      <c r="I191" s="329"/>
      <c r="J191" s="329"/>
      <c r="K191" s="329"/>
      <c r="L191" s="329"/>
      <c r="M191" s="329"/>
      <c r="N191" s="329"/>
      <c r="O191" s="329"/>
      <c r="P191" s="329"/>
      <c r="Q191" s="329"/>
      <c r="R191" s="329"/>
      <c r="S191" s="329"/>
      <c r="T191" s="329"/>
      <c r="U191" s="329"/>
      <c r="V191" s="329"/>
      <c r="W191" s="329"/>
      <c r="X191" s="329"/>
      <c r="Y191" s="329"/>
      <c r="Z191" s="329"/>
      <c r="AA191" s="329"/>
      <c r="AB191" s="329"/>
      <c r="AC191" s="329"/>
      <c r="AD191" s="329"/>
      <c r="AE191" s="329"/>
      <c r="AF191" s="329"/>
      <c r="AG191" s="329"/>
      <c r="AH191" s="329"/>
      <c r="AI191" s="329"/>
      <c r="AJ191" s="329"/>
      <c r="AK191" s="329"/>
      <c r="AL191" s="329"/>
      <c r="AM191" s="329"/>
      <c r="AN191" s="329"/>
      <c r="AO191" s="329"/>
      <c r="AP191" s="329"/>
    </row>
    <row r="192" spans="3:42">
      <c r="C192" s="38"/>
      <c r="D192" s="329"/>
      <c r="E192" s="329"/>
      <c r="F192" s="329"/>
      <c r="G192" s="329"/>
      <c r="H192" s="329"/>
      <c r="I192" s="329"/>
      <c r="J192" s="329"/>
      <c r="K192" s="329"/>
      <c r="L192" s="329"/>
      <c r="M192" s="329"/>
      <c r="N192" s="329"/>
      <c r="O192" s="329"/>
      <c r="P192" s="329"/>
      <c r="Q192" s="329"/>
      <c r="R192" s="329"/>
      <c r="S192" s="329"/>
      <c r="T192" s="329"/>
      <c r="U192" s="329"/>
      <c r="V192" s="329"/>
      <c r="W192" s="329"/>
      <c r="X192" s="329"/>
      <c r="Y192" s="329"/>
      <c r="Z192" s="329"/>
      <c r="AA192" s="329"/>
      <c r="AB192" s="329"/>
      <c r="AC192" s="329"/>
      <c r="AD192" s="329"/>
      <c r="AE192" s="329"/>
      <c r="AF192" s="329"/>
      <c r="AG192" s="329"/>
      <c r="AH192" s="329"/>
      <c r="AI192" s="329"/>
      <c r="AJ192" s="329"/>
      <c r="AK192" s="329"/>
      <c r="AL192" s="329"/>
      <c r="AM192" s="329"/>
      <c r="AN192" s="329"/>
      <c r="AO192" s="329"/>
      <c r="AP192" s="329"/>
    </row>
    <row r="193" spans="3:42">
      <c r="C193" s="38"/>
      <c r="D193" s="329"/>
      <c r="E193" s="329"/>
      <c r="F193" s="329"/>
      <c r="G193" s="329"/>
      <c r="H193" s="329"/>
      <c r="I193" s="329"/>
      <c r="J193" s="329"/>
      <c r="K193" s="329"/>
      <c r="L193" s="329"/>
      <c r="M193" s="329"/>
      <c r="N193" s="329"/>
      <c r="O193" s="329"/>
      <c r="P193" s="329"/>
      <c r="Q193" s="329"/>
      <c r="R193" s="329"/>
      <c r="S193" s="329"/>
      <c r="T193" s="329"/>
      <c r="U193" s="329"/>
      <c r="V193" s="329"/>
      <c r="W193" s="329"/>
      <c r="X193" s="329"/>
      <c r="Y193" s="329"/>
      <c r="Z193" s="329"/>
      <c r="AA193" s="329"/>
      <c r="AB193" s="329"/>
      <c r="AC193" s="329"/>
      <c r="AD193" s="329"/>
      <c r="AE193" s="329"/>
      <c r="AF193" s="329"/>
      <c r="AG193" s="329"/>
      <c r="AH193" s="329"/>
      <c r="AI193" s="329"/>
      <c r="AJ193" s="329"/>
      <c r="AK193" s="329"/>
      <c r="AL193" s="329"/>
      <c r="AM193" s="329"/>
      <c r="AN193" s="329"/>
      <c r="AO193" s="329"/>
      <c r="AP193" s="329"/>
    </row>
    <row r="194" spans="3:42">
      <c r="C194" s="38"/>
      <c r="D194" s="329"/>
      <c r="E194" s="329"/>
      <c r="F194" s="329"/>
      <c r="G194" s="329"/>
      <c r="H194" s="329"/>
      <c r="I194" s="329"/>
      <c r="J194" s="329"/>
      <c r="K194" s="329"/>
      <c r="L194" s="329"/>
      <c r="M194" s="329"/>
      <c r="N194" s="329"/>
      <c r="O194" s="329"/>
      <c r="P194" s="329"/>
      <c r="Q194" s="329"/>
      <c r="R194" s="329"/>
      <c r="S194" s="329"/>
      <c r="T194" s="329"/>
      <c r="U194" s="329"/>
      <c r="V194" s="329"/>
      <c r="W194" s="329"/>
      <c r="X194" s="329"/>
      <c r="Y194" s="329"/>
      <c r="Z194" s="329"/>
      <c r="AA194" s="329"/>
      <c r="AB194" s="329"/>
      <c r="AC194" s="329"/>
      <c r="AD194" s="329"/>
      <c r="AE194" s="329"/>
      <c r="AF194" s="329"/>
      <c r="AG194" s="329"/>
      <c r="AH194" s="329"/>
      <c r="AI194" s="329"/>
      <c r="AJ194" s="329"/>
      <c r="AK194" s="329"/>
      <c r="AL194" s="329"/>
      <c r="AM194" s="329"/>
      <c r="AN194" s="329"/>
      <c r="AO194" s="329"/>
      <c r="AP194" s="329"/>
    </row>
    <row r="195" spans="3:42">
      <c r="C195" s="38"/>
      <c r="D195" s="329"/>
      <c r="E195" s="329"/>
      <c r="F195" s="329"/>
      <c r="G195" s="329"/>
      <c r="H195" s="329"/>
      <c r="I195" s="329"/>
      <c r="J195" s="329"/>
      <c r="K195" s="329"/>
      <c r="L195" s="329"/>
      <c r="M195" s="329"/>
      <c r="N195" s="329"/>
      <c r="O195" s="329"/>
      <c r="P195" s="329"/>
      <c r="Q195" s="329"/>
      <c r="R195" s="329"/>
      <c r="S195" s="329"/>
      <c r="T195" s="329"/>
      <c r="U195" s="329"/>
      <c r="V195" s="329"/>
      <c r="W195" s="329"/>
      <c r="X195" s="329"/>
      <c r="Y195" s="329"/>
      <c r="Z195" s="329"/>
      <c r="AA195" s="329"/>
      <c r="AB195" s="329"/>
      <c r="AC195" s="329"/>
      <c r="AD195" s="329"/>
      <c r="AE195" s="329"/>
      <c r="AF195" s="329"/>
      <c r="AG195" s="329"/>
      <c r="AH195" s="329"/>
      <c r="AI195" s="329"/>
      <c r="AJ195" s="329"/>
      <c r="AK195" s="329"/>
      <c r="AL195" s="329"/>
      <c r="AM195" s="329"/>
      <c r="AN195" s="329"/>
      <c r="AO195" s="329"/>
      <c r="AP195" s="329"/>
    </row>
    <row r="196" spans="3:42">
      <c r="C196" s="38"/>
      <c r="D196" s="329"/>
      <c r="E196" s="329"/>
      <c r="F196" s="329"/>
      <c r="G196" s="329"/>
      <c r="H196" s="329"/>
      <c r="I196" s="329"/>
      <c r="J196" s="329"/>
      <c r="K196" s="329"/>
      <c r="L196" s="329"/>
      <c r="M196" s="329"/>
      <c r="N196" s="329"/>
      <c r="O196" s="329"/>
      <c r="P196" s="329"/>
      <c r="Q196" s="329"/>
      <c r="R196" s="329"/>
      <c r="S196" s="329"/>
      <c r="T196" s="329"/>
      <c r="U196" s="329"/>
      <c r="V196" s="329"/>
      <c r="W196" s="329"/>
      <c r="X196" s="329"/>
      <c r="Y196" s="329"/>
      <c r="Z196" s="329"/>
      <c r="AA196" s="329"/>
      <c r="AB196" s="329"/>
      <c r="AC196" s="329"/>
      <c r="AD196" s="329"/>
      <c r="AE196" s="329"/>
      <c r="AF196" s="329"/>
      <c r="AG196" s="329"/>
      <c r="AH196" s="329"/>
      <c r="AI196" s="329"/>
      <c r="AJ196" s="329"/>
      <c r="AK196" s="329"/>
      <c r="AL196" s="329"/>
      <c r="AM196" s="329"/>
      <c r="AN196" s="329"/>
      <c r="AO196" s="329"/>
      <c r="AP196" s="329"/>
    </row>
    <row r="197" spans="3:42">
      <c r="C197" s="38"/>
      <c r="D197" s="329"/>
      <c r="E197" s="329"/>
      <c r="F197" s="329"/>
      <c r="G197" s="329"/>
      <c r="H197" s="329"/>
      <c r="I197" s="329"/>
      <c r="J197" s="329"/>
      <c r="K197" s="329"/>
      <c r="L197" s="329"/>
      <c r="M197" s="329"/>
      <c r="N197" s="329"/>
      <c r="O197" s="329"/>
      <c r="P197" s="329"/>
      <c r="Q197" s="329"/>
      <c r="R197" s="329"/>
      <c r="S197" s="329"/>
      <c r="T197" s="329"/>
      <c r="U197" s="329"/>
      <c r="V197" s="329"/>
      <c r="W197" s="329"/>
      <c r="X197" s="329"/>
      <c r="Y197" s="329"/>
      <c r="Z197" s="329"/>
      <c r="AA197" s="329"/>
      <c r="AB197" s="329"/>
      <c r="AC197" s="329"/>
      <c r="AD197" s="329"/>
      <c r="AE197" s="329"/>
      <c r="AF197" s="329"/>
      <c r="AG197" s="329"/>
      <c r="AH197" s="329"/>
      <c r="AI197" s="329"/>
      <c r="AJ197" s="329"/>
      <c r="AK197" s="329"/>
      <c r="AL197" s="329"/>
      <c r="AM197" s="329"/>
      <c r="AN197" s="329"/>
      <c r="AO197" s="329"/>
      <c r="AP197" s="329"/>
    </row>
    <row r="198" spans="3:42">
      <c r="C198" s="38"/>
      <c r="D198" s="329"/>
      <c r="E198" s="329"/>
      <c r="F198" s="329"/>
      <c r="G198" s="329"/>
      <c r="H198" s="329"/>
      <c r="I198" s="329"/>
      <c r="J198" s="329"/>
      <c r="K198" s="329"/>
      <c r="L198" s="329"/>
      <c r="M198" s="329"/>
      <c r="N198" s="329"/>
      <c r="O198" s="329"/>
      <c r="P198" s="329"/>
      <c r="Q198" s="329"/>
      <c r="R198" s="329"/>
      <c r="S198" s="329"/>
      <c r="T198" s="329"/>
      <c r="U198" s="329"/>
      <c r="V198" s="329"/>
      <c r="W198" s="329"/>
      <c r="X198" s="329"/>
      <c r="Y198" s="329"/>
      <c r="Z198" s="329"/>
      <c r="AA198" s="329"/>
      <c r="AB198" s="329"/>
      <c r="AC198" s="329"/>
      <c r="AD198" s="329"/>
      <c r="AE198" s="329"/>
      <c r="AF198" s="329"/>
      <c r="AG198" s="329"/>
      <c r="AH198" s="329"/>
      <c r="AI198" s="329"/>
      <c r="AJ198" s="329"/>
      <c r="AK198" s="329"/>
      <c r="AL198" s="329"/>
      <c r="AM198" s="329"/>
      <c r="AN198" s="329"/>
      <c r="AO198" s="329"/>
      <c r="AP198" s="329"/>
    </row>
    <row r="199" spans="3:42">
      <c r="C199" s="38"/>
      <c r="D199" s="329"/>
      <c r="E199" s="329"/>
      <c r="F199" s="329"/>
      <c r="G199" s="329"/>
      <c r="H199" s="329"/>
      <c r="I199" s="329"/>
      <c r="J199" s="329"/>
      <c r="K199" s="329"/>
      <c r="L199" s="329"/>
      <c r="M199" s="329"/>
      <c r="N199" s="329"/>
      <c r="O199" s="329"/>
      <c r="P199" s="329"/>
      <c r="Q199" s="329"/>
      <c r="R199" s="329"/>
      <c r="S199" s="329"/>
      <c r="T199" s="329"/>
      <c r="U199" s="329"/>
      <c r="V199" s="329"/>
      <c r="W199" s="329"/>
      <c r="X199" s="329"/>
      <c r="Y199" s="329"/>
      <c r="Z199" s="329"/>
      <c r="AA199" s="329"/>
      <c r="AB199" s="329"/>
      <c r="AC199" s="329"/>
      <c r="AD199" s="329"/>
      <c r="AE199" s="329"/>
      <c r="AF199" s="329"/>
      <c r="AG199" s="329"/>
      <c r="AH199" s="329"/>
      <c r="AI199" s="329"/>
      <c r="AJ199" s="329"/>
      <c r="AK199" s="329"/>
      <c r="AL199" s="329"/>
      <c r="AM199" s="329"/>
      <c r="AN199" s="329"/>
      <c r="AO199" s="329"/>
      <c r="AP199" s="329"/>
    </row>
    <row r="200" spans="3:42">
      <c r="C200" s="38"/>
      <c r="D200" s="329"/>
      <c r="E200" s="329"/>
      <c r="F200" s="329"/>
      <c r="G200" s="329"/>
      <c r="H200" s="329"/>
      <c r="I200" s="329"/>
      <c r="J200" s="329"/>
      <c r="K200" s="329"/>
      <c r="L200" s="329"/>
      <c r="M200" s="329"/>
      <c r="N200" s="329"/>
      <c r="O200" s="329"/>
      <c r="P200" s="329"/>
      <c r="Q200" s="329"/>
      <c r="R200" s="329"/>
      <c r="S200" s="329"/>
      <c r="T200" s="329"/>
      <c r="U200" s="329"/>
      <c r="V200" s="329"/>
      <c r="W200" s="329"/>
      <c r="X200" s="329"/>
      <c r="Y200" s="329"/>
      <c r="Z200" s="329"/>
      <c r="AA200" s="329"/>
      <c r="AB200" s="329"/>
      <c r="AC200" s="329"/>
      <c r="AD200" s="329"/>
      <c r="AE200" s="329"/>
      <c r="AF200" s="329"/>
      <c r="AG200" s="329"/>
      <c r="AH200" s="329"/>
      <c r="AI200" s="329"/>
      <c r="AJ200" s="329"/>
      <c r="AK200" s="329"/>
      <c r="AL200" s="329"/>
      <c r="AM200" s="329"/>
      <c r="AN200" s="329"/>
      <c r="AO200" s="329"/>
      <c r="AP200" s="329"/>
    </row>
    <row r="201" spans="3:42">
      <c r="C201" s="38"/>
      <c r="D201" s="329"/>
      <c r="E201" s="329"/>
      <c r="F201" s="329"/>
      <c r="G201" s="329"/>
      <c r="H201" s="329"/>
      <c r="I201" s="329"/>
      <c r="J201" s="329"/>
      <c r="K201" s="329"/>
      <c r="L201" s="329"/>
      <c r="M201" s="329"/>
      <c r="N201" s="329"/>
      <c r="O201" s="329"/>
      <c r="P201" s="329"/>
      <c r="Q201" s="329"/>
      <c r="R201" s="329"/>
      <c r="S201" s="329"/>
      <c r="T201" s="329"/>
      <c r="U201" s="329"/>
      <c r="V201" s="329"/>
      <c r="W201" s="329"/>
      <c r="X201" s="329"/>
      <c r="Y201" s="329"/>
      <c r="Z201" s="329"/>
      <c r="AA201" s="329"/>
      <c r="AB201" s="329"/>
      <c r="AC201" s="329"/>
      <c r="AD201" s="329"/>
      <c r="AE201" s="329"/>
      <c r="AF201" s="329"/>
      <c r="AG201" s="329"/>
      <c r="AH201" s="329"/>
      <c r="AI201" s="329"/>
      <c r="AJ201" s="329"/>
      <c r="AK201" s="329"/>
      <c r="AL201" s="329"/>
      <c r="AM201" s="329"/>
      <c r="AN201" s="329"/>
      <c r="AO201" s="329"/>
      <c r="AP201" s="329"/>
    </row>
    <row r="202" spans="3:42">
      <c r="C202" s="38"/>
      <c r="D202" s="329"/>
      <c r="E202" s="329"/>
      <c r="F202" s="329"/>
      <c r="G202" s="329"/>
      <c r="H202" s="329"/>
      <c r="I202" s="329"/>
      <c r="J202" s="329"/>
      <c r="K202" s="329"/>
      <c r="L202" s="329"/>
      <c r="M202" s="329"/>
      <c r="N202" s="329"/>
      <c r="O202" s="329"/>
      <c r="P202" s="329"/>
      <c r="Q202" s="329"/>
      <c r="R202" s="329"/>
      <c r="S202" s="329"/>
      <c r="T202" s="329"/>
      <c r="U202" s="329"/>
      <c r="V202" s="329"/>
      <c r="W202" s="329"/>
      <c r="X202" s="329"/>
      <c r="Y202" s="329"/>
      <c r="Z202" s="329"/>
      <c r="AA202" s="329"/>
      <c r="AB202" s="329"/>
      <c r="AC202" s="329"/>
      <c r="AD202" s="329"/>
      <c r="AE202" s="329"/>
      <c r="AF202" s="329"/>
      <c r="AG202" s="329"/>
      <c r="AH202" s="329"/>
      <c r="AI202" s="329"/>
      <c r="AJ202" s="329"/>
      <c r="AK202" s="329"/>
      <c r="AL202" s="329"/>
      <c r="AM202" s="329"/>
      <c r="AN202" s="329"/>
      <c r="AO202" s="329"/>
      <c r="AP202" s="329"/>
    </row>
    <row r="203" spans="3:42">
      <c r="C203" s="38"/>
      <c r="D203" s="329"/>
      <c r="E203" s="329"/>
      <c r="F203" s="329"/>
      <c r="G203" s="329"/>
      <c r="H203" s="329"/>
      <c r="I203" s="329"/>
      <c r="J203" s="329"/>
      <c r="K203" s="329"/>
      <c r="L203" s="329"/>
      <c r="M203" s="329"/>
      <c r="N203" s="329"/>
      <c r="O203" s="329"/>
      <c r="P203" s="329"/>
      <c r="Q203" s="329"/>
      <c r="R203" s="329"/>
      <c r="S203" s="329"/>
      <c r="T203" s="329"/>
      <c r="U203" s="329"/>
      <c r="V203" s="329"/>
      <c r="W203" s="329"/>
      <c r="X203" s="329"/>
      <c r="Y203" s="329"/>
      <c r="Z203" s="329"/>
      <c r="AA203" s="329"/>
      <c r="AB203" s="329"/>
      <c r="AC203" s="329"/>
      <c r="AD203" s="329"/>
      <c r="AE203" s="329"/>
      <c r="AF203" s="329"/>
      <c r="AG203" s="329"/>
      <c r="AH203" s="329"/>
      <c r="AI203" s="329"/>
      <c r="AJ203" s="329"/>
      <c r="AK203" s="329"/>
      <c r="AL203" s="329"/>
      <c r="AM203" s="329"/>
      <c r="AN203" s="329"/>
      <c r="AO203" s="329"/>
      <c r="AP203" s="329"/>
    </row>
    <row r="204" spans="3:42">
      <c r="C204" s="38"/>
      <c r="D204" s="329"/>
      <c r="E204" s="329"/>
      <c r="F204" s="329"/>
      <c r="G204" s="329"/>
      <c r="H204" s="329"/>
      <c r="I204" s="329"/>
      <c r="J204" s="329"/>
      <c r="K204" s="329"/>
      <c r="L204" s="329"/>
      <c r="M204" s="329"/>
      <c r="N204" s="329"/>
      <c r="O204" s="329"/>
      <c r="P204" s="329"/>
      <c r="Q204" s="329"/>
      <c r="R204" s="329"/>
      <c r="S204" s="329"/>
      <c r="T204" s="329"/>
      <c r="U204" s="329"/>
      <c r="V204" s="329"/>
      <c r="W204" s="329"/>
      <c r="X204" s="329"/>
      <c r="Y204" s="329"/>
      <c r="Z204" s="329"/>
      <c r="AA204" s="329"/>
      <c r="AB204" s="329"/>
      <c r="AC204" s="329"/>
      <c r="AD204" s="329"/>
      <c r="AE204" s="329"/>
      <c r="AF204" s="329"/>
      <c r="AG204" s="329"/>
      <c r="AH204" s="329"/>
      <c r="AI204" s="329"/>
      <c r="AJ204" s="329"/>
      <c r="AK204" s="329"/>
      <c r="AL204" s="329"/>
      <c r="AM204" s="329"/>
      <c r="AN204" s="329"/>
      <c r="AO204" s="329"/>
      <c r="AP204" s="329"/>
    </row>
    <row r="205" spans="3:42">
      <c r="C205" s="38"/>
      <c r="D205" s="329"/>
      <c r="E205" s="329"/>
      <c r="F205" s="329"/>
      <c r="G205" s="329"/>
      <c r="H205" s="329"/>
      <c r="I205" s="329"/>
      <c r="J205" s="329"/>
      <c r="K205" s="329"/>
      <c r="L205" s="329"/>
      <c r="M205" s="329"/>
      <c r="N205" s="329"/>
      <c r="O205" s="329"/>
      <c r="P205" s="329"/>
      <c r="Q205" s="329"/>
      <c r="R205" s="329"/>
      <c r="S205" s="329"/>
      <c r="T205" s="329"/>
      <c r="U205" s="329"/>
      <c r="V205" s="329"/>
      <c r="W205" s="329"/>
      <c r="X205" s="329"/>
      <c r="Y205" s="329"/>
      <c r="Z205" s="329"/>
      <c r="AA205" s="329"/>
      <c r="AB205" s="329"/>
      <c r="AC205" s="329"/>
      <c r="AD205" s="329"/>
      <c r="AE205" s="329"/>
      <c r="AF205" s="329"/>
      <c r="AG205" s="329"/>
      <c r="AH205" s="329"/>
      <c r="AI205" s="329"/>
      <c r="AJ205" s="329"/>
      <c r="AK205" s="329"/>
      <c r="AL205" s="329"/>
      <c r="AM205" s="329"/>
      <c r="AN205" s="329"/>
      <c r="AO205" s="329"/>
      <c r="AP205" s="329"/>
    </row>
    <row r="206" spans="3:42">
      <c r="C206" s="38"/>
      <c r="D206" s="329"/>
      <c r="E206" s="329"/>
      <c r="F206" s="329"/>
      <c r="G206" s="329"/>
      <c r="H206" s="329"/>
      <c r="I206" s="329"/>
      <c r="J206" s="329"/>
      <c r="K206" s="329"/>
      <c r="L206" s="329"/>
      <c r="M206" s="329"/>
      <c r="N206" s="329"/>
      <c r="O206" s="329"/>
      <c r="P206" s="329"/>
      <c r="Q206" s="329"/>
      <c r="R206" s="329"/>
      <c r="S206" s="329"/>
      <c r="T206" s="329"/>
      <c r="U206" s="329"/>
      <c r="V206" s="329"/>
      <c r="W206" s="329"/>
      <c r="X206" s="329"/>
      <c r="Y206" s="329"/>
      <c r="Z206" s="329"/>
      <c r="AA206" s="329"/>
      <c r="AB206" s="329"/>
      <c r="AC206" s="329"/>
      <c r="AD206" s="329"/>
      <c r="AE206" s="329"/>
      <c r="AF206" s="329"/>
      <c r="AG206" s="329"/>
      <c r="AH206" s="329"/>
      <c r="AI206" s="329"/>
      <c r="AJ206" s="329"/>
      <c r="AK206" s="329"/>
      <c r="AL206" s="329"/>
      <c r="AM206" s="329"/>
      <c r="AN206" s="329"/>
      <c r="AO206" s="329"/>
      <c r="AP206" s="329"/>
    </row>
    <row r="207" spans="3:42">
      <c r="C207" s="38"/>
      <c r="D207" s="329"/>
      <c r="E207" s="329"/>
      <c r="F207" s="329"/>
      <c r="G207" s="329"/>
      <c r="H207" s="329"/>
      <c r="I207" s="329"/>
      <c r="J207" s="329"/>
      <c r="K207" s="329"/>
      <c r="L207" s="329"/>
      <c r="M207" s="329"/>
      <c r="N207" s="329"/>
      <c r="O207" s="329"/>
      <c r="P207" s="329"/>
      <c r="Q207" s="329"/>
      <c r="R207" s="329"/>
      <c r="S207" s="329"/>
      <c r="T207" s="329"/>
      <c r="U207" s="329"/>
      <c r="V207" s="329"/>
      <c r="W207" s="329"/>
      <c r="X207" s="329"/>
      <c r="Y207" s="329"/>
      <c r="Z207" s="329"/>
      <c r="AA207" s="329"/>
      <c r="AB207" s="329"/>
      <c r="AC207" s="329"/>
      <c r="AD207" s="329"/>
      <c r="AE207" s="329"/>
      <c r="AF207" s="329"/>
      <c r="AG207" s="329"/>
      <c r="AH207" s="329"/>
      <c r="AI207" s="329"/>
      <c r="AJ207" s="329"/>
      <c r="AK207" s="329"/>
      <c r="AL207" s="329"/>
      <c r="AM207" s="329"/>
      <c r="AN207" s="329"/>
      <c r="AO207" s="329"/>
      <c r="AP207" s="329"/>
    </row>
    <row r="208" spans="3:42">
      <c r="C208" s="38"/>
      <c r="D208" s="329"/>
      <c r="E208" s="329"/>
      <c r="F208" s="329"/>
      <c r="G208" s="329"/>
      <c r="H208" s="329"/>
      <c r="I208" s="329"/>
      <c r="J208" s="329"/>
      <c r="K208" s="329"/>
      <c r="L208" s="329"/>
      <c r="M208" s="329"/>
      <c r="N208" s="329"/>
      <c r="O208" s="329"/>
      <c r="P208" s="329"/>
      <c r="Q208" s="329"/>
      <c r="R208" s="329"/>
      <c r="S208" s="329"/>
      <c r="T208" s="329"/>
      <c r="U208" s="329"/>
      <c r="V208" s="329"/>
      <c r="W208" s="329"/>
      <c r="X208" s="329"/>
      <c r="Y208" s="329"/>
      <c r="Z208" s="329"/>
      <c r="AA208" s="329"/>
      <c r="AB208" s="329"/>
      <c r="AC208" s="329"/>
      <c r="AD208" s="329"/>
      <c r="AE208" s="329"/>
      <c r="AF208" s="329"/>
      <c r="AG208" s="329"/>
      <c r="AH208" s="329"/>
      <c r="AI208" s="329"/>
      <c r="AJ208" s="329"/>
      <c r="AK208" s="329"/>
      <c r="AL208" s="329"/>
      <c r="AM208" s="329"/>
      <c r="AN208" s="329"/>
      <c r="AO208" s="329"/>
      <c r="AP208" s="329"/>
    </row>
    <row r="209" spans="3:42">
      <c r="C209" s="38"/>
      <c r="D209" s="329"/>
      <c r="E209" s="329"/>
      <c r="F209" s="329"/>
      <c r="G209" s="329"/>
      <c r="H209" s="329"/>
      <c r="I209" s="329"/>
      <c r="J209" s="329"/>
      <c r="K209" s="329"/>
      <c r="L209" s="329"/>
      <c r="M209" s="329"/>
      <c r="N209" s="329"/>
      <c r="O209" s="329"/>
      <c r="P209" s="329"/>
      <c r="Q209" s="329"/>
      <c r="R209" s="329"/>
      <c r="S209" s="329"/>
      <c r="T209" s="329"/>
      <c r="U209" s="329"/>
      <c r="V209" s="329"/>
      <c r="W209" s="329"/>
      <c r="X209" s="329"/>
      <c r="Y209" s="329"/>
      <c r="Z209" s="329"/>
      <c r="AA209" s="329"/>
      <c r="AB209" s="329"/>
      <c r="AC209" s="329"/>
      <c r="AD209" s="329"/>
      <c r="AE209" s="329"/>
      <c r="AF209" s="329"/>
      <c r="AG209" s="329"/>
      <c r="AH209" s="329"/>
      <c r="AI209" s="329"/>
      <c r="AJ209" s="329"/>
      <c r="AK209" s="329"/>
      <c r="AL209" s="329"/>
      <c r="AM209" s="329"/>
      <c r="AN209" s="329"/>
      <c r="AO209" s="329"/>
      <c r="AP209" s="329"/>
    </row>
    <row r="210" spans="3:42">
      <c r="C210" s="38"/>
      <c r="D210" s="329"/>
      <c r="E210" s="329"/>
      <c r="F210" s="329"/>
      <c r="G210" s="329"/>
      <c r="H210" s="329"/>
      <c r="I210" s="329"/>
      <c r="J210" s="329"/>
      <c r="K210" s="329"/>
      <c r="L210" s="329"/>
      <c r="M210" s="329"/>
      <c r="N210" s="329"/>
      <c r="O210" s="329"/>
      <c r="P210" s="329"/>
      <c r="Q210" s="329"/>
      <c r="R210" s="329"/>
      <c r="S210" s="329"/>
      <c r="T210" s="329"/>
      <c r="U210" s="329"/>
      <c r="V210" s="329"/>
      <c r="W210" s="329"/>
      <c r="X210" s="329"/>
      <c r="Y210" s="329"/>
      <c r="Z210" s="329"/>
      <c r="AA210" s="329"/>
      <c r="AB210" s="329"/>
      <c r="AC210" s="329"/>
      <c r="AD210" s="329"/>
      <c r="AE210" s="329"/>
      <c r="AF210" s="329"/>
      <c r="AG210" s="329"/>
      <c r="AH210" s="329"/>
      <c r="AI210" s="329"/>
      <c r="AJ210" s="329"/>
      <c r="AK210" s="329"/>
      <c r="AL210" s="329"/>
      <c r="AM210" s="329"/>
      <c r="AN210" s="329"/>
      <c r="AO210" s="329"/>
      <c r="AP210" s="329"/>
    </row>
    <row r="211" spans="3:42">
      <c r="C211" s="38"/>
      <c r="D211" s="329"/>
      <c r="E211" s="329"/>
      <c r="F211" s="329"/>
      <c r="G211" s="329"/>
      <c r="H211" s="329"/>
      <c r="I211" s="329"/>
      <c r="J211" s="329"/>
      <c r="K211" s="329"/>
      <c r="L211" s="329"/>
      <c r="M211" s="329"/>
      <c r="N211" s="329"/>
      <c r="O211" s="329"/>
      <c r="P211" s="329"/>
      <c r="Q211" s="329"/>
      <c r="R211" s="329"/>
      <c r="S211" s="329"/>
      <c r="T211" s="329"/>
      <c r="U211" s="329"/>
      <c r="V211" s="329"/>
      <c r="W211" s="329"/>
      <c r="X211" s="329"/>
      <c r="Y211" s="329"/>
      <c r="Z211" s="329"/>
      <c r="AA211" s="329"/>
      <c r="AB211" s="329"/>
      <c r="AC211" s="329"/>
      <c r="AD211" s="329"/>
      <c r="AE211" s="329"/>
      <c r="AF211" s="329"/>
      <c r="AG211" s="329"/>
      <c r="AH211" s="329"/>
      <c r="AI211" s="329"/>
      <c r="AJ211" s="329"/>
      <c r="AK211" s="329"/>
      <c r="AL211" s="329"/>
      <c r="AM211" s="329"/>
      <c r="AN211" s="329"/>
      <c r="AO211" s="329"/>
      <c r="AP211" s="329"/>
    </row>
    <row r="212" spans="3:42">
      <c r="C212" s="38"/>
      <c r="D212" s="329"/>
      <c r="E212" s="329"/>
      <c r="F212" s="329"/>
      <c r="G212" s="329"/>
      <c r="H212" s="329"/>
      <c r="I212" s="329"/>
      <c r="J212" s="329"/>
      <c r="K212" s="329"/>
      <c r="L212" s="329"/>
      <c r="M212" s="329"/>
      <c r="N212" s="329"/>
      <c r="O212" s="329"/>
      <c r="P212" s="329"/>
      <c r="Q212" s="329"/>
      <c r="R212" s="329"/>
      <c r="S212" s="329"/>
      <c r="T212" s="329"/>
      <c r="U212" s="329"/>
      <c r="V212" s="329"/>
      <c r="W212" s="329"/>
      <c r="X212" s="329"/>
      <c r="Y212" s="329"/>
      <c r="Z212" s="329"/>
      <c r="AA212" s="329"/>
      <c r="AB212" s="329"/>
      <c r="AC212" s="329"/>
      <c r="AD212" s="329"/>
      <c r="AE212" s="329"/>
      <c r="AF212" s="329"/>
      <c r="AG212" s="329"/>
      <c r="AH212" s="329"/>
      <c r="AI212" s="329"/>
      <c r="AJ212" s="329"/>
      <c r="AK212" s="329"/>
      <c r="AL212" s="329"/>
      <c r="AM212" s="329"/>
      <c r="AN212" s="329"/>
      <c r="AO212" s="329"/>
      <c r="AP212" s="329"/>
    </row>
    <row r="213" spans="3:42">
      <c r="C213" s="38"/>
      <c r="D213" s="329"/>
      <c r="E213" s="329"/>
      <c r="F213" s="329"/>
      <c r="G213" s="329"/>
      <c r="H213" s="329"/>
      <c r="I213" s="329"/>
      <c r="J213" s="329"/>
      <c r="K213" s="329"/>
      <c r="L213" s="329"/>
      <c r="M213" s="329"/>
      <c r="N213" s="329"/>
      <c r="O213" s="329"/>
      <c r="P213" s="329"/>
      <c r="Q213" s="329"/>
      <c r="R213" s="329"/>
      <c r="S213" s="329"/>
      <c r="T213" s="329"/>
      <c r="U213" s="329"/>
      <c r="V213" s="329"/>
      <c r="W213" s="329"/>
      <c r="X213" s="329"/>
      <c r="Y213" s="329"/>
      <c r="Z213" s="329"/>
      <c r="AA213" s="329"/>
      <c r="AB213" s="329"/>
      <c r="AC213" s="329"/>
      <c r="AD213" s="329"/>
      <c r="AE213" s="329"/>
      <c r="AF213" s="329"/>
      <c r="AG213" s="329"/>
      <c r="AH213" s="329"/>
      <c r="AI213" s="329"/>
      <c r="AJ213" s="329"/>
      <c r="AK213" s="329"/>
      <c r="AL213" s="329"/>
      <c r="AM213" s="329"/>
      <c r="AN213" s="329"/>
      <c r="AO213" s="329"/>
      <c r="AP213" s="329"/>
    </row>
    <row r="214" spans="3:42">
      <c r="C214" s="38"/>
      <c r="D214" s="329"/>
      <c r="E214" s="329"/>
      <c r="F214" s="329"/>
      <c r="G214" s="329"/>
      <c r="H214" s="329"/>
      <c r="I214" s="329"/>
      <c r="J214" s="329"/>
      <c r="K214" s="329"/>
      <c r="L214" s="329"/>
      <c r="M214" s="329"/>
      <c r="N214" s="329"/>
      <c r="O214" s="329"/>
      <c r="P214" s="329"/>
      <c r="Q214" s="329"/>
      <c r="R214" s="329"/>
      <c r="S214" s="329"/>
      <c r="T214" s="329"/>
      <c r="U214" s="329"/>
      <c r="V214" s="329"/>
      <c r="W214" s="329"/>
      <c r="X214" s="329"/>
      <c r="Y214" s="329"/>
      <c r="Z214" s="329"/>
      <c r="AA214" s="329"/>
      <c r="AB214" s="329"/>
      <c r="AC214" s="329"/>
      <c r="AD214" s="329"/>
      <c r="AE214" s="329"/>
      <c r="AF214" s="329"/>
      <c r="AG214" s="329"/>
      <c r="AH214" s="329"/>
      <c r="AI214" s="329"/>
      <c r="AJ214" s="329"/>
      <c r="AK214" s="329"/>
      <c r="AL214" s="329"/>
      <c r="AM214" s="329"/>
      <c r="AN214" s="329"/>
      <c r="AO214" s="329"/>
      <c r="AP214" s="329"/>
    </row>
    <row r="215" spans="3:42">
      <c r="C215" s="38"/>
      <c r="D215" s="329"/>
      <c r="E215" s="329"/>
      <c r="F215" s="329"/>
      <c r="G215" s="329"/>
      <c r="H215" s="329"/>
      <c r="I215" s="329"/>
      <c r="J215" s="329"/>
      <c r="K215" s="329"/>
      <c r="L215" s="329"/>
      <c r="M215" s="329"/>
      <c r="N215" s="329"/>
      <c r="O215" s="329"/>
      <c r="P215" s="329"/>
      <c r="Q215" s="329"/>
      <c r="R215" s="329"/>
      <c r="S215" s="329"/>
      <c r="T215" s="329"/>
      <c r="U215" s="329"/>
      <c r="V215" s="329"/>
      <c r="W215" s="329"/>
      <c r="X215" s="329"/>
      <c r="Y215" s="329"/>
      <c r="Z215" s="329"/>
      <c r="AA215" s="329"/>
      <c r="AB215" s="329"/>
      <c r="AC215" s="329"/>
      <c r="AD215" s="329"/>
      <c r="AE215" s="329"/>
      <c r="AF215" s="329"/>
      <c r="AG215" s="329"/>
      <c r="AH215" s="329"/>
      <c r="AI215" s="329"/>
      <c r="AJ215" s="329"/>
      <c r="AK215" s="329"/>
      <c r="AL215" s="329"/>
      <c r="AM215" s="329"/>
      <c r="AN215" s="329"/>
      <c r="AO215" s="329"/>
      <c r="AP215" s="329"/>
    </row>
    <row r="216" spans="3:42">
      <c r="C216" s="38"/>
      <c r="D216" s="329"/>
      <c r="E216" s="329"/>
      <c r="F216" s="329"/>
      <c r="G216" s="329"/>
      <c r="H216" s="329"/>
      <c r="I216" s="329"/>
      <c r="J216" s="329"/>
      <c r="K216" s="329"/>
      <c r="L216" s="329"/>
      <c r="M216" s="329"/>
      <c r="N216" s="329"/>
      <c r="O216" s="329"/>
      <c r="P216" s="329"/>
      <c r="Q216" s="329"/>
      <c r="R216" s="329"/>
      <c r="S216" s="329"/>
      <c r="T216" s="329"/>
      <c r="U216" s="329"/>
      <c r="V216" s="329"/>
      <c r="W216" s="329"/>
      <c r="X216" s="329"/>
      <c r="Y216" s="329"/>
      <c r="Z216" s="329"/>
      <c r="AA216" s="329"/>
      <c r="AB216" s="329"/>
      <c r="AC216" s="329"/>
      <c r="AD216" s="329"/>
      <c r="AE216" s="329"/>
      <c r="AF216" s="329"/>
      <c r="AG216" s="329"/>
      <c r="AH216" s="329"/>
      <c r="AI216" s="329"/>
      <c r="AJ216" s="329"/>
      <c r="AK216" s="329"/>
      <c r="AL216" s="329"/>
      <c r="AM216" s="329"/>
      <c r="AN216" s="329"/>
      <c r="AO216" s="329"/>
      <c r="AP216" s="329"/>
    </row>
    <row r="217" spans="3:42">
      <c r="C217" s="38"/>
      <c r="D217" s="329"/>
      <c r="E217" s="329"/>
      <c r="F217" s="329"/>
      <c r="G217" s="329"/>
      <c r="H217" s="329"/>
      <c r="I217" s="329"/>
      <c r="J217" s="329"/>
      <c r="K217" s="329"/>
      <c r="L217" s="329"/>
      <c r="M217" s="329"/>
      <c r="N217" s="329"/>
      <c r="O217" s="329"/>
      <c r="P217" s="329"/>
      <c r="Q217" s="329"/>
      <c r="R217" s="329"/>
      <c r="S217" s="329"/>
      <c r="T217" s="329"/>
      <c r="U217" s="329"/>
      <c r="V217" s="329"/>
      <c r="W217" s="329"/>
      <c r="X217" s="329"/>
      <c r="Y217" s="329"/>
      <c r="Z217" s="329"/>
      <c r="AA217" s="329"/>
      <c r="AB217" s="329"/>
      <c r="AC217" s="329"/>
      <c r="AD217" s="329"/>
      <c r="AE217" s="329"/>
      <c r="AF217" s="329"/>
      <c r="AG217" s="329"/>
      <c r="AH217" s="329"/>
      <c r="AI217" s="329"/>
      <c r="AJ217" s="329"/>
      <c r="AK217" s="329"/>
      <c r="AL217" s="329"/>
      <c r="AM217" s="329"/>
      <c r="AN217" s="329"/>
      <c r="AO217" s="329"/>
      <c r="AP217" s="329"/>
    </row>
    <row r="218" spans="3:42">
      <c r="C218" s="38"/>
      <c r="D218" s="329"/>
      <c r="E218" s="329"/>
      <c r="F218" s="329"/>
      <c r="G218" s="329"/>
      <c r="H218" s="329"/>
      <c r="I218" s="329"/>
      <c r="J218" s="329"/>
      <c r="K218" s="329"/>
      <c r="L218" s="329"/>
      <c r="M218" s="329"/>
      <c r="N218" s="329"/>
      <c r="O218" s="329"/>
      <c r="P218" s="329"/>
      <c r="Q218" s="329"/>
      <c r="R218" s="329"/>
      <c r="S218" s="329"/>
      <c r="T218" s="329"/>
      <c r="U218" s="329"/>
      <c r="V218" s="329"/>
      <c r="W218" s="329"/>
      <c r="X218" s="329"/>
      <c r="Y218" s="329"/>
      <c r="Z218" s="329"/>
      <c r="AA218" s="329"/>
      <c r="AB218" s="329"/>
      <c r="AC218" s="329"/>
      <c r="AD218" s="329"/>
      <c r="AE218" s="329"/>
      <c r="AF218" s="329"/>
      <c r="AG218" s="329"/>
      <c r="AH218" s="329"/>
      <c r="AI218" s="329"/>
      <c r="AJ218" s="329"/>
      <c r="AK218" s="329"/>
      <c r="AL218" s="329"/>
      <c r="AM218" s="329"/>
      <c r="AN218" s="329"/>
      <c r="AO218" s="329"/>
      <c r="AP218" s="329"/>
    </row>
    <row r="219" spans="3:42">
      <c r="C219" s="38"/>
      <c r="D219" s="329"/>
      <c r="E219" s="329"/>
      <c r="F219" s="329"/>
      <c r="G219" s="329"/>
      <c r="H219" s="329"/>
      <c r="I219" s="329"/>
      <c r="J219" s="329"/>
      <c r="K219" s="329"/>
      <c r="L219" s="329"/>
      <c r="M219" s="329"/>
      <c r="N219" s="329"/>
      <c r="O219" s="329"/>
      <c r="P219" s="329"/>
      <c r="Q219" s="329"/>
      <c r="R219" s="329"/>
      <c r="S219" s="329"/>
      <c r="T219" s="329"/>
      <c r="U219" s="329"/>
      <c r="V219" s="329"/>
      <c r="W219" s="329"/>
      <c r="X219" s="329"/>
      <c r="Y219" s="329"/>
      <c r="Z219" s="329"/>
      <c r="AA219" s="329"/>
      <c r="AB219" s="329"/>
      <c r="AC219" s="329"/>
      <c r="AD219" s="329"/>
      <c r="AE219" s="329"/>
      <c r="AF219" s="329"/>
      <c r="AG219" s="329"/>
      <c r="AH219" s="329"/>
      <c r="AI219" s="329"/>
      <c r="AJ219" s="329"/>
      <c r="AK219" s="329"/>
      <c r="AL219" s="329"/>
      <c r="AM219" s="329"/>
      <c r="AN219" s="329"/>
      <c r="AO219" s="329"/>
      <c r="AP219" s="329"/>
    </row>
    <row r="220" spans="3:42">
      <c r="C220" s="38"/>
      <c r="D220" s="329"/>
      <c r="E220" s="329"/>
      <c r="F220" s="329"/>
      <c r="G220" s="329"/>
      <c r="H220" s="329"/>
      <c r="I220" s="329"/>
      <c r="J220" s="329"/>
      <c r="K220" s="329"/>
      <c r="L220" s="329"/>
      <c r="M220" s="329"/>
      <c r="N220" s="329"/>
      <c r="O220" s="329"/>
      <c r="P220" s="329"/>
      <c r="Q220" s="329"/>
      <c r="R220" s="329"/>
      <c r="S220" s="329"/>
      <c r="T220" s="329"/>
      <c r="U220" s="329"/>
      <c r="V220" s="329"/>
      <c r="W220" s="329"/>
      <c r="X220" s="329"/>
      <c r="Y220" s="329"/>
      <c r="Z220" s="329"/>
      <c r="AA220" s="329"/>
      <c r="AB220" s="329"/>
      <c r="AC220" s="329"/>
      <c r="AD220" s="329"/>
      <c r="AE220" s="329"/>
      <c r="AF220" s="329"/>
      <c r="AG220" s="329"/>
      <c r="AH220" s="329"/>
      <c r="AI220" s="329"/>
      <c r="AJ220" s="329"/>
      <c r="AK220" s="329"/>
      <c r="AL220" s="329"/>
      <c r="AM220" s="329"/>
      <c r="AN220" s="329"/>
      <c r="AO220" s="329"/>
      <c r="AP220" s="329"/>
    </row>
    <row r="221" spans="3:42">
      <c r="C221" s="38"/>
      <c r="D221" s="329"/>
      <c r="E221" s="329"/>
      <c r="F221" s="329"/>
      <c r="G221" s="329"/>
      <c r="H221" s="329"/>
      <c r="I221" s="329"/>
      <c r="J221" s="329"/>
      <c r="K221" s="329"/>
      <c r="L221" s="329"/>
      <c r="M221" s="329"/>
      <c r="N221" s="329"/>
      <c r="O221" s="329"/>
      <c r="P221" s="329"/>
      <c r="Q221" s="329"/>
      <c r="R221" s="329"/>
      <c r="S221" s="329"/>
      <c r="T221" s="329"/>
      <c r="U221" s="329"/>
      <c r="V221" s="329"/>
      <c r="W221" s="329"/>
      <c r="X221" s="329"/>
      <c r="Y221" s="329"/>
      <c r="Z221" s="329"/>
      <c r="AA221" s="329"/>
      <c r="AB221" s="329"/>
      <c r="AC221" s="329"/>
      <c r="AD221" s="329"/>
      <c r="AE221" s="329"/>
      <c r="AF221" s="329"/>
      <c r="AG221" s="329"/>
      <c r="AH221" s="329"/>
      <c r="AI221" s="329"/>
      <c r="AJ221" s="329"/>
      <c r="AK221" s="329"/>
      <c r="AL221" s="329"/>
      <c r="AM221" s="329"/>
      <c r="AN221" s="329"/>
      <c r="AO221" s="329"/>
      <c r="AP221" s="329"/>
    </row>
    <row r="222" spans="3:42">
      <c r="C222" s="38"/>
      <c r="D222" s="329"/>
      <c r="E222" s="329"/>
      <c r="F222" s="329"/>
      <c r="G222" s="329"/>
      <c r="H222" s="329"/>
      <c r="I222" s="329"/>
      <c r="J222" s="329"/>
      <c r="K222" s="329"/>
      <c r="L222" s="329"/>
      <c r="M222" s="329"/>
      <c r="N222" s="329"/>
      <c r="O222" s="329"/>
      <c r="P222" s="329"/>
      <c r="Q222" s="329"/>
      <c r="R222" s="329"/>
      <c r="S222" s="329"/>
      <c r="T222" s="329"/>
      <c r="U222" s="329"/>
      <c r="V222" s="329"/>
      <c r="W222" s="329"/>
      <c r="X222" s="329"/>
      <c r="Y222" s="329"/>
      <c r="Z222" s="329"/>
      <c r="AA222" s="329"/>
      <c r="AB222" s="329"/>
      <c r="AC222" s="329"/>
      <c r="AD222" s="329"/>
      <c r="AE222" s="329"/>
      <c r="AF222" s="329"/>
      <c r="AG222" s="329"/>
      <c r="AH222" s="329"/>
      <c r="AI222" s="329"/>
      <c r="AJ222" s="329"/>
      <c r="AK222" s="329"/>
      <c r="AL222" s="329"/>
      <c r="AM222" s="329"/>
      <c r="AN222" s="329"/>
      <c r="AO222" s="329"/>
      <c r="AP222" s="329"/>
    </row>
    <row r="223" spans="3:42">
      <c r="C223" s="38"/>
      <c r="D223" s="329"/>
      <c r="E223" s="329"/>
      <c r="F223" s="329"/>
      <c r="G223" s="329"/>
      <c r="H223" s="329"/>
      <c r="I223" s="329"/>
      <c r="J223" s="329"/>
      <c r="K223" s="329"/>
      <c r="L223" s="329"/>
      <c r="M223" s="329"/>
      <c r="N223" s="329"/>
      <c r="O223" s="329"/>
      <c r="P223" s="329"/>
      <c r="Q223" s="329"/>
      <c r="R223" s="329"/>
      <c r="S223" s="329"/>
      <c r="T223" s="329"/>
      <c r="U223" s="329"/>
      <c r="V223" s="329"/>
      <c r="W223" s="329"/>
      <c r="X223" s="329"/>
      <c r="Y223" s="329"/>
      <c r="Z223" s="329"/>
      <c r="AA223" s="329"/>
      <c r="AB223" s="329"/>
      <c r="AC223" s="329"/>
      <c r="AD223" s="329"/>
      <c r="AE223" s="329"/>
      <c r="AF223" s="329"/>
      <c r="AG223" s="329"/>
      <c r="AH223" s="329"/>
      <c r="AI223" s="329"/>
      <c r="AJ223" s="329"/>
      <c r="AK223" s="329"/>
      <c r="AL223" s="329"/>
      <c r="AM223" s="329"/>
      <c r="AN223" s="329"/>
      <c r="AO223" s="329"/>
      <c r="AP223" s="329"/>
    </row>
    <row r="224" spans="3:42">
      <c r="C224" s="38"/>
      <c r="D224" s="329"/>
      <c r="E224" s="329"/>
      <c r="F224" s="329"/>
      <c r="G224" s="329"/>
      <c r="H224" s="329"/>
      <c r="I224" s="329"/>
      <c r="J224" s="329"/>
      <c r="K224" s="329"/>
      <c r="L224" s="329"/>
      <c r="M224" s="329"/>
      <c r="N224" s="329"/>
      <c r="O224" s="329"/>
      <c r="P224" s="329"/>
      <c r="Q224" s="329"/>
      <c r="R224" s="329"/>
      <c r="S224" s="329"/>
      <c r="T224" s="329"/>
      <c r="U224" s="329"/>
      <c r="V224" s="329"/>
      <c r="W224" s="329"/>
      <c r="X224" s="329"/>
      <c r="Y224" s="329"/>
      <c r="Z224" s="329"/>
      <c r="AA224" s="329"/>
      <c r="AB224" s="329"/>
      <c r="AC224" s="329"/>
      <c r="AD224" s="329"/>
      <c r="AE224" s="329"/>
      <c r="AF224" s="329"/>
      <c r="AG224" s="329"/>
      <c r="AH224" s="329"/>
      <c r="AI224" s="329"/>
      <c r="AJ224" s="329"/>
      <c r="AK224" s="329"/>
      <c r="AL224" s="329"/>
      <c r="AM224" s="329"/>
      <c r="AN224" s="329"/>
      <c r="AO224" s="329"/>
      <c r="AP224" s="329"/>
    </row>
    <row r="225" spans="3:42">
      <c r="C225" s="38"/>
      <c r="D225" s="329"/>
      <c r="E225" s="329"/>
      <c r="F225" s="329"/>
      <c r="G225" s="329"/>
      <c r="H225" s="329"/>
      <c r="I225" s="329"/>
      <c r="J225" s="329"/>
      <c r="K225" s="329"/>
      <c r="L225" s="329"/>
      <c r="M225" s="329"/>
      <c r="N225" s="329"/>
      <c r="O225" s="329"/>
      <c r="P225" s="329"/>
      <c r="Q225" s="329"/>
      <c r="R225" s="329"/>
      <c r="S225" s="329"/>
      <c r="T225" s="329"/>
      <c r="U225" s="329"/>
      <c r="V225" s="329"/>
      <c r="W225" s="329"/>
      <c r="X225" s="329"/>
      <c r="Y225" s="329"/>
      <c r="Z225" s="329"/>
      <c r="AA225" s="329"/>
      <c r="AB225" s="329"/>
      <c r="AC225" s="329"/>
      <c r="AD225" s="329"/>
      <c r="AE225" s="329"/>
      <c r="AF225" s="329"/>
      <c r="AG225" s="329"/>
      <c r="AH225" s="329"/>
      <c r="AI225" s="329"/>
      <c r="AJ225" s="329"/>
      <c r="AK225" s="329"/>
      <c r="AL225" s="329"/>
      <c r="AM225" s="329"/>
      <c r="AN225" s="329"/>
      <c r="AO225" s="329"/>
      <c r="AP225" s="329"/>
    </row>
    <row r="226" spans="3:42">
      <c r="C226" s="38"/>
      <c r="D226" s="329"/>
      <c r="E226" s="329"/>
      <c r="F226" s="329"/>
      <c r="G226" s="329"/>
      <c r="H226" s="329"/>
      <c r="I226" s="329"/>
      <c r="J226" s="329"/>
      <c r="K226" s="329"/>
      <c r="L226" s="329"/>
      <c r="M226" s="329"/>
      <c r="N226" s="329"/>
      <c r="O226" s="329"/>
      <c r="P226" s="329"/>
      <c r="Q226" s="329"/>
      <c r="R226" s="329"/>
      <c r="S226" s="329"/>
      <c r="T226" s="329"/>
      <c r="U226" s="329"/>
      <c r="V226" s="329"/>
      <c r="W226" s="329"/>
      <c r="X226" s="329"/>
      <c r="Y226" s="329"/>
      <c r="Z226" s="329"/>
      <c r="AA226" s="329"/>
      <c r="AB226" s="329"/>
      <c r="AC226" s="329"/>
      <c r="AD226" s="329"/>
      <c r="AE226" s="329"/>
      <c r="AF226" s="329"/>
      <c r="AG226" s="329"/>
      <c r="AH226" s="329"/>
      <c r="AI226" s="329"/>
      <c r="AJ226" s="329"/>
      <c r="AK226" s="329"/>
      <c r="AL226" s="329"/>
      <c r="AM226" s="329"/>
      <c r="AN226" s="329"/>
      <c r="AO226" s="329"/>
      <c r="AP226" s="329"/>
    </row>
    <row r="227" spans="3:42">
      <c r="C227" s="38"/>
      <c r="D227" s="329"/>
      <c r="E227" s="329"/>
      <c r="F227" s="329"/>
      <c r="G227" s="329"/>
      <c r="H227" s="329"/>
      <c r="I227" s="329"/>
      <c r="J227" s="329"/>
      <c r="K227" s="329"/>
      <c r="L227" s="329"/>
      <c r="M227" s="329"/>
      <c r="N227" s="329"/>
      <c r="O227" s="329"/>
      <c r="P227" s="329"/>
      <c r="Q227" s="329"/>
      <c r="R227" s="329"/>
      <c r="S227" s="329"/>
      <c r="T227" s="329"/>
      <c r="U227" s="329"/>
      <c r="V227" s="329"/>
      <c r="W227" s="329"/>
      <c r="X227" s="329"/>
      <c r="Y227" s="329"/>
      <c r="Z227" s="329"/>
      <c r="AA227" s="329"/>
      <c r="AB227" s="329"/>
      <c r="AC227" s="329"/>
      <c r="AD227" s="329"/>
      <c r="AE227" s="329"/>
      <c r="AF227" s="329"/>
      <c r="AG227" s="329"/>
      <c r="AH227" s="329"/>
      <c r="AI227" s="329"/>
      <c r="AJ227" s="329"/>
      <c r="AK227" s="329"/>
      <c r="AL227" s="329"/>
      <c r="AM227" s="329"/>
      <c r="AN227" s="329"/>
      <c r="AO227" s="329"/>
      <c r="AP227" s="329"/>
    </row>
    <row r="228" spans="3:42">
      <c r="C228" s="38"/>
      <c r="D228" s="329"/>
      <c r="E228" s="329"/>
      <c r="F228" s="329"/>
      <c r="G228" s="329"/>
      <c r="H228" s="329"/>
      <c r="I228" s="329"/>
      <c r="J228" s="329"/>
      <c r="K228" s="329"/>
      <c r="L228" s="329"/>
      <c r="M228" s="329"/>
      <c r="N228" s="329"/>
      <c r="O228" s="329"/>
      <c r="P228" s="329"/>
      <c r="Q228" s="329"/>
      <c r="R228" s="329"/>
      <c r="S228" s="329"/>
      <c r="T228" s="329"/>
      <c r="U228" s="329"/>
      <c r="V228" s="329"/>
      <c r="W228" s="329"/>
      <c r="X228" s="329"/>
      <c r="Y228" s="329"/>
      <c r="Z228" s="329"/>
      <c r="AA228" s="329"/>
      <c r="AB228" s="329"/>
      <c r="AC228" s="329"/>
      <c r="AD228" s="329"/>
      <c r="AE228" s="329"/>
      <c r="AF228" s="329"/>
      <c r="AG228" s="329"/>
      <c r="AH228" s="329"/>
      <c r="AI228" s="329"/>
      <c r="AJ228" s="329"/>
      <c r="AK228" s="329"/>
      <c r="AL228" s="329"/>
      <c r="AM228" s="329"/>
      <c r="AN228" s="329"/>
      <c r="AO228" s="329"/>
      <c r="AP228" s="329"/>
    </row>
    <row r="229" spans="3:42">
      <c r="C229" s="38"/>
      <c r="D229" s="329"/>
      <c r="E229" s="329"/>
      <c r="F229" s="329"/>
      <c r="G229" s="329"/>
      <c r="H229" s="329"/>
      <c r="I229" s="329"/>
      <c r="J229" s="329"/>
      <c r="K229" s="329"/>
      <c r="L229" s="329"/>
      <c r="M229" s="329"/>
      <c r="N229" s="329"/>
      <c r="O229" s="329"/>
      <c r="P229" s="329"/>
      <c r="Q229" s="329"/>
      <c r="R229" s="329"/>
      <c r="S229" s="329"/>
      <c r="T229" s="329"/>
      <c r="U229" s="329"/>
      <c r="V229" s="329"/>
      <c r="W229" s="329"/>
      <c r="X229" s="329"/>
      <c r="Y229" s="329"/>
      <c r="Z229" s="329"/>
      <c r="AA229" s="329"/>
      <c r="AB229" s="329"/>
      <c r="AC229" s="329"/>
      <c r="AD229" s="329"/>
      <c r="AE229" s="329"/>
      <c r="AF229" s="329"/>
      <c r="AG229" s="329"/>
      <c r="AH229" s="329"/>
      <c r="AI229" s="329"/>
      <c r="AJ229" s="329"/>
      <c r="AK229" s="329"/>
      <c r="AL229" s="329"/>
      <c r="AM229" s="329"/>
      <c r="AN229" s="329"/>
      <c r="AO229" s="329"/>
      <c r="AP229" s="329"/>
    </row>
    <row r="230" spans="3:42">
      <c r="C230" s="38"/>
      <c r="D230" s="329"/>
      <c r="E230" s="329"/>
      <c r="F230" s="329"/>
      <c r="G230" s="329"/>
      <c r="H230" s="329"/>
      <c r="I230" s="329"/>
      <c r="J230" s="329"/>
      <c r="K230" s="329"/>
      <c r="L230" s="329"/>
      <c r="M230" s="329"/>
      <c r="N230" s="329"/>
      <c r="O230" s="329"/>
      <c r="P230" s="329"/>
      <c r="Q230" s="329"/>
      <c r="R230" s="329"/>
      <c r="S230" s="329"/>
      <c r="T230" s="329"/>
      <c r="U230" s="329"/>
      <c r="V230" s="329"/>
      <c r="W230" s="329"/>
      <c r="X230" s="329"/>
      <c r="Y230" s="329"/>
      <c r="Z230" s="329"/>
      <c r="AA230" s="329"/>
      <c r="AB230" s="329"/>
      <c r="AC230" s="329"/>
      <c r="AD230" s="329"/>
      <c r="AE230" s="329"/>
      <c r="AF230" s="329"/>
      <c r="AG230" s="329"/>
      <c r="AH230" s="329"/>
      <c r="AI230" s="329"/>
      <c r="AJ230" s="329"/>
      <c r="AK230" s="329"/>
      <c r="AL230" s="329"/>
      <c r="AM230" s="329"/>
      <c r="AN230" s="329"/>
      <c r="AO230" s="329"/>
      <c r="AP230" s="329"/>
    </row>
    <row r="231" spans="3:42">
      <c r="C231" s="38"/>
      <c r="D231" s="329"/>
      <c r="E231" s="329"/>
      <c r="F231" s="329"/>
      <c r="G231" s="329"/>
      <c r="H231" s="329"/>
      <c r="I231" s="329"/>
      <c r="J231" s="329"/>
      <c r="K231" s="329"/>
      <c r="L231" s="329"/>
      <c r="M231" s="329"/>
      <c r="N231" s="329"/>
      <c r="O231" s="329"/>
      <c r="P231" s="329"/>
      <c r="Q231" s="329"/>
      <c r="R231" s="329"/>
      <c r="S231" s="329"/>
      <c r="T231" s="329"/>
      <c r="U231" s="329"/>
      <c r="V231" s="329"/>
      <c r="W231" s="329"/>
      <c r="X231" s="329"/>
      <c r="Y231" s="329"/>
      <c r="Z231" s="329"/>
      <c r="AA231" s="329"/>
      <c r="AB231" s="329"/>
      <c r="AC231" s="329"/>
      <c r="AD231" s="329"/>
      <c r="AE231" s="329"/>
      <c r="AF231" s="329"/>
      <c r="AG231" s="329"/>
      <c r="AH231" s="329"/>
      <c r="AI231" s="329"/>
      <c r="AJ231" s="329"/>
      <c r="AK231" s="329"/>
      <c r="AL231" s="329"/>
      <c r="AM231" s="329"/>
      <c r="AN231" s="329"/>
      <c r="AO231" s="329"/>
      <c r="AP231" s="329"/>
    </row>
    <row r="232" spans="3:42">
      <c r="C232" s="38"/>
      <c r="D232" s="329"/>
      <c r="E232" s="329"/>
      <c r="F232" s="329"/>
      <c r="G232" s="329"/>
      <c r="H232" s="329"/>
      <c r="I232" s="329"/>
      <c r="J232" s="329"/>
      <c r="K232" s="329"/>
      <c r="L232" s="329"/>
      <c r="M232" s="329"/>
      <c r="N232" s="329"/>
      <c r="O232" s="329"/>
      <c r="P232" s="329"/>
      <c r="Q232" s="329"/>
      <c r="R232" s="329"/>
      <c r="S232" s="329"/>
      <c r="T232" s="329"/>
      <c r="U232" s="329"/>
      <c r="V232" s="329"/>
      <c r="W232" s="329"/>
      <c r="X232" s="329"/>
      <c r="Y232" s="329"/>
      <c r="Z232" s="329"/>
      <c r="AA232" s="329"/>
      <c r="AB232" s="329"/>
      <c r="AC232" s="329"/>
      <c r="AD232" s="329"/>
      <c r="AE232" s="329"/>
      <c r="AF232" s="329"/>
      <c r="AG232" s="329"/>
      <c r="AH232" s="329"/>
      <c r="AI232" s="329"/>
      <c r="AJ232" s="329"/>
      <c r="AK232" s="329"/>
      <c r="AL232" s="329"/>
      <c r="AM232" s="329"/>
      <c r="AN232" s="329"/>
      <c r="AO232" s="329"/>
      <c r="AP232" s="329"/>
    </row>
    <row r="233" spans="3:42">
      <c r="C233" s="38"/>
      <c r="D233" s="329"/>
      <c r="E233" s="329"/>
      <c r="F233" s="329"/>
      <c r="G233" s="329"/>
      <c r="H233" s="329"/>
      <c r="I233" s="329"/>
      <c r="J233" s="329"/>
      <c r="K233" s="329"/>
      <c r="L233" s="329"/>
      <c r="M233" s="329"/>
      <c r="N233" s="329"/>
      <c r="O233" s="329"/>
      <c r="P233" s="329"/>
      <c r="Q233" s="329"/>
      <c r="R233" s="329"/>
      <c r="S233" s="329"/>
      <c r="T233" s="329"/>
      <c r="U233" s="329"/>
      <c r="V233" s="329"/>
      <c r="W233" s="329"/>
      <c r="X233" s="329"/>
      <c r="Y233" s="329"/>
      <c r="Z233" s="329"/>
      <c r="AA233" s="329"/>
      <c r="AB233" s="329"/>
      <c r="AC233" s="329"/>
      <c r="AD233" s="329"/>
      <c r="AE233" s="329"/>
      <c r="AF233" s="329"/>
      <c r="AG233" s="329"/>
      <c r="AH233" s="329"/>
      <c r="AI233" s="329"/>
      <c r="AJ233" s="329"/>
      <c r="AK233" s="329"/>
      <c r="AL233" s="329"/>
      <c r="AM233" s="329"/>
      <c r="AN233" s="329"/>
      <c r="AO233" s="329"/>
      <c r="AP233" s="329"/>
    </row>
    <row r="234" spans="3:42">
      <c r="C234" s="38"/>
      <c r="D234" s="329"/>
      <c r="E234" s="329"/>
      <c r="F234" s="329"/>
      <c r="G234" s="329"/>
      <c r="H234" s="329"/>
      <c r="I234" s="329"/>
      <c r="J234" s="329"/>
      <c r="K234" s="329"/>
      <c r="L234" s="329"/>
      <c r="M234" s="329"/>
      <c r="N234" s="329"/>
      <c r="O234" s="329"/>
      <c r="P234" s="329"/>
      <c r="Q234" s="329"/>
      <c r="R234" s="329"/>
      <c r="S234" s="329"/>
      <c r="T234" s="329"/>
      <c r="U234" s="329"/>
      <c r="V234" s="329"/>
      <c r="W234" s="329"/>
      <c r="X234" s="329"/>
      <c r="Y234" s="329"/>
      <c r="Z234" s="329"/>
      <c r="AA234" s="329"/>
      <c r="AB234" s="329"/>
      <c r="AC234" s="329"/>
      <c r="AD234" s="329"/>
      <c r="AE234" s="329"/>
      <c r="AF234" s="329"/>
      <c r="AG234" s="329"/>
      <c r="AH234" s="329"/>
      <c r="AI234" s="329"/>
      <c r="AJ234" s="329"/>
      <c r="AK234" s="329"/>
      <c r="AL234" s="329"/>
      <c r="AM234" s="329"/>
      <c r="AN234" s="329"/>
      <c r="AO234" s="329"/>
      <c r="AP234" s="329"/>
    </row>
    <row r="235" spans="3:42">
      <c r="C235" s="38"/>
      <c r="D235" s="329"/>
      <c r="E235" s="329"/>
      <c r="F235" s="329"/>
      <c r="G235" s="329"/>
      <c r="H235" s="329"/>
      <c r="I235" s="329"/>
      <c r="J235" s="329"/>
      <c r="K235" s="329"/>
      <c r="L235" s="329"/>
      <c r="M235" s="329"/>
      <c r="N235" s="329"/>
      <c r="O235" s="329"/>
      <c r="P235" s="329"/>
      <c r="Q235" s="329"/>
      <c r="R235" s="329"/>
      <c r="S235" s="329"/>
      <c r="T235" s="329"/>
      <c r="U235" s="329"/>
      <c r="V235" s="329"/>
      <c r="W235" s="329"/>
      <c r="X235" s="329"/>
      <c r="Y235" s="329"/>
      <c r="Z235" s="329"/>
      <c r="AA235" s="329"/>
      <c r="AB235" s="329"/>
      <c r="AC235" s="329"/>
      <c r="AD235" s="329"/>
      <c r="AE235" s="329"/>
      <c r="AF235" s="329"/>
      <c r="AG235" s="329"/>
      <c r="AH235" s="329"/>
      <c r="AI235" s="329"/>
      <c r="AJ235" s="329"/>
      <c r="AK235" s="329"/>
      <c r="AL235" s="329"/>
      <c r="AM235" s="329"/>
      <c r="AN235" s="329"/>
      <c r="AO235" s="329"/>
      <c r="AP235" s="329"/>
    </row>
    <row r="236" spans="3:42">
      <c r="C236" s="38"/>
      <c r="D236" s="329"/>
      <c r="E236" s="329"/>
      <c r="F236" s="329"/>
      <c r="G236" s="329"/>
      <c r="H236" s="329"/>
      <c r="I236" s="329"/>
      <c r="J236" s="329"/>
      <c r="K236" s="329"/>
      <c r="L236" s="329"/>
      <c r="M236" s="329"/>
      <c r="N236" s="329"/>
      <c r="O236" s="329"/>
      <c r="P236" s="329"/>
      <c r="Q236" s="329"/>
      <c r="R236" s="329"/>
      <c r="S236" s="329"/>
      <c r="T236" s="329"/>
      <c r="U236" s="329"/>
      <c r="V236" s="329"/>
      <c r="W236" s="329"/>
      <c r="X236" s="329"/>
      <c r="Y236" s="329"/>
      <c r="Z236" s="329"/>
      <c r="AA236" s="329"/>
      <c r="AB236" s="329"/>
      <c r="AC236" s="329"/>
      <c r="AD236" s="329"/>
      <c r="AE236" s="329"/>
      <c r="AF236" s="329"/>
      <c r="AG236" s="329"/>
      <c r="AH236" s="329"/>
      <c r="AI236" s="329"/>
      <c r="AJ236" s="329"/>
      <c r="AK236" s="329"/>
      <c r="AL236" s="329"/>
      <c r="AM236" s="329"/>
      <c r="AN236" s="329"/>
      <c r="AO236" s="329"/>
      <c r="AP236" s="329"/>
    </row>
    <row r="237" spans="3:42">
      <c r="C237" s="38"/>
      <c r="D237" s="329"/>
      <c r="E237" s="329"/>
      <c r="F237" s="329"/>
      <c r="G237" s="329"/>
      <c r="H237" s="329"/>
      <c r="I237" s="329"/>
      <c r="J237" s="329"/>
      <c r="K237" s="329"/>
      <c r="L237" s="329"/>
      <c r="M237" s="329"/>
      <c r="N237" s="329"/>
      <c r="O237" s="329"/>
      <c r="P237" s="329"/>
      <c r="Q237" s="329"/>
      <c r="R237" s="329"/>
      <c r="S237" s="329"/>
      <c r="T237" s="329"/>
      <c r="U237" s="329"/>
      <c r="V237" s="329"/>
      <c r="W237" s="329"/>
      <c r="X237" s="329"/>
      <c r="Y237" s="329"/>
      <c r="Z237" s="329"/>
      <c r="AA237" s="329"/>
      <c r="AB237" s="329"/>
      <c r="AC237" s="329"/>
      <c r="AD237" s="329"/>
      <c r="AE237" s="329"/>
      <c r="AF237" s="329"/>
      <c r="AG237" s="329"/>
      <c r="AH237" s="329"/>
      <c r="AI237" s="329"/>
      <c r="AJ237" s="329"/>
      <c r="AK237" s="329"/>
      <c r="AL237" s="329"/>
      <c r="AM237" s="329"/>
      <c r="AN237" s="329"/>
      <c r="AO237" s="329"/>
      <c r="AP237" s="329"/>
    </row>
    <row r="238" spans="3:42">
      <c r="C238" s="38"/>
      <c r="D238" s="329"/>
      <c r="E238" s="329"/>
      <c r="F238" s="329"/>
      <c r="G238" s="329"/>
      <c r="H238" s="329"/>
      <c r="I238" s="329"/>
      <c r="J238" s="329"/>
      <c r="K238" s="329"/>
      <c r="L238" s="329"/>
      <c r="M238" s="329"/>
      <c r="N238" s="329"/>
      <c r="O238" s="329"/>
      <c r="P238" s="329"/>
      <c r="Q238" s="329"/>
      <c r="R238" s="329"/>
      <c r="S238" s="329"/>
      <c r="T238" s="329"/>
      <c r="U238" s="329"/>
      <c r="V238" s="329"/>
      <c r="W238" s="329"/>
      <c r="X238" s="329"/>
      <c r="Y238" s="329"/>
      <c r="Z238" s="329"/>
      <c r="AA238" s="329"/>
      <c r="AB238" s="329"/>
      <c r="AC238" s="329"/>
      <c r="AD238" s="329"/>
      <c r="AE238" s="329"/>
      <c r="AF238" s="329"/>
      <c r="AG238" s="329"/>
      <c r="AH238" s="329"/>
      <c r="AI238" s="329"/>
      <c r="AJ238" s="329"/>
      <c r="AK238" s="329"/>
      <c r="AL238" s="329"/>
      <c r="AM238" s="329"/>
      <c r="AN238" s="329"/>
      <c r="AO238" s="329"/>
      <c r="AP238" s="329"/>
    </row>
    <row r="239" spans="3:42">
      <c r="C239" s="38"/>
      <c r="D239" s="329"/>
      <c r="E239" s="329"/>
      <c r="F239" s="329"/>
      <c r="G239" s="329"/>
      <c r="H239" s="329"/>
      <c r="I239" s="329"/>
      <c r="J239" s="329"/>
      <c r="K239" s="329"/>
      <c r="L239" s="329"/>
      <c r="M239" s="329"/>
      <c r="N239" s="329"/>
      <c r="O239" s="329"/>
      <c r="P239" s="329"/>
      <c r="Q239" s="329"/>
      <c r="R239" s="329"/>
      <c r="S239" s="329"/>
      <c r="T239" s="329"/>
      <c r="U239" s="329"/>
      <c r="V239" s="329"/>
      <c r="W239" s="329"/>
      <c r="X239" s="329"/>
      <c r="Y239" s="329"/>
      <c r="Z239" s="329"/>
      <c r="AA239" s="329"/>
      <c r="AB239" s="329"/>
      <c r="AC239" s="329"/>
      <c r="AD239" s="329"/>
      <c r="AE239" s="329"/>
      <c r="AF239" s="329"/>
      <c r="AG239" s="329"/>
      <c r="AH239" s="329"/>
      <c r="AI239" s="329"/>
      <c r="AJ239" s="329"/>
      <c r="AK239" s="329"/>
      <c r="AL239" s="329"/>
      <c r="AM239" s="329"/>
      <c r="AN239" s="329"/>
      <c r="AO239" s="329"/>
      <c r="AP239" s="329"/>
    </row>
    <row r="240" spans="3:42">
      <c r="C240" s="38"/>
      <c r="D240" s="329"/>
      <c r="E240" s="329"/>
      <c r="F240" s="329"/>
      <c r="G240" s="329"/>
      <c r="H240" s="329"/>
      <c r="I240" s="329"/>
      <c r="J240" s="329"/>
      <c r="K240" s="329"/>
      <c r="L240" s="329"/>
      <c r="M240" s="329"/>
      <c r="N240" s="329"/>
      <c r="O240" s="329"/>
      <c r="P240" s="329"/>
      <c r="Q240" s="329"/>
      <c r="R240" s="329"/>
      <c r="S240" s="329"/>
      <c r="T240" s="329"/>
      <c r="U240" s="329"/>
      <c r="V240" s="329"/>
      <c r="W240" s="329"/>
      <c r="X240" s="329"/>
      <c r="Y240" s="329"/>
      <c r="Z240" s="329"/>
      <c r="AA240" s="329"/>
      <c r="AB240" s="329"/>
      <c r="AC240" s="329"/>
      <c r="AD240" s="329"/>
      <c r="AE240" s="329"/>
      <c r="AF240" s="329"/>
      <c r="AG240" s="329"/>
      <c r="AH240" s="329"/>
      <c r="AI240" s="329"/>
      <c r="AJ240" s="329"/>
      <c r="AK240" s="329"/>
      <c r="AL240" s="329"/>
      <c r="AM240" s="329"/>
      <c r="AN240" s="329"/>
      <c r="AO240" s="329"/>
      <c r="AP240" s="329"/>
    </row>
    <row r="241" spans="3:42">
      <c r="C241" s="38"/>
      <c r="D241" s="329"/>
      <c r="E241" s="329"/>
      <c r="F241" s="329"/>
      <c r="G241" s="329"/>
      <c r="H241" s="329"/>
      <c r="I241" s="329"/>
      <c r="J241" s="329"/>
      <c r="K241" s="329"/>
      <c r="L241" s="329"/>
      <c r="M241" s="329"/>
      <c r="N241" s="329"/>
      <c r="O241" s="329"/>
      <c r="P241" s="329"/>
      <c r="Q241" s="329"/>
      <c r="R241" s="329"/>
      <c r="S241" s="329"/>
      <c r="T241" s="329"/>
      <c r="U241" s="329"/>
      <c r="V241" s="329"/>
      <c r="W241" s="329"/>
      <c r="X241" s="329"/>
      <c r="Y241" s="329"/>
      <c r="Z241" s="329"/>
      <c r="AA241" s="329"/>
      <c r="AB241" s="329"/>
      <c r="AC241" s="329"/>
      <c r="AD241" s="329"/>
      <c r="AE241" s="329"/>
      <c r="AF241" s="329"/>
      <c r="AG241" s="329"/>
      <c r="AH241" s="329"/>
      <c r="AI241" s="329"/>
      <c r="AJ241" s="329"/>
      <c r="AK241" s="329"/>
      <c r="AL241" s="329"/>
      <c r="AM241" s="329"/>
      <c r="AN241" s="329"/>
      <c r="AO241" s="329"/>
      <c r="AP241" s="329"/>
    </row>
    <row r="242" spans="3:42">
      <c r="C242" s="38"/>
      <c r="D242" s="329"/>
      <c r="E242" s="329"/>
      <c r="F242" s="329"/>
      <c r="G242" s="329"/>
      <c r="H242" s="329"/>
      <c r="I242" s="329"/>
      <c r="J242" s="329"/>
      <c r="K242" s="329"/>
      <c r="L242" s="329"/>
      <c r="M242" s="329"/>
      <c r="N242" s="329"/>
      <c r="O242" s="329"/>
      <c r="P242" s="329"/>
      <c r="Q242" s="329"/>
      <c r="R242" s="329"/>
      <c r="S242" s="329"/>
      <c r="T242" s="329"/>
      <c r="U242" s="329"/>
      <c r="V242" s="329"/>
      <c r="W242" s="329"/>
      <c r="X242" s="329"/>
      <c r="Y242" s="329"/>
      <c r="Z242" s="329"/>
      <c r="AA242" s="329"/>
      <c r="AB242" s="329"/>
      <c r="AC242" s="329"/>
      <c r="AD242" s="329"/>
      <c r="AE242" s="329"/>
      <c r="AF242" s="329"/>
      <c r="AG242" s="329"/>
      <c r="AH242" s="329"/>
      <c r="AI242" s="329"/>
      <c r="AJ242" s="329"/>
      <c r="AK242" s="329"/>
      <c r="AL242" s="329"/>
      <c r="AM242" s="329"/>
      <c r="AN242" s="329"/>
      <c r="AO242" s="329"/>
      <c r="AP242" s="329"/>
    </row>
    <row r="243" spans="3:42">
      <c r="C243" s="38"/>
      <c r="D243" s="329"/>
      <c r="E243" s="329"/>
      <c r="F243" s="329"/>
      <c r="G243" s="329"/>
      <c r="H243" s="329"/>
      <c r="I243" s="329"/>
      <c r="J243" s="329"/>
      <c r="K243" s="329"/>
      <c r="L243" s="329"/>
      <c r="M243" s="329"/>
      <c r="N243" s="329"/>
      <c r="O243" s="329"/>
      <c r="P243" s="329"/>
      <c r="Q243" s="329"/>
      <c r="R243" s="329"/>
      <c r="S243" s="329"/>
      <c r="T243" s="329"/>
      <c r="U243" s="329"/>
      <c r="V243" s="329"/>
      <c r="W243" s="329"/>
      <c r="X243" s="329"/>
      <c r="Y243" s="329"/>
      <c r="Z243" s="329"/>
      <c r="AA243" s="329"/>
      <c r="AB243" s="329"/>
      <c r="AC243" s="329"/>
      <c r="AD243" s="329"/>
      <c r="AE243" s="329"/>
      <c r="AF243" s="329"/>
      <c r="AG243" s="329"/>
      <c r="AH243" s="329"/>
      <c r="AI243" s="329"/>
      <c r="AJ243" s="329"/>
      <c r="AK243" s="329"/>
      <c r="AL243" s="329"/>
      <c r="AM243" s="329"/>
      <c r="AN243" s="329"/>
      <c r="AO243" s="329"/>
      <c r="AP243" s="329"/>
    </row>
    <row r="244" spans="3:42">
      <c r="C244" s="38"/>
      <c r="D244" s="329"/>
      <c r="E244" s="329"/>
      <c r="F244" s="329"/>
      <c r="G244" s="329"/>
      <c r="H244" s="329"/>
      <c r="I244" s="329"/>
      <c r="J244" s="329"/>
      <c r="K244" s="329"/>
      <c r="L244" s="329"/>
      <c r="M244" s="329"/>
      <c r="N244" s="329"/>
      <c r="O244" s="329"/>
      <c r="P244" s="329"/>
      <c r="Q244" s="329"/>
      <c r="R244" s="329"/>
      <c r="S244" s="329"/>
      <c r="T244" s="329"/>
      <c r="U244" s="329"/>
      <c r="V244" s="329"/>
      <c r="W244" s="329"/>
      <c r="X244" s="329"/>
      <c r="Y244" s="329"/>
      <c r="Z244" s="329"/>
      <c r="AA244" s="329"/>
      <c r="AB244" s="329"/>
      <c r="AC244" s="329"/>
      <c r="AD244" s="329"/>
      <c r="AE244" s="329"/>
      <c r="AF244" s="329"/>
      <c r="AG244" s="329"/>
      <c r="AH244" s="329"/>
      <c r="AI244" s="329"/>
      <c r="AJ244" s="329"/>
      <c r="AK244" s="329"/>
      <c r="AL244" s="329"/>
      <c r="AM244" s="329"/>
      <c r="AN244" s="329"/>
      <c r="AO244" s="329"/>
      <c r="AP244" s="329"/>
    </row>
    <row r="245" spans="3:42">
      <c r="C245" s="38"/>
      <c r="D245" s="329"/>
      <c r="E245" s="329"/>
      <c r="F245" s="329"/>
      <c r="G245" s="329"/>
      <c r="H245" s="329"/>
      <c r="I245" s="329"/>
      <c r="J245" s="329"/>
      <c r="K245" s="329"/>
      <c r="L245" s="329"/>
      <c r="M245" s="329"/>
      <c r="N245" s="329"/>
      <c r="O245" s="329"/>
      <c r="P245" s="329"/>
      <c r="Q245" s="329"/>
      <c r="R245" s="329"/>
      <c r="S245" s="329"/>
      <c r="T245" s="329"/>
      <c r="U245" s="329"/>
      <c r="V245" s="329"/>
      <c r="W245" s="329"/>
      <c r="X245" s="329"/>
      <c r="Y245" s="329"/>
      <c r="Z245" s="329"/>
      <c r="AA245" s="329"/>
      <c r="AB245" s="329"/>
      <c r="AC245" s="329"/>
      <c r="AD245" s="329"/>
      <c r="AE245" s="329"/>
      <c r="AF245" s="329"/>
      <c r="AG245" s="329"/>
      <c r="AH245" s="329"/>
      <c r="AI245" s="329"/>
      <c r="AJ245" s="329"/>
      <c r="AK245" s="329"/>
      <c r="AL245" s="329"/>
      <c r="AM245" s="329"/>
      <c r="AN245" s="329"/>
      <c r="AO245" s="329"/>
      <c r="AP245" s="329"/>
    </row>
    <row r="246" spans="3:42">
      <c r="C246" s="38"/>
      <c r="D246" s="329"/>
      <c r="E246" s="329"/>
      <c r="F246" s="329"/>
      <c r="G246" s="329"/>
      <c r="H246" s="329"/>
      <c r="I246" s="329"/>
      <c r="J246" s="329"/>
      <c r="K246" s="329"/>
      <c r="L246" s="329"/>
      <c r="M246" s="329"/>
      <c r="N246" s="329"/>
      <c r="O246" s="329"/>
      <c r="P246" s="329"/>
      <c r="Q246" s="329"/>
      <c r="R246" s="329"/>
      <c r="S246" s="329"/>
      <c r="T246" s="329"/>
      <c r="U246" s="329"/>
      <c r="V246" s="329"/>
      <c r="W246" s="329"/>
      <c r="X246" s="329"/>
      <c r="Y246" s="329"/>
      <c r="Z246" s="329"/>
      <c r="AA246" s="329"/>
      <c r="AB246" s="329"/>
      <c r="AC246" s="329"/>
      <c r="AD246" s="329"/>
      <c r="AE246" s="329"/>
      <c r="AF246" s="329"/>
      <c r="AG246" s="329"/>
      <c r="AH246" s="329"/>
      <c r="AI246" s="329"/>
      <c r="AJ246" s="329"/>
      <c r="AK246" s="329"/>
      <c r="AL246" s="329"/>
      <c r="AM246" s="329"/>
      <c r="AN246" s="329"/>
      <c r="AO246" s="329"/>
      <c r="AP246" s="329"/>
    </row>
    <row r="247" spans="3:42">
      <c r="C247" s="38"/>
      <c r="D247" s="329"/>
      <c r="E247" s="329"/>
      <c r="F247" s="329"/>
      <c r="G247" s="329"/>
      <c r="H247" s="329"/>
      <c r="I247" s="329"/>
      <c r="J247" s="329"/>
      <c r="K247" s="329"/>
      <c r="L247" s="329"/>
      <c r="M247" s="329"/>
      <c r="N247" s="329"/>
      <c r="O247" s="329"/>
      <c r="P247" s="329"/>
      <c r="Q247" s="329"/>
      <c r="R247" s="329"/>
      <c r="S247" s="329"/>
      <c r="T247" s="329"/>
      <c r="U247" s="329"/>
      <c r="V247" s="329"/>
      <c r="W247" s="329"/>
      <c r="X247" s="329"/>
      <c r="Y247" s="329"/>
      <c r="Z247" s="329"/>
      <c r="AA247" s="329"/>
      <c r="AB247" s="329"/>
      <c r="AC247" s="329"/>
      <c r="AD247" s="329"/>
      <c r="AE247" s="329"/>
      <c r="AF247" s="329"/>
      <c r="AG247" s="329"/>
      <c r="AH247" s="329"/>
      <c r="AI247" s="329"/>
      <c r="AJ247" s="329"/>
      <c r="AK247" s="329"/>
      <c r="AL247" s="329"/>
      <c r="AM247" s="329"/>
      <c r="AN247" s="329"/>
      <c r="AO247" s="329"/>
      <c r="AP247" s="329"/>
    </row>
    <row r="248" spans="3:42">
      <c r="C248" s="38"/>
      <c r="D248" s="329"/>
      <c r="E248" s="329"/>
      <c r="F248" s="329"/>
      <c r="G248" s="329"/>
      <c r="H248" s="329"/>
      <c r="I248" s="329"/>
      <c r="J248" s="329"/>
      <c r="K248" s="329"/>
      <c r="L248" s="329"/>
      <c r="M248" s="329"/>
      <c r="N248" s="329"/>
      <c r="O248" s="329"/>
      <c r="P248" s="329"/>
      <c r="Q248" s="329"/>
      <c r="R248" s="329"/>
      <c r="S248" s="329"/>
      <c r="T248" s="329"/>
      <c r="U248" s="329"/>
      <c r="V248" s="329"/>
      <c r="W248" s="329"/>
      <c r="X248" s="329"/>
      <c r="Y248" s="329"/>
      <c r="Z248" s="329"/>
      <c r="AA248" s="329"/>
      <c r="AB248" s="329"/>
      <c r="AC248" s="329"/>
      <c r="AD248" s="329"/>
      <c r="AE248" s="329"/>
      <c r="AF248" s="329"/>
      <c r="AG248" s="329"/>
      <c r="AH248" s="329"/>
      <c r="AI248" s="329"/>
      <c r="AJ248" s="329"/>
      <c r="AK248" s="329"/>
      <c r="AL248" s="329"/>
      <c r="AM248" s="329"/>
      <c r="AN248" s="329"/>
      <c r="AO248" s="329"/>
      <c r="AP248" s="329"/>
    </row>
    <row r="249" spans="3:42">
      <c r="C249" s="38"/>
      <c r="D249" s="329"/>
      <c r="E249" s="329"/>
      <c r="F249" s="329"/>
      <c r="G249" s="329"/>
      <c r="H249" s="329"/>
      <c r="I249" s="329"/>
      <c r="J249" s="329"/>
      <c r="K249" s="329"/>
      <c r="L249" s="329"/>
      <c r="M249" s="329"/>
      <c r="N249" s="329"/>
      <c r="O249" s="329"/>
      <c r="P249" s="329"/>
      <c r="Q249" s="329"/>
      <c r="R249" s="329"/>
      <c r="S249" s="329"/>
      <c r="T249" s="329"/>
      <c r="U249" s="329"/>
      <c r="V249" s="329"/>
      <c r="W249" s="329"/>
      <c r="X249" s="329"/>
      <c r="Y249" s="329"/>
      <c r="Z249" s="329"/>
      <c r="AA249" s="329"/>
      <c r="AB249" s="329"/>
      <c r="AC249" s="329"/>
      <c r="AD249" s="329"/>
      <c r="AE249" s="329"/>
      <c r="AF249" s="329"/>
      <c r="AG249" s="329"/>
      <c r="AH249" s="329"/>
      <c r="AI249" s="329"/>
      <c r="AJ249" s="329"/>
      <c r="AK249" s="329"/>
      <c r="AL249" s="329"/>
      <c r="AM249" s="329"/>
      <c r="AN249" s="329"/>
      <c r="AO249" s="329"/>
      <c r="AP249" s="329"/>
    </row>
    <row r="250" spans="3:42">
      <c r="C250" s="38"/>
      <c r="D250" s="329"/>
      <c r="E250" s="329"/>
      <c r="F250" s="329"/>
      <c r="G250" s="329"/>
      <c r="H250" s="329"/>
      <c r="I250" s="329"/>
      <c r="J250" s="329"/>
      <c r="K250" s="329"/>
      <c r="L250" s="329"/>
      <c r="M250" s="329"/>
      <c r="N250" s="329"/>
      <c r="O250" s="329"/>
      <c r="P250" s="329"/>
      <c r="Q250" s="329"/>
      <c r="R250" s="329"/>
      <c r="S250" s="329"/>
      <c r="T250" s="329"/>
      <c r="U250" s="329"/>
      <c r="V250" s="329"/>
      <c r="W250" s="329"/>
      <c r="X250" s="329"/>
      <c r="Y250" s="329"/>
      <c r="Z250" s="329"/>
      <c r="AA250" s="329"/>
      <c r="AB250" s="329"/>
      <c r="AC250" s="329"/>
      <c r="AD250" s="329"/>
      <c r="AE250" s="329"/>
      <c r="AF250" s="329"/>
      <c r="AG250" s="329"/>
      <c r="AH250" s="329"/>
      <c r="AI250" s="329"/>
      <c r="AJ250" s="329"/>
      <c r="AK250" s="329"/>
      <c r="AL250" s="329"/>
      <c r="AM250" s="329"/>
      <c r="AN250" s="329"/>
      <c r="AO250" s="329"/>
      <c r="AP250" s="329"/>
    </row>
    <row r="251" spans="3:42">
      <c r="C251" s="38"/>
      <c r="D251" s="329"/>
      <c r="E251" s="329"/>
      <c r="F251" s="329"/>
      <c r="G251" s="329"/>
      <c r="H251" s="329"/>
      <c r="I251" s="329"/>
      <c r="J251" s="329"/>
      <c r="K251" s="329"/>
      <c r="L251" s="329"/>
      <c r="M251" s="329"/>
      <c r="N251" s="329"/>
      <c r="O251" s="329"/>
      <c r="P251" s="329"/>
      <c r="Q251" s="329"/>
      <c r="R251" s="329"/>
      <c r="S251" s="329"/>
      <c r="T251" s="329"/>
      <c r="U251" s="329"/>
      <c r="V251" s="329"/>
      <c r="W251" s="329"/>
      <c r="X251" s="329"/>
      <c r="Y251" s="329"/>
      <c r="Z251" s="329"/>
      <c r="AA251" s="329"/>
      <c r="AB251" s="329"/>
      <c r="AC251" s="329"/>
      <c r="AD251" s="329"/>
      <c r="AE251" s="329"/>
      <c r="AF251" s="329"/>
      <c r="AG251" s="329"/>
      <c r="AH251" s="329"/>
      <c r="AI251" s="329"/>
      <c r="AJ251" s="329"/>
      <c r="AK251" s="329"/>
      <c r="AL251" s="329"/>
      <c r="AM251" s="329"/>
      <c r="AN251" s="329"/>
      <c r="AO251" s="329"/>
      <c r="AP251" s="329"/>
    </row>
    <row r="252" spans="3:42">
      <c r="C252" s="38"/>
      <c r="D252" s="329"/>
      <c r="E252" s="329"/>
      <c r="F252" s="329"/>
      <c r="G252" s="329"/>
      <c r="H252" s="329"/>
      <c r="I252" s="329"/>
      <c r="J252" s="329"/>
      <c r="K252" s="329"/>
      <c r="L252" s="329"/>
      <c r="M252" s="329"/>
      <c r="N252" s="329"/>
      <c r="O252" s="329"/>
      <c r="P252" s="329"/>
      <c r="Q252" s="329"/>
      <c r="R252" s="329"/>
      <c r="S252" s="329"/>
      <c r="T252" s="329"/>
      <c r="U252" s="329"/>
      <c r="V252" s="329"/>
      <c r="W252" s="329"/>
      <c r="X252" s="329"/>
      <c r="Y252" s="329"/>
      <c r="Z252" s="329"/>
      <c r="AA252" s="329"/>
      <c r="AB252" s="329"/>
      <c r="AC252" s="329"/>
      <c r="AD252" s="329"/>
      <c r="AE252" s="329"/>
      <c r="AF252" s="329"/>
      <c r="AG252" s="329"/>
      <c r="AH252" s="329"/>
      <c r="AI252" s="329"/>
      <c r="AJ252" s="329"/>
      <c r="AK252" s="329"/>
      <c r="AL252" s="329"/>
      <c r="AM252" s="329"/>
      <c r="AN252" s="329"/>
      <c r="AO252" s="329"/>
      <c r="AP252" s="329"/>
    </row>
    <row r="253" spans="3:42">
      <c r="C253" s="38"/>
      <c r="D253" s="329"/>
      <c r="E253" s="329"/>
      <c r="F253" s="329"/>
      <c r="G253" s="329"/>
      <c r="H253" s="329"/>
      <c r="I253" s="329"/>
      <c r="J253" s="329"/>
      <c r="K253" s="329"/>
      <c r="L253" s="329"/>
      <c r="M253" s="329"/>
      <c r="N253" s="329"/>
      <c r="O253" s="329"/>
      <c r="P253" s="329"/>
      <c r="Q253" s="329"/>
      <c r="R253" s="329"/>
      <c r="S253" s="329"/>
      <c r="T253" s="329"/>
      <c r="U253" s="329"/>
      <c r="V253" s="329"/>
      <c r="W253" s="329"/>
      <c r="X253" s="329"/>
      <c r="Y253" s="329"/>
      <c r="Z253" s="329"/>
      <c r="AA253" s="329"/>
      <c r="AB253" s="329"/>
      <c r="AC253" s="329"/>
      <c r="AD253" s="329"/>
      <c r="AE253" s="329"/>
      <c r="AF253" s="329"/>
      <c r="AG253" s="329"/>
      <c r="AH253" s="329"/>
      <c r="AI253" s="329"/>
      <c r="AJ253" s="329"/>
      <c r="AK253" s="329"/>
      <c r="AL253" s="329"/>
      <c r="AM253" s="329"/>
      <c r="AN253" s="329"/>
      <c r="AO253" s="329"/>
      <c r="AP253" s="329"/>
    </row>
    <row r="254" spans="3:42">
      <c r="C254" s="38"/>
      <c r="D254" s="329"/>
      <c r="E254" s="329"/>
      <c r="F254" s="329"/>
      <c r="G254" s="329"/>
      <c r="H254" s="329"/>
      <c r="I254" s="329"/>
      <c r="J254" s="329"/>
      <c r="K254" s="329"/>
      <c r="L254" s="329"/>
      <c r="M254" s="329"/>
      <c r="N254" s="329"/>
      <c r="O254" s="329"/>
      <c r="P254" s="329"/>
      <c r="Q254" s="329"/>
      <c r="R254" s="329"/>
      <c r="S254" s="329"/>
      <c r="T254" s="329"/>
      <c r="U254" s="329"/>
      <c r="V254" s="329"/>
      <c r="W254" s="329"/>
      <c r="X254" s="329"/>
      <c r="Y254" s="329"/>
      <c r="Z254" s="329"/>
      <c r="AA254" s="329"/>
      <c r="AB254" s="329"/>
      <c r="AC254" s="329"/>
      <c r="AD254" s="329"/>
      <c r="AE254" s="329"/>
      <c r="AF254" s="329"/>
      <c r="AG254" s="329"/>
      <c r="AH254" s="329"/>
      <c r="AI254" s="329"/>
      <c r="AJ254" s="329"/>
      <c r="AK254" s="329"/>
      <c r="AL254" s="329"/>
      <c r="AM254" s="329"/>
      <c r="AN254" s="329"/>
      <c r="AO254" s="329"/>
      <c r="AP254" s="329"/>
    </row>
    <row r="255" spans="3:42">
      <c r="C255" s="38"/>
      <c r="D255" s="329"/>
      <c r="E255" s="329"/>
      <c r="F255" s="329"/>
      <c r="G255" s="329"/>
      <c r="H255" s="329"/>
      <c r="I255" s="329"/>
      <c r="J255" s="329"/>
      <c r="K255" s="329"/>
      <c r="L255" s="329"/>
      <c r="M255" s="329"/>
      <c r="N255" s="329"/>
      <c r="O255" s="329"/>
      <c r="P255" s="329"/>
      <c r="Q255" s="329"/>
      <c r="R255" s="329"/>
      <c r="S255" s="329"/>
      <c r="T255" s="329"/>
      <c r="U255" s="329"/>
      <c r="V255" s="329"/>
      <c r="W255" s="329"/>
      <c r="X255" s="329"/>
      <c r="Y255" s="329"/>
      <c r="Z255" s="329"/>
      <c r="AA255" s="329"/>
      <c r="AB255" s="329"/>
      <c r="AC255" s="329"/>
      <c r="AD255" s="329"/>
      <c r="AE255" s="329"/>
      <c r="AF255" s="329"/>
      <c r="AG255" s="329"/>
      <c r="AH255" s="329"/>
      <c r="AI255" s="329"/>
      <c r="AJ255" s="329"/>
      <c r="AK255" s="329"/>
      <c r="AL255" s="329"/>
      <c r="AM255" s="329"/>
      <c r="AN255" s="329"/>
      <c r="AO255" s="329"/>
      <c r="AP255" s="329"/>
    </row>
    <row r="256" spans="3:42">
      <c r="C256" s="38"/>
      <c r="D256" s="329"/>
      <c r="E256" s="329"/>
      <c r="F256" s="329"/>
      <c r="G256" s="329"/>
      <c r="H256" s="329"/>
      <c r="I256" s="329"/>
      <c r="J256" s="329"/>
      <c r="K256" s="329"/>
      <c r="L256" s="329"/>
      <c r="M256" s="329"/>
      <c r="N256" s="329"/>
      <c r="O256" s="329"/>
      <c r="P256" s="329"/>
      <c r="Q256" s="329"/>
      <c r="R256" s="329"/>
      <c r="S256" s="329"/>
      <c r="T256" s="329"/>
      <c r="U256" s="329"/>
      <c r="V256" s="329"/>
      <c r="W256" s="329"/>
      <c r="X256" s="329"/>
      <c r="Y256" s="329"/>
      <c r="Z256" s="329"/>
      <c r="AA256" s="329"/>
      <c r="AB256" s="329"/>
      <c r="AC256" s="329"/>
      <c r="AD256" s="329"/>
      <c r="AE256" s="329"/>
      <c r="AF256" s="329"/>
      <c r="AG256" s="329"/>
      <c r="AH256" s="329"/>
      <c r="AI256" s="329"/>
      <c r="AJ256" s="329"/>
      <c r="AK256" s="329"/>
      <c r="AL256" s="329"/>
      <c r="AM256" s="329"/>
      <c r="AN256" s="329"/>
      <c r="AO256" s="329"/>
      <c r="AP256" s="329"/>
    </row>
    <row r="257" spans="3:42">
      <c r="C257" s="38"/>
      <c r="D257" s="329"/>
      <c r="E257" s="329"/>
      <c r="F257" s="329"/>
      <c r="G257" s="329"/>
      <c r="H257" s="329"/>
      <c r="I257" s="329"/>
      <c r="J257" s="329"/>
      <c r="K257" s="329"/>
      <c r="L257" s="329"/>
      <c r="M257" s="329"/>
      <c r="N257" s="329"/>
      <c r="O257" s="329"/>
      <c r="P257" s="329"/>
      <c r="Q257" s="329"/>
      <c r="R257" s="329"/>
      <c r="S257" s="329"/>
      <c r="T257" s="329"/>
      <c r="U257" s="329"/>
      <c r="V257" s="329"/>
      <c r="W257" s="329"/>
      <c r="X257" s="329"/>
      <c r="Y257" s="329"/>
      <c r="Z257" s="329"/>
      <c r="AA257" s="329"/>
      <c r="AB257" s="329"/>
      <c r="AC257" s="329"/>
      <c r="AD257" s="329"/>
      <c r="AE257" s="329"/>
      <c r="AF257" s="329"/>
      <c r="AG257" s="329"/>
      <c r="AH257" s="329"/>
      <c r="AI257" s="329"/>
      <c r="AJ257" s="329"/>
      <c r="AK257" s="329"/>
      <c r="AL257" s="329"/>
      <c r="AM257" s="329"/>
      <c r="AN257" s="329"/>
      <c r="AO257" s="329"/>
      <c r="AP257" s="329"/>
    </row>
    <row r="258" spans="3:42">
      <c r="C258" s="38"/>
      <c r="D258" s="329"/>
      <c r="E258" s="329"/>
      <c r="F258" s="329"/>
      <c r="G258" s="329"/>
      <c r="H258" s="329"/>
      <c r="I258" s="329"/>
      <c r="J258" s="329"/>
      <c r="K258" s="329"/>
      <c r="L258" s="329"/>
      <c r="M258" s="329"/>
      <c r="N258" s="329"/>
      <c r="O258" s="329"/>
      <c r="P258" s="329"/>
      <c r="Q258" s="329"/>
      <c r="R258" s="329"/>
      <c r="S258" s="329"/>
      <c r="T258" s="329"/>
      <c r="U258" s="329"/>
      <c r="V258" s="329"/>
      <c r="W258" s="329"/>
      <c r="X258" s="329"/>
      <c r="Y258" s="329"/>
      <c r="Z258" s="329"/>
      <c r="AA258" s="329"/>
      <c r="AB258" s="329"/>
      <c r="AC258" s="329"/>
      <c r="AD258" s="329"/>
      <c r="AE258" s="329"/>
      <c r="AF258" s="329"/>
      <c r="AG258" s="329"/>
      <c r="AH258" s="329"/>
      <c r="AI258" s="329"/>
      <c r="AJ258" s="329"/>
      <c r="AK258" s="329"/>
      <c r="AL258" s="329"/>
      <c r="AM258" s="329"/>
      <c r="AN258" s="329"/>
      <c r="AO258" s="329"/>
      <c r="AP258" s="329"/>
    </row>
    <row r="259" spans="3:42">
      <c r="C259" s="38"/>
      <c r="D259" s="329"/>
      <c r="E259" s="329"/>
      <c r="F259" s="329"/>
      <c r="G259" s="329"/>
      <c r="H259" s="329"/>
      <c r="I259" s="329"/>
      <c r="J259" s="329"/>
      <c r="K259" s="329"/>
      <c r="L259" s="329"/>
      <c r="M259" s="329"/>
      <c r="N259" s="329"/>
      <c r="O259" s="329"/>
      <c r="P259" s="329"/>
      <c r="Q259" s="329"/>
      <c r="R259" s="329"/>
      <c r="S259" s="329"/>
      <c r="T259" s="329"/>
      <c r="U259" s="329"/>
      <c r="V259" s="329"/>
      <c r="W259" s="329"/>
      <c r="X259" s="329"/>
      <c r="Y259" s="329"/>
      <c r="Z259" s="329"/>
      <c r="AA259" s="329"/>
      <c r="AB259" s="329"/>
      <c r="AC259" s="329"/>
      <c r="AD259" s="329"/>
      <c r="AE259" s="329"/>
      <c r="AF259" s="329"/>
      <c r="AG259" s="329"/>
      <c r="AH259" s="329"/>
      <c r="AI259" s="329"/>
      <c r="AJ259" s="329"/>
      <c r="AK259" s="329"/>
      <c r="AL259" s="329"/>
      <c r="AM259" s="329"/>
      <c r="AN259" s="329"/>
      <c r="AO259" s="329"/>
      <c r="AP259" s="329"/>
    </row>
    <row r="260" spans="3:42">
      <c r="C260" s="38"/>
      <c r="D260" s="329"/>
      <c r="E260" s="329"/>
      <c r="F260" s="329"/>
      <c r="G260" s="329"/>
      <c r="H260" s="329"/>
      <c r="I260" s="329"/>
      <c r="J260" s="329"/>
      <c r="K260" s="329"/>
      <c r="L260" s="329"/>
      <c r="M260" s="329"/>
      <c r="N260" s="329"/>
      <c r="O260" s="329"/>
      <c r="P260" s="329"/>
      <c r="Q260" s="329"/>
      <c r="R260" s="329"/>
      <c r="S260" s="329"/>
      <c r="T260" s="329"/>
      <c r="U260" s="329"/>
      <c r="V260" s="329"/>
      <c r="W260" s="329"/>
      <c r="X260" s="329"/>
      <c r="Y260" s="329"/>
      <c r="Z260" s="329"/>
      <c r="AA260" s="329"/>
      <c r="AB260" s="329"/>
      <c r="AC260" s="329"/>
      <c r="AD260" s="329"/>
      <c r="AE260" s="329"/>
      <c r="AF260" s="329"/>
      <c r="AG260" s="329"/>
      <c r="AH260" s="329"/>
      <c r="AI260" s="329"/>
      <c r="AJ260" s="329"/>
      <c r="AK260" s="329"/>
      <c r="AL260" s="329"/>
      <c r="AM260" s="329"/>
      <c r="AN260" s="329"/>
      <c r="AO260" s="329"/>
      <c r="AP260" s="329"/>
    </row>
    <row r="261" spans="3:42">
      <c r="C261" s="38"/>
      <c r="D261" s="329"/>
      <c r="E261" s="329"/>
      <c r="F261" s="329"/>
      <c r="G261" s="329"/>
      <c r="H261" s="329"/>
      <c r="I261" s="329"/>
      <c r="J261" s="329"/>
      <c r="K261" s="329"/>
      <c r="L261" s="329"/>
      <c r="M261" s="329"/>
      <c r="N261" s="329"/>
      <c r="O261" s="329"/>
      <c r="P261" s="329"/>
      <c r="Q261" s="329"/>
      <c r="R261" s="329"/>
      <c r="S261" s="329"/>
      <c r="T261" s="329"/>
      <c r="U261" s="329"/>
      <c r="V261" s="329"/>
      <c r="W261" s="329"/>
      <c r="X261" s="329"/>
      <c r="Y261" s="329"/>
      <c r="Z261" s="329"/>
      <c r="AA261" s="329"/>
      <c r="AB261" s="329"/>
      <c r="AC261" s="329"/>
      <c r="AD261" s="329"/>
      <c r="AE261" s="329"/>
      <c r="AF261" s="329"/>
      <c r="AG261" s="329"/>
      <c r="AH261" s="329"/>
      <c r="AI261" s="329"/>
      <c r="AJ261" s="329"/>
      <c r="AK261" s="329"/>
      <c r="AL261" s="329"/>
      <c r="AM261" s="329"/>
      <c r="AN261" s="329"/>
      <c r="AO261" s="329"/>
      <c r="AP261" s="329"/>
    </row>
    <row r="262" spans="3:42">
      <c r="C262" s="38"/>
      <c r="D262" s="329"/>
      <c r="E262" s="329"/>
      <c r="F262" s="329"/>
      <c r="G262" s="329"/>
      <c r="H262" s="329"/>
      <c r="I262" s="329"/>
      <c r="J262" s="329"/>
      <c r="K262" s="329"/>
      <c r="L262" s="329"/>
      <c r="M262" s="329"/>
      <c r="N262" s="329"/>
      <c r="O262" s="329"/>
      <c r="P262" s="329"/>
      <c r="Q262" s="329"/>
      <c r="R262" s="329"/>
      <c r="S262" s="329"/>
      <c r="T262" s="329"/>
      <c r="U262" s="329"/>
      <c r="V262" s="329"/>
      <c r="W262" s="329"/>
      <c r="X262" s="329"/>
      <c r="Y262" s="329"/>
      <c r="Z262" s="329"/>
      <c r="AA262" s="329"/>
      <c r="AB262" s="329"/>
      <c r="AC262" s="329"/>
      <c r="AD262" s="329"/>
      <c r="AE262" s="329"/>
      <c r="AF262" s="329"/>
      <c r="AG262" s="329"/>
      <c r="AH262" s="329"/>
      <c r="AI262" s="329"/>
      <c r="AJ262" s="329"/>
      <c r="AK262" s="329"/>
      <c r="AL262" s="329"/>
      <c r="AM262" s="329"/>
      <c r="AN262" s="329"/>
      <c r="AO262" s="329"/>
      <c r="AP262" s="329"/>
    </row>
    <row r="263" spans="3:42">
      <c r="C263" s="38"/>
      <c r="D263" s="329"/>
      <c r="E263" s="329"/>
      <c r="F263" s="329"/>
      <c r="G263" s="329"/>
      <c r="H263" s="329"/>
      <c r="I263" s="329"/>
      <c r="J263" s="329"/>
      <c r="K263" s="329"/>
      <c r="L263" s="329"/>
      <c r="M263" s="329"/>
      <c r="N263" s="329"/>
      <c r="O263" s="329"/>
      <c r="P263" s="329"/>
      <c r="Q263" s="329"/>
      <c r="R263" s="329"/>
      <c r="S263" s="329"/>
      <c r="T263" s="329"/>
      <c r="U263" s="329"/>
      <c r="V263" s="329"/>
      <c r="W263" s="329"/>
      <c r="X263" s="329"/>
      <c r="Y263" s="329"/>
      <c r="Z263" s="329"/>
      <c r="AA263" s="329"/>
      <c r="AB263" s="329"/>
      <c r="AC263" s="329"/>
      <c r="AD263" s="329"/>
      <c r="AE263" s="329"/>
      <c r="AF263" s="329"/>
      <c r="AG263" s="329"/>
      <c r="AH263" s="329"/>
      <c r="AI263" s="329"/>
      <c r="AJ263" s="329"/>
      <c r="AK263" s="329"/>
      <c r="AL263" s="329"/>
      <c r="AM263" s="329"/>
      <c r="AN263" s="329"/>
      <c r="AO263" s="329"/>
      <c r="AP263" s="329"/>
    </row>
    <row r="264" spans="3:42">
      <c r="C264" s="38"/>
      <c r="D264" s="329"/>
      <c r="E264" s="329"/>
      <c r="F264" s="329"/>
      <c r="G264" s="329"/>
      <c r="H264" s="329"/>
      <c r="I264" s="329"/>
      <c r="J264" s="329"/>
      <c r="K264" s="329"/>
      <c r="L264" s="329"/>
      <c r="M264" s="329"/>
      <c r="N264" s="329"/>
      <c r="O264" s="329"/>
      <c r="P264" s="329"/>
      <c r="Q264" s="329"/>
      <c r="R264" s="329"/>
      <c r="S264" s="329"/>
      <c r="T264" s="329"/>
      <c r="U264" s="329"/>
      <c r="V264" s="329"/>
      <c r="W264" s="329"/>
      <c r="X264" s="329"/>
      <c r="Y264" s="329"/>
      <c r="Z264" s="329"/>
      <c r="AA264" s="329"/>
      <c r="AB264" s="329"/>
      <c r="AC264" s="329"/>
      <c r="AD264" s="329"/>
      <c r="AE264" s="329"/>
      <c r="AF264" s="329"/>
      <c r="AG264" s="329"/>
      <c r="AH264" s="329"/>
      <c r="AI264" s="329"/>
      <c r="AJ264" s="329"/>
      <c r="AK264" s="329"/>
      <c r="AL264" s="329"/>
      <c r="AM264" s="329"/>
      <c r="AN264" s="329"/>
      <c r="AO264" s="329"/>
      <c r="AP264" s="329"/>
    </row>
    <row r="265" spans="3:42">
      <c r="C265" s="38"/>
      <c r="D265" s="329"/>
      <c r="E265" s="329"/>
      <c r="F265" s="329"/>
      <c r="G265" s="329"/>
      <c r="H265" s="329"/>
      <c r="I265" s="329"/>
      <c r="J265" s="329"/>
      <c r="K265" s="329"/>
      <c r="L265" s="329"/>
      <c r="M265" s="329"/>
      <c r="N265" s="329"/>
      <c r="O265" s="329"/>
      <c r="P265" s="329"/>
      <c r="Q265" s="329"/>
      <c r="R265" s="329"/>
      <c r="S265" s="329"/>
      <c r="T265" s="329"/>
      <c r="U265" s="329"/>
      <c r="V265" s="329"/>
      <c r="W265" s="329"/>
      <c r="X265" s="329"/>
      <c r="Y265" s="329"/>
      <c r="Z265" s="329"/>
      <c r="AA265" s="329"/>
      <c r="AB265" s="329"/>
      <c r="AC265" s="329"/>
      <c r="AD265" s="329"/>
      <c r="AE265" s="329"/>
      <c r="AF265" s="329"/>
      <c r="AG265" s="329"/>
      <c r="AH265" s="329"/>
      <c r="AI265" s="329"/>
      <c r="AJ265" s="329"/>
      <c r="AK265" s="329"/>
      <c r="AL265" s="329"/>
      <c r="AM265" s="329"/>
      <c r="AN265" s="329"/>
      <c r="AO265" s="329"/>
      <c r="AP265" s="329"/>
    </row>
    <row r="266" spans="3:42">
      <c r="C266" s="38"/>
      <c r="D266" s="329"/>
      <c r="E266" s="329"/>
      <c r="F266" s="329"/>
      <c r="G266" s="329"/>
      <c r="H266" s="329"/>
      <c r="I266" s="329"/>
      <c r="J266" s="329"/>
      <c r="K266" s="329"/>
      <c r="L266" s="329"/>
      <c r="M266" s="329"/>
      <c r="N266" s="329"/>
      <c r="O266" s="329"/>
      <c r="P266" s="329"/>
      <c r="Q266" s="329"/>
      <c r="R266" s="329"/>
      <c r="S266" s="329"/>
      <c r="T266" s="329"/>
      <c r="U266" s="329"/>
      <c r="V266" s="329"/>
      <c r="W266" s="329"/>
      <c r="X266" s="329"/>
      <c r="Y266" s="329"/>
      <c r="Z266" s="329"/>
      <c r="AA266" s="329"/>
      <c r="AB266" s="329"/>
      <c r="AC266" s="329"/>
      <c r="AD266" s="329"/>
      <c r="AE266" s="329"/>
      <c r="AF266" s="329"/>
      <c r="AG266" s="329"/>
      <c r="AH266" s="329"/>
      <c r="AI266" s="329"/>
      <c r="AJ266" s="329"/>
      <c r="AK266" s="329"/>
      <c r="AL266" s="329"/>
      <c r="AM266" s="329"/>
      <c r="AN266" s="329"/>
      <c r="AO266" s="329"/>
      <c r="AP266" s="329"/>
    </row>
    <row r="267" spans="3:42">
      <c r="C267" s="38"/>
      <c r="D267" s="329"/>
      <c r="E267" s="329"/>
      <c r="F267" s="329"/>
      <c r="G267" s="329"/>
      <c r="H267" s="329"/>
      <c r="I267" s="329"/>
      <c r="J267" s="329"/>
      <c r="K267" s="329"/>
      <c r="L267" s="329"/>
      <c r="M267" s="329"/>
      <c r="N267" s="329"/>
      <c r="O267" s="329"/>
      <c r="P267" s="329"/>
      <c r="Q267" s="329"/>
      <c r="R267" s="329"/>
      <c r="S267" s="329"/>
      <c r="T267" s="329"/>
      <c r="U267" s="329"/>
      <c r="V267" s="329"/>
      <c r="W267" s="329"/>
      <c r="X267" s="329"/>
      <c r="Y267" s="329"/>
      <c r="Z267" s="329"/>
      <c r="AA267" s="329"/>
      <c r="AB267" s="329"/>
      <c r="AC267" s="329"/>
      <c r="AD267" s="329"/>
      <c r="AE267" s="329"/>
      <c r="AF267" s="329"/>
      <c r="AG267" s="329"/>
      <c r="AH267" s="329"/>
      <c r="AI267" s="329"/>
      <c r="AJ267" s="329"/>
      <c r="AK267" s="329"/>
      <c r="AL267" s="329"/>
      <c r="AM267" s="329"/>
      <c r="AN267" s="329"/>
      <c r="AO267" s="329"/>
      <c r="AP267" s="329"/>
    </row>
    <row r="268" spans="3:42">
      <c r="C268" s="38"/>
      <c r="D268" s="329"/>
      <c r="E268" s="329"/>
      <c r="F268" s="329"/>
      <c r="G268" s="329"/>
      <c r="H268" s="329"/>
      <c r="I268" s="329"/>
      <c r="J268" s="329"/>
      <c r="K268" s="329"/>
      <c r="L268" s="329"/>
      <c r="M268" s="329"/>
      <c r="N268" s="329"/>
      <c r="O268" s="329"/>
      <c r="P268" s="329"/>
      <c r="Q268" s="329"/>
      <c r="R268" s="329"/>
      <c r="S268" s="329"/>
      <c r="T268" s="329"/>
      <c r="U268" s="329"/>
      <c r="V268" s="329"/>
      <c r="W268" s="329"/>
      <c r="X268" s="329"/>
      <c r="Y268" s="329"/>
      <c r="Z268" s="329"/>
      <c r="AA268" s="329"/>
      <c r="AB268" s="329"/>
      <c r="AC268" s="329"/>
      <c r="AD268" s="329"/>
      <c r="AE268" s="329"/>
      <c r="AF268" s="329"/>
      <c r="AG268" s="329"/>
      <c r="AH268" s="329"/>
      <c r="AI268" s="329"/>
      <c r="AJ268" s="329"/>
      <c r="AK268" s="329"/>
      <c r="AL268" s="329"/>
      <c r="AM268" s="329"/>
      <c r="AN268" s="329"/>
      <c r="AO268" s="329"/>
      <c r="AP268" s="329"/>
    </row>
    <row r="269" spans="3:42">
      <c r="C269" s="38"/>
      <c r="D269" s="329"/>
      <c r="E269" s="329"/>
      <c r="F269" s="329"/>
      <c r="G269" s="329"/>
      <c r="H269" s="329"/>
      <c r="I269" s="329"/>
      <c r="J269" s="329"/>
      <c r="K269" s="329"/>
      <c r="L269" s="329"/>
      <c r="M269" s="329"/>
      <c r="N269" s="329"/>
      <c r="O269" s="329"/>
      <c r="P269" s="329"/>
      <c r="Q269" s="329"/>
      <c r="R269" s="329"/>
      <c r="S269" s="329"/>
      <c r="T269" s="329"/>
      <c r="U269" s="329"/>
      <c r="V269" s="329"/>
      <c r="W269" s="329"/>
      <c r="X269" s="329"/>
      <c r="Y269" s="329"/>
      <c r="Z269" s="329"/>
      <c r="AA269" s="329"/>
      <c r="AB269" s="329"/>
      <c r="AC269" s="329"/>
      <c r="AD269" s="329"/>
      <c r="AE269" s="329"/>
      <c r="AF269" s="329"/>
      <c r="AG269" s="329"/>
      <c r="AH269" s="329"/>
      <c r="AI269" s="329"/>
      <c r="AJ269" s="329"/>
      <c r="AK269" s="329"/>
      <c r="AL269" s="329"/>
      <c r="AM269" s="329"/>
      <c r="AN269" s="329"/>
      <c r="AO269" s="329"/>
      <c r="AP269" s="329"/>
    </row>
    <row r="270" spans="3:42">
      <c r="C270" s="38"/>
      <c r="D270" s="329"/>
      <c r="E270" s="329"/>
      <c r="F270" s="329"/>
      <c r="G270" s="329"/>
      <c r="H270" s="329"/>
      <c r="I270" s="329"/>
      <c r="J270" s="329"/>
      <c r="K270" s="329"/>
      <c r="L270" s="329"/>
      <c r="M270" s="329"/>
      <c r="N270" s="329"/>
      <c r="O270" s="329"/>
      <c r="P270" s="329"/>
      <c r="Q270" s="329"/>
      <c r="R270" s="329"/>
      <c r="S270" s="329"/>
      <c r="T270" s="329"/>
      <c r="U270" s="329"/>
      <c r="V270" s="329"/>
      <c r="W270" s="329"/>
      <c r="X270" s="329"/>
      <c r="Y270" s="329"/>
      <c r="Z270" s="329"/>
      <c r="AA270" s="329"/>
      <c r="AB270" s="329"/>
      <c r="AC270" s="329"/>
      <c r="AD270" s="329"/>
      <c r="AE270" s="329"/>
      <c r="AF270" s="329"/>
      <c r="AG270" s="329"/>
      <c r="AH270" s="329"/>
      <c r="AI270" s="329"/>
      <c r="AJ270" s="329"/>
      <c r="AK270" s="329"/>
      <c r="AL270" s="329"/>
      <c r="AM270" s="329"/>
      <c r="AN270" s="329"/>
      <c r="AO270" s="329"/>
      <c r="AP270" s="329"/>
    </row>
    <row r="271" spans="3:42">
      <c r="C271" s="38"/>
      <c r="D271" s="329"/>
      <c r="E271" s="329"/>
      <c r="F271" s="329"/>
      <c r="G271" s="329"/>
      <c r="H271" s="329"/>
      <c r="I271" s="329"/>
      <c r="J271" s="329"/>
      <c r="K271" s="329"/>
      <c r="L271" s="329"/>
      <c r="M271" s="329"/>
      <c r="N271" s="329"/>
      <c r="O271" s="329"/>
      <c r="P271" s="329"/>
      <c r="Q271" s="329"/>
      <c r="R271" s="329"/>
      <c r="S271" s="329"/>
      <c r="T271" s="329"/>
      <c r="U271" s="329"/>
      <c r="V271" s="329"/>
      <c r="W271" s="329"/>
      <c r="X271" s="329"/>
      <c r="Y271" s="329"/>
      <c r="Z271" s="329"/>
      <c r="AA271" s="329"/>
      <c r="AB271" s="329"/>
      <c r="AC271" s="329"/>
      <c r="AD271" s="329"/>
      <c r="AE271" s="329"/>
      <c r="AF271" s="329"/>
      <c r="AG271" s="329"/>
      <c r="AH271" s="329"/>
      <c r="AI271" s="329"/>
      <c r="AJ271" s="329"/>
      <c r="AK271" s="329"/>
      <c r="AL271" s="329"/>
      <c r="AM271" s="329"/>
      <c r="AN271" s="329"/>
      <c r="AO271" s="329"/>
      <c r="AP271" s="329"/>
    </row>
    <row r="272" spans="3:42">
      <c r="C272" s="38"/>
      <c r="D272" s="329"/>
      <c r="E272" s="329"/>
      <c r="F272" s="329"/>
      <c r="G272" s="329"/>
      <c r="H272" s="329"/>
      <c r="I272" s="329"/>
      <c r="J272" s="329"/>
      <c r="K272" s="329"/>
      <c r="L272" s="329"/>
      <c r="M272" s="329"/>
      <c r="N272" s="329"/>
      <c r="O272" s="329"/>
      <c r="P272" s="329"/>
      <c r="Q272" s="329"/>
      <c r="R272" s="329"/>
      <c r="S272" s="329"/>
      <c r="T272" s="329"/>
      <c r="U272" s="329"/>
      <c r="V272" s="329"/>
      <c r="W272" s="329"/>
      <c r="X272" s="329"/>
      <c r="Y272" s="329"/>
      <c r="Z272" s="329"/>
      <c r="AA272" s="329"/>
      <c r="AB272" s="329"/>
      <c r="AC272" s="329"/>
      <c r="AD272" s="329"/>
      <c r="AE272" s="329"/>
      <c r="AF272" s="329"/>
      <c r="AG272" s="329"/>
      <c r="AH272" s="329"/>
      <c r="AI272" s="329"/>
      <c r="AJ272" s="329"/>
      <c r="AK272" s="329"/>
      <c r="AL272" s="329"/>
      <c r="AM272" s="329"/>
      <c r="AN272" s="329"/>
      <c r="AO272" s="329"/>
      <c r="AP272" s="329"/>
    </row>
    <row r="273" spans="3:42">
      <c r="C273" s="38"/>
      <c r="D273" s="329"/>
      <c r="E273" s="329"/>
      <c r="F273" s="329"/>
      <c r="G273" s="329"/>
      <c r="H273" s="329"/>
      <c r="I273" s="329"/>
      <c r="J273" s="329"/>
      <c r="K273" s="329"/>
      <c r="L273" s="329"/>
      <c r="M273" s="329"/>
      <c r="N273" s="329"/>
      <c r="O273" s="329"/>
      <c r="P273" s="329"/>
      <c r="Q273" s="329"/>
      <c r="R273" s="329"/>
      <c r="S273" s="329"/>
      <c r="T273" s="329"/>
      <c r="U273" s="329"/>
      <c r="V273" s="329"/>
      <c r="W273" s="329"/>
      <c r="X273" s="329"/>
      <c r="Y273" s="329"/>
      <c r="Z273" s="329"/>
      <c r="AA273" s="329"/>
      <c r="AB273" s="329"/>
      <c r="AC273" s="329"/>
      <c r="AD273" s="329"/>
      <c r="AE273" s="329"/>
      <c r="AF273" s="329"/>
      <c r="AG273" s="329"/>
      <c r="AH273" s="329"/>
      <c r="AI273" s="329"/>
      <c r="AJ273" s="329"/>
      <c r="AK273" s="329"/>
      <c r="AL273" s="329"/>
      <c r="AM273" s="329"/>
      <c r="AN273" s="329"/>
      <c r="AO273" s="329"/>
      <c r="AP273" s="329"/>
    </row>
    <row r="274" spans="3:42">
      <c r="C274" s="38"/>
      <c r="D274" s="329"/>
      <c r="E274" s="329"/>
      <c r="F274" s="329"/>
      <c r="G274" s="329"/>
      <c r="H274" s="329"/>
      <c r="I274" s="329"/>
      <c r="J274" s="329"/>
      <c r="K274" s="329"/>
      <c r="L274" s="329"/>
      <c r="M274" s="329"/>
      <c r="N274" s="329"/>
      <c r="O274" s="329"/>
      <c r="P274" s="329"/>
      <c r="Q274" s="329"/>
      <c r="R274" s="329"/>
      <c r="S274" s="329"/>
      <c r="T274" s="329"/>
      <c r="U274" s="329"/>
      <c r="V274" s="329"/>
      <c r="W274" s="329"/>
      <c r="X274" s="329"/>
      <c r="Y274" s="329"/>
      <c r="Z274" s="329"/>
      <c r="AA274" s="329"/>
      <c r="AB274" s="329"/>
      <c r="AC274" s="329"/>
      <c r="AD274" s="329"/>
      <c r="AE274" s="329"/>
      <c r="AF274" s="329"/>
      <c r="AG274" s="329"/>
      <c r="AH274" s="329"/>
      <c r="AI274" s="329"/>
      <c r="AJ274" s="329"/>
      <c r="AK274" s="329"/>
      <c r="AL274" s="329"/>
      <c r="AM274" s="329"/>
      <c r="AN274" s="329"/>
      <c r="AO274" s="329"/>
      <c r="AP274" s="329"/>
    </row>
    <row r="275" spans="3:42">
      <c r="C275" s="38"/>
      <c r="D275" s="329"/>
      <c r="E275" s="329"/>
      <c r="F275" s="329"/>
      <c r="G275" s="329"/>
      <c r="H275" s="329"/>
      <c r="I275" s="329"/>
      <c r="J275" s="329"/>
      <c r="K275" s="329"/>
      <c r="L275" s="329"/>
      <c r="M275" s="329"/>
      <c r="N275" s="329"/>
      <c r="O275" s="329"/>
      <c r="P275" s="329"/>
      <c r="Q275" s="329"/>
      <c r="R275" s="329"/>
      <c r="S275" s="329"/>
      <c r="T275" s="329"/>
      <c r="U275" s="329"/>
      <c r="V275" s="329"/>
      <c r="W275" s="329"/>
      <c r="X275" s="329"/>
      <c r="Y275" s="329"/>
      <c r="Z275" s="329"/>
      <c r="AA275" s="329"/>
      <c r="AB275" s="329"/>
      <c r="AC275" s="329"/>
      <c r="AD275" s="329"/>
      <c r="AE275" s="329"/>
      <c r="AF275" s="329"/>
      <c r="AG275" s="329"/>
      <c r="AH275" s="329"/>
      <c r="AI275" s="329"/>
      <c r="AJ275" s="329"/>
      <c r="AK275" s="329"/>
      <c r="AL275" s="329"/>
      <c r="AM275" s="329"/>
      <c r="AN275" s="329"/>
      <c r="AO275" s="329"/>
      <c r="AP275" s="329"/>
    </row>
    <row r="276" spans="3:42">
      <c r="C276" s="38"/>
      <c r="D276" s="329"/>
      <c r="E276" s="329"/>
      <c r="F276" s="329"/>
      <c r="G276" s="329"/>
      <c r="H276" s="329"/>
      <c r="I276" s="329"/>
      <c r="J276" s="329"/>
      <c r="K276" s="329"/>
      <c r="L276" s="329"/>
      <c r="M276" s="329"/>
      <c r="N276" s="329"/>
      <c r="O276" s="329"/>
      <c r="P276" s="329"/>
      <c r="Q276" s="329"/>
      <c r="R276" s="329"/>
      <c r="S276" s="329"/>
      <c r="T276" s="329"/>
      <c r="U276" s="329"/>
      <c r="V276" s="329"/>
      <c r="W276" s="329"/>
      <c r="X276" s="329"/>
      <c r="Y276" s="329"/>
      <c r="Z276" s="329"/>
      <c r="AA276" s="329"/>
      <c r="AB276" s="329"/>
      <c r="AC276" s="329"/>
      <c r="AD276" s="329"/>
      <c r="AE276" s="329"/>
      <c r="AF276" s="329"/>
      <c r="AG276" s="329"/>
      <c r="AH276" s="329"/>
      <c r="AI276" s="329"/>
      <c r="AJ276" s="329"/>
      <c r="AK276" s="329"/>
      <c r="AL276" s="329"/>
      <c r="AM276" s="329"/>
      <c r="AN276" s="329"/>
      <c r="AO276" s="329"/>
      <c r="AP276" s="329"/>
    </row>
    <row r="277" spans="3:42">
      <c r="C277" s="38"/>
      <c r="D277" s="329"/>
      <c r="E277" s="329"/>
      <c r="F277" s="329"/>
      <c r="G277" s="329"/>
      <c r="H277" s="329"/>
      <c r="I277" s="329"/>
      <c r="J277" s="329"/>
      <c r="K277" s="329"/>
      <c r="L277" s="329"/>
      <c r="M277" s="329"/>
      <c r="N277" s="329"/>
      <c r="O277" s="329"/>
      <c r="P277" s="329"/>
      <c r="Q277" s="329"/>
      <c r="R277" s="329"/>
      <c r="S277" s="329"/>
      <c r="T277" s="329"/>
      <c r="U277" s="329"/>
      <c r="V277" s="329"/>
      <c r="W277" s="329"/>
      <c r="X277" s="329"/>
      <c r="Y277" s="329"/>
      <c r="Z277" s="329"/>
      <c r="AA277" s="329"/>
      <c r="AB277" s="329"/>
      <c r="AC277" s="329"/>
      <c r="AD277" s="329"/>
      <c r="AE277" s="329"/>
      <c r="AF277" s="329"/>
      <c r="AG277" s="329"/>
      <c r="AH277" s="329"/>
      <c r="AI277" s="329"/>
      <c r="AJ277" s="329"/>
      <c r="AK277" s="329"/>
      <c r="AL277" s="329"/>
      <c r="AM277" s="329"/>
      <c r="AN277" s="329"/>
      <c r="AO277" s="329"/>
      <c r="AP277" s="329"/>
    </row>
    <row r="278" spans="3:42">
      <c r="C278" s="38"/>
      <c r="D278" s="329"/>
      <c r="E278" s="329"/>
      <c r="F278" s="329"/>
      <c r="G278" s="329"/>
      <c r="H278" s="329"/>
      <c r="I278" s="329"/>
      <c r="J278" s="329"/>
      <c r="K278" s="329"/>
      <c r="L278" s="329"/>
      <c r="M278" s="329"/>
      <c r="N278" s="329"/>
      <c r="O278" s="329"/>
      <c r="P278" s="329"/>
      <c r="Q278" s="329"/>
      <c r="R278" s="329"/>
      <c r="S278" s="329"/>
      <c r="T278" s="329"/>
      <c r="U278" s="329"/>
      <c r="V278" s="329"/>
      <c r="W278" s="329"/>
      <c r="X278" s="329"/>
      <c r="Y278" s="329"/>
      <c r="Z278" s="329"/>
      <c r="AA278" s="329"/>
      <c r="AB278" s="329"/>
      <c r="AC278" s="329"/>
      <c r="AD278" s="329"/>
      <c r="AE278" s="329"/>
      <c r="AF278" s="329"/>
      <c r="AG278" s="329"/>
      <c r="AH278" s="329"/>
      <c r="AI278" s="329"/>
      <c r="AJ278" s="329"/>
      <c r="AK278" s="329"/>
      <c r="AL278" s="329"/>
      <c r="AM278" s="329"/>
      <c r="AN278" s="329"/>
      <c r="AO278" s="329"/>
      <c r="AP278" s="329"/>
    </row>
    <row r="279" spans="3:42">
      <c r="C279" s="38"/>
      <c r="D279" s="329"/>
      <c r="E279" s="329"/>
      <c r="F279" s="329"/>
      <c r="G279" s="329"/>
      <c r="H279" s="329"/>
      <c r="I279" s="329"/>
      <c r="J279" s="329"/>
      <c r="K279" s="329"/>
      <c r="L279" s="329"/>
      <c r="M279" s="329"/>
      <c r="N279" s="329"/>
      <c r="O279" s="329"/>
      <c r="P279" s="329"/>
      <c r="Q279" s="329"/>
      <c r="R279" s="329"/>
      <c r="S279" s="329"/>
      <c r="T279" s="329"/>
      <c r="U279" s="329"/>
      <c r="V279" s="329"/>
      <c r="W279" s="329"/>
      <c r="X279" s="329"/>
      <c r="Y279" s="329"/>
      <c r="Z279" s="329"/>
      <c r="AA279" s="329"/>
      <c r="AB279" s="329"/>
      <c r="AC279" s="329"/>
      <c r="AD279" s="329"/>
      <c r="AE279" s="329"/>
      <c r="AF279" s="329"/>
      <c r="AG279" s="329"/>
      <c r="AH279" s="329"/>
      <c r="AI279" s="329"/>
      <c r="AJ279" s="329"/>
      <c r="AK279" s="329"/>
      <c r="AL279" s="329"/>
      <c r="AM279" s="329"/>
      <c r="AN279" s="329"/>
      <c r="AO279" s="329"/>
      <c r="AP279" s="329"/>
    </row>
    <row r="280" spans="3:42">
      <c r="C280" s="38"/>
    </row>
    <row r="281" spans="3:42">
      <c r="C281" s="38"/>
    </row>
    <row r="282" spans="3:42">
      <c r="C282" s="38"/>
    </row>
    <row r="283" spans="3:42">
      <c r="C283" s="38"/>
    </row>
    <row r="284" spans="3:42">
      <c r="C284" s="38"/>
    </row>
    <row r="285" spans="3:42">
      <c r="C285" s="38"/>
    </row>
    <row r="286" spans="3:42">
      <c r="C286" s="38"/>
    </row>
    <row r="287" spans="3:42">
      <c r="C287" s="38"/>
    </row>
    <row r="288" spans="3:42">
      <c r="C288" s="38"/>
    </row>
    <row r="289" spans="3:3">
      <c r="C289" s="38"/>
    </row>
    <row r="290" spans="3:3">
      <c r="C290" s="38"/>
    </row>
    <row r="291" spans="3:3">
      <c r="C291" s="38"/>
    </row>
    <row r="292" spans="3:3">
      <c r="C292" s="38"/>
    </row>
    <row r="293" spans="3:3">
      <c r="C293" s="38"/>
    </row>
    <row r="294" spans="3:3">
      <c r="C294" s="38"/>
    </row>
    <row r="295" spans="3:3">
      <c r="C295" s="38"/>
    </row>
    <row r="296" spans="3:3">
      <c r="C296" s="38"/>
    </row>
    <row r="297" spans="3:3">
      <c r="C297" s="38"/>
    </row>
    <row r="298" spans="3:3">
      <c r="C298" s="38"/>
    </row>
    <row r="299" spans="3:3">
      <c r="C299" s="38"/>
    </row>
    <row r="300" spans="3:3">
      <c r="C300" s="38"/>
    </row>
    <row r="301" spans="3:3">
      <c r="C301" s="38"/>
    </row>
    <row r="302" spans="3:3">
      <c r="C302" s="38"/>
    </row>
    <row r="303" spans="3:3">
      <c r="C303" s="38"/>
    </row>
    <row r="304" spans="3:3">
      <c r="C304" s="38"/>
    </row>
    <row r="305" spans="3:3">
      <c r="C305" s="38"/>
    </row>
    <row r="306" spans="3:3">
      <c r="C306" s="38"/>
    </row>
    <row r="307" spans="3:3">
      <c r="C307" s="38"/>
    </row>
    <row r="308" spans="3:3">
      <c r="C308" s="38"/>
    </row>
    <row r="309" spans="3:3">
      <c r="C309" s="38"/>
    </row>
    <row r="310" spans="3:3">
      <c r="C310" s="38"/>
    </row>
    <row r="311" spans="3:3">
      <c r="C311" s="38"/>
    </row>
    <row r="312" spans="3:3">
      <c r="C312" s="38"/>
    </row>
    <row r="313" spans="3:3">
      <c r="C313" s="38"/>
    </row>
    <row r="314" spans="3:3">
      <c r="C314" s="38"/>
    </row>
    <row r="315" spans="3:3">
      <c r="C315" s="38"/>
    </row>
    <row r="316" spans="3:3">
      <c r="C316" s="38"/>
    </row>
    <row r="317" spans="3:3">
      <c r="C317" s="38"/>
    </row>
    <row r="318" spans="3:3">
      <c r="C318" s="38"/>
    </row>
    <row r="319" spans="3:3">
      <c r="C319" s="38"/>
    </row>
    <row r="320" spans="3:3">
      <c r="C320" s="38"/>
    </row>
    <row r="321" spans="3:3">
      <c r="C321" s="38"/>
    </row>
    <row r="322" spans="3:3">
      <c r="C322" s="38"/>
    </row>
    <row r="323" spans="3:3">
      <c r="C323" s="38"/>
    </row>
    <row r="324" spans="3:3">
      <c r="C324" s="38"/>
    </row>
    <row r="325" spans="3:3">
      <c r="C325" s="38"/>
    </row>
    <row r="326" spans="3:3">
      <c r="C326" s="38"/>
    </row>
    <row r="327" spans="3:3">
      <c r="C327" s="38"/>
    </row>
    <row r="328" spans="3:3">
      <c r="C328" s="38"/>
    </row>
    <row r="329" spans="3:3">
      <c r="C329" s="38"/>
    </row>
    <row r="330" spans="3:3">
      <c r="C330" s="38"/>
    </row>
    <row r="331" spans="3:3">
      <c r="C331" s="38"/>
    </row>
    <row r="332" spans="3:3">
      <c r="C332" s="38"/>
    </row>
    <row r="333" spans="3:3">
      <c r="C333" s="38"/>
    </row>
    <row r="334" spans="3:3">
      <c r="C334" s="38"/>
    </row>
    <row r="335" spans="3:3">
      <c r="C335" s="38"/>
    </row>
    <row r="336" spans="3:3">
      <c r="C336" s="38"/>
    </row>
    <row r="337" spans="3:3">
      <c r="C337" s="38"/>
    </row>
    <row r="338" spans="3:3">
      <c r="C338" s="38"/>
    </row>
    <row r="339" spans="3:3">
      <c r="C339" s="38"/>
    </row>
    <row r="340" spans="3:3">
      <c r="C340" s="38"/>
    </row>
    <row r="341" spans="3:3">
      <c r="C341" s="38"/>
    </row>
    <row r="342" spans="3:3">
      <c r="C342" s="38"/>
    </row>
    <row r="343" spans="3:3">
      <c r="C343" s="38"/>
    </row>
    <row r="344" spans="3:3">
      <c r="C344" s="38"/>
    </row>
    <row r="345" spans="3:3">
      <c r="C345" s="38"/>
    </row>
    <row r="346" spans="3:3">
      <c r="C346" s="38"/>
    </row>
    <row r="347" spans="3:3">
      <c r="C347" s="38"/>
    </row>
    <row r="348" spans="3:3">
      <c r="C348" s="38"/>
    </row>
    <row r="349" spans="3:3">
      <c r="C349" s="38"/>
    </row>
    <row r="350" spans="3:3">
      <c r="C350" s="38"/>
    </row>
    <row r="351" spans="3:3">
      <c r="C351" s="38"/>
    </row>
    <row r="352" spans="3:3">
      <c r="C352" s="38"/>
    </row>
    <row r="353" spans="3:3">
      <c r="C353" s="38"/>
    </row>
    <row r="354" spans="3:3">
      <c r="C354" s="38"/>
    </row>
    <row r="355" spans="3:3">
      <c r="C355" s="38"/>
    </row>
    <row r="356" spans="3:3">
      <c r="C356" s="38"/>
    </row>
    <row r="357" spans="3:3">
      <c r="C357" s="38"/>
    </row>
    <row r="358" spans="3:3">
      <c r="C358" s="38"/>
    </row>
    <row r="359" spans="3:3">
      <c r="C359" s="38"/>
    </row>
    <row r="360" spans="3:3">
      <c r="C360" s="38"/>
    </row>
    <row r="361" spans="3:3">
      <c r="C361" s="38"/>
    </row>
    <row r="362" spans="3:3">
      <c r="C362" s="38"/>
    </row>
    <row r="363" spans="3:3">
      <c r="C363" s="38"/>
    </row>
    <row r="364" spans="3:3">
      <c r="C364" s="38"/>
    </row>
    <row r="365" spans="3:3">
      <c r="C365" s="38"/>
    </row>
    <row r="366" spans="3:3">
      <c r="C366" s="38"/>
    </row>
    <row r="367" spans="3:3">
      <c r="C367" s="38"/>
    </row>
    <row r="368" spans="3:3">
      <c r="C368" s="38"/>
    </row>
    <row r="369" spans="3:3">
      <c r="C369" s="38"/>
    </row>
    <row r="370" spans="3:3">
      <c r="C370" s="38"/>
    </row>
    <row r="371" spans="3:3">
      <c r="C371" s="38"/>
    </row>
    <row r="372" spans="3:3">
      <c r="C372" s="38"/>
    </row>
    <row r="373" spans="3:3">
      <c r="C373" s="38"/>
    </row>
    <row r="374" spans="3:3">
      <c r="C374" s="38"/>
    </row>
    <row r="375" spans="3:3">
      <c r="C375" s="38"/>
    </row>
    <row r="376" spans="3:3">
      <c r="C376" s="38"/>
    </row>
    <row r="377" spans="3:3">
      <c r="C377" s="38"/>
    </row>
    <row r="378" spans="3:3">
      <c r="C378" s="38"/>
    </row>
    <row r="379" spans="3:3">
      <c r="C379" s="38"/>
    </row>
    <row r="380" spans="3:3">
      <c r="C380" s="38"/>
    </row>
    <row r="381" spans="3:3">
      <c r="C381" s="38"/>
    </row>
    <row r="382" spans="3:3">
      <c r="C382" s="38"/>
    </row>
    <row r="383" spans="3:3">
      <c r="C383" s="38"/>
    </row>
    <row r="384" spans="3:3">
      <c r="C384" s="38"/>
    </row>
    <row r="385" spans="3:3">
      <c r="C385" s="38"/>
    </row>
    <row r="386" spans="3:3">
      <c r="C386" s="38"/>
    </row>
    <row r="387" spans="3:3">
      <c r="C387" s="38"/>
    </row>
    <row r="388" spans="3:3">
      <c r="C388" s="38"/>
    </row>
    <row r="389" spans="3:3">
      <c r="C389" s="38"/>
    </row>
    <row r="390" spans="3:3">
      <c r="C390" s="38"/>
    </row>
    <row r="391" spans="3:3">
      <c r="C391" s="38"/>
    </row>
    <row r="392" spans="3:3">
      <c r="C392" s="38"/>
    </row>
    <row r="393" spans="3:3">
      <c r="C393" s="38"/>
    </row>
    <row r="394" spans="3:3">
      <c r="C394" s="38"/>
    </row>
    <row r="395" spans="3:3">
      <c r="C395" s="38"/>
    </row>
    <row r="396" spans="3:3">
      <c r="C396" s="38"/>
    </row>
    <row r="397" spans="3:3">
      <c r="C397" s="38"/>
    </row>
    <row r="398" spans="3:3">
      <c r="C398" s="38"/>
    </row>
    <row r="399" spans="3:3">
      <c r="C399" s="38"/>
    </row>
    <row r="400" spans="3:3">
      <c r="C400" s="38"/>
    </row>
    <row r="401" spans="3:3">
      <c r="C401" s="38"/>
    </row>
    <row r="402" spans="3:3">
      <c r="C402" s="38"/>
    </row>
    <row r="403" spans="3:3">
      <c r="C403" s="38"/>
    </row>
    <row r="404" spans="3:3">
      <c r="C404" s="38"/>
    </row>
    <row r="405" spans="3:3">
      <c r="C405" s="38"/>
    </row>
    <row r="406" spans="3:3">
      <c r="C406" s="38"/>
    </row>
    <row r="407" spans="3:3">
      <c r="C407" s="38"/>
    </row>
    <row r="408" spans="3:3">
      <c r="C408" s="38"/>
    </row>
    <row r="409" spans="3:3">
      <c r="C409" s="38"/>
    </row>
    <row r="410" spans="3:3">
      <c r="C410" s="38"/>
    </row>
    <row r="411" spans="3:3">
      <c r="C411" s="38"/>
    </row>
    <row r="412" spans="3:3">
      <c r="C412" s="38"/>
    </row>
    <row r="413" spans="3:3">
      <c r="C413" s="38"/>
    </row>
    <row r="414" spans="3:3">
      <c r="C414" s="38"/>
    </row>
    <row r="415" spans="3:3">
      <c r="C415" s="38"/>
    </row>
    <row r="416" spans="3:3">
      <c r="C416" s="38"/>
    </row>
    <row r="417" spans="3:3">
      <c r="C417" s="38"/>
    </row>
    <row r="418" spans="3:3">
      <c r="C418" s="38"/>
    </row>
    <row r="419" spans="3:3">
      <c r="C419" s="38"/>
    </row>
    <row r="420" spans="3:3">
      <c r="C420" s="38"/>
    </row>
    <row r="421" spans="3:3">
      <c r="C421" s="38"/>
    </row>
    <row r="422" spans="3:3">
      <c r="C422" s="38"/>
    </row>
    <row r="423" spans="3:3">
      <c r="C423" s="38"/>
    </row>
    <row r="424" spans="3:3">
      <c r="C424" s="38"/>
    </row>
    <row r="425" spans="3:3">
      <c r="C425" s="38"/>
    </row>
    <row r="426" spans="3:3">
      <c r="C426" s="38"/>
    </row>
    <row r="427" spans="3:3">
      <c r="C427" s="38"/>
    </row>
    <row r="428" spans="3:3">
      <c r="C428" s="38"/>
    </row>
    <row r="429" spans="3:3">
      <c r="C429" s="38"/>
    </row>
    <row r="430" spans="3:3">
      <c r="C430" s="38"/>
    </row>
    <row r="431" spans="3:3">
      <c r="C431" s="38"/>
    </row>
    <row r="432" spans="3:3">
      <c r="C432" s="38"/>
    </row>
    <row r="433" spans="3:3">
      <c r="C433" s="38"/>
    </row>
    <row r="434" spans="3:3">
      <c r="C434" s="38"/>
    </row>
    <row r="435" spans="3:3">
      <c r="C435" s="38"/>
    </row>
    <row r="436" spans="3:3">
      <c r="C436" s="38"/>
    </row>
    <row r="437" spans="3:3">
      <c r="C437" s="38"/>
    </row>
    <row r="438" spans="3:3">
      <c r="C438" s="38"/>
    </row>
    <row r="439" spans="3:3">
      <c r="C439" s="38"/>
    </row>
    <row r="440" spans="3:3">
      <c r="C440" s="38"/>
    </row>
    <row r="441" spans="3:3">
      <c r="C441" s="38"/>
    </row>
    <row r="442" spans="3:3">
      <c r="C442" s="38"/>
    </row>
    <row r="443" spans="3:3">
      <c r="C443" s="38"/>
    </row>
    <row r="444" spans="3:3">
      <c r="C444" s="38"/>
    </row>
    <row r="445" spans="3:3">
      <c r="C445" s="38"/>
    </row>
    <row r="446" spans="3:3">
      <c r="C446" s="38"/>
    </row>
    <row r="447" spans="3:3">
      <c r="C447" s="38"/>
    </row>
    <row r="448" spans="3:3">
      <c r="C448" s="38"/>
    </row>
    <row r="449" spans="3:3">
      <c r="C449" s="38"/>
    </row>
    <row r="450" spans="3:3">
      <c r="C450" s="38"/>
    </row>
    <row r="451" spans="3:3">
      <c r="C451" s="38"/>
    </row>
    <row r="452" spans="3:3">
      <c r="C452" s="38"/>
    </row>
    <row r="453" spans="3:3">
      <c r="C453" s="38"/>
    </row>
    <row r="454" spans="3:3">
      <c r="C454" s="38"/>
    </row>
    <row r="455" spans="3:3">
      <c r="C455" s="38"/>
    </row>
    <row r="456" spans="3:3">
      <c r="C456" s="38"/>
    </row>
    <row r="457" spans="3:3">
      <c r="C457" s="38"/>
    </row>
    <row r="458" spans="3:3">
      <c r="C458" s="38"/>
    </row>
    <row r="459" spans="3:3">
      <c r="C459" s="38"/>
    </row>
    <row r="460" spans="3:3">
      <c r="C460" s="38"/>
    </row>
    <row r="461" spans="3:3">
      <c r="C461" s="38"/>
    </row>
    <row r="462" spans="3:3">
      <c r="C462" s="38"/>
    </row>
    <row r="463" spans="3:3">
      <c r="C463" s="38"/>
    </row>
    <row r="464" spans="3:3">
      <c r="C464" s="38"/>
    </row>
    <row r="465" spans="3:3">
      <c r="C465" s="38"/>
    </row>
    <row r="466" spans="3:3">
      <c r="C466" s="38"/>
    </row>
    <row r="467" spans="3:3">
      <c r="C467" s="38"/>
    </row>
    <row r="468" spans="3:3">
      <c r="C468" s="38"/>
    </row>
    <row r="469" spans="3:3">
      <c r="C469" s="38"/>
    </row>
    <row r="470" spans="3:3">
      <c r="C470" s="38"/>
    </row>
    <row r="471" spans="3:3">
      <c r="C471" s="38"/>
    </row>
    <row r="472" spans="3:3">
      <c r="C472" s="38"/>
    </row>
    <row r="473" spans="3:3">
      <c r="C473" s="38"/>
    </row>
    <row r="474" spans="3:3">
      <c r="C474" s="38"/>
    </row>
    <row r="475" spans="3:3">
      <c r="C475" s="38"/>
    </row>
    <row r="476" spans="3:3">
      <c r="C476" s="38"/>
    </row>
    <row r="477" spans="3:3">
      <c r="C477" s="38"/>
    </row>
    <row r="478" spans="3:3">
      <c r="C478" s="38"/>
    </row>
    <row r="479" spans="3:3">
      <c r="C479" s="38"/>
    </row>
    <row r="480" spans="3:3">
      <c r="C480" s="38"/>
    </row>
    <row r="481" spans="3:3">
      <c r="C481" s="38"/>
    </row>
    <row r="482" spans="3:3">
      <c r="C482" s="38"/>
    </row>
    <row r="483" spans="3:3">
      <c r="C483" s="38"/>
    </row>
    <row r="484" spans="3:3">
      <c r="C484" s="38"/>
    </row>
    <row r="485" spans="3:3">
      <c r="C485" s="38"/>
    </row>
    <row r="486" spans="3:3">
      <c r="C486" s="38"/>
    </row>
    <row r="487" spans="3:3">
      <c r="C487" s="38"/>
    </row>
    <row r="488" spans="3:3">
      <c r="C488" s="38"/>
    </row>
    <row r="489" spans="3:3">
      <c r="C489" s="38"/>
    </row>
    <row r="490" spans="3:3">
      <c r="C490" s="38"/>
    </row>
    <row r="491" spans="3:3">
      <c r="C491" s="38"/>
    </row>
    <row r="492" spans="3:3">
      <c r="C492" s="38"/>
    </row>
    <row r="493" spans="3:3">
      <c r="C493" s="38"/>
    </row>
    <row r="494" spans="3:3">
      <c r="C494" s="38"/>
    </row>
    <row r="495" spans="3:3">
      <c r="C495" s="38"/>
    </row>
    <row r="496" spans="3:3">
      <c r="C496" s="38"/>
    </row>
    <row r="497" spans="3:3">
      <c r="C497" s="38"/>
    </row>
    <row r="498" spans="3:3">
      <c r="C498" s="38"/>
    </row>
    <row r="499" spans="3:3">
      <c r="C499" s="38"/>
    </row>
    <row r="500" spans="3:3">
      <c r="C500" s="38"/>
    </row>
    <row r="501" spans="3:3">
      <c r="C501" s="38"/>
    </row>
    <row r="502" spans="3:3">
      <c r="C502" s="38"/>
    </row>
    <row r="503" spans="3:3">
      <c r="C503" s="38"/>
    </row>
    <row r="504" spans="3:3">
      <c r="C504" s="38"/>
    </row>
    <row r="505" spans="3:3">
      <c r="C505" s="38"/>
    </row>
    <row r="506" spans="3:3">
      <c r="C506" s="38"/>
    </row>
    <row r="507" spans="3:3">
      <c r="C507" s="38"/>
    </row>
    <row r="508" spans="3:3">
      <c r="C508" s="38"/>
    </row>
    <row r="509" spans="3:3">
      <c r="C509" s="38"/>
    </row>
    <row r="510" spans="3:3">
      <c r="C510" s="38"/>
    </row>
    <row r="511" spans="3:3">
      <c r="C511" s="38"/>
    </row>
    <row r="512" spans="3:3">
      <c r="C512" s="38"/>
    </row>
    <row r="513" spans="3:3">
      <c r="C513" s="38"/>
    </row>
    <row r="514" spans="3:3">
      <c r="C514" s="38"/>
    </row>
    <row r="515" spans="3:3">
      <c r="C515" s="38"/>
    </row>
    <row r="516" spans="3:3">
      <c r="C516" s="38"/>
    </row>
    <row r="517" spans="3:3">
      <c r="C517" s="38"/>
    </row>
    <row r="518" spans="3:3">
      <c r="C518" s="38"/>
    </row>
    <row r="519" spans="3:3">
      <c r="C519" s="38"/>
    </row>
    <row r="520" spans="3:3">
      <c r="C520" s="38"/>
    </row>
    <row r="521" spans="3:3">
      <c r="C521" s="38"/>
    </row>
    <row r="522" spans="3:3">
      <c r="C522" s="38"/>
    </row>
    <row r="523" spans="3:3">
      <c r="C523" s="38"/>
    </row>
    <row r="524" spans="3:3">
      <c r="C524" s="38"/>
    </row>
    <row r="525" spans="3:3">
      <c r="C525" s="38"/>
    </row>
    <row r="526" spans="3:3">
      <c r="C526" s="38"/>
    </row>
    <row r="527" spans="3:3">
      <c r="C527" s="38"/>
    </row>
    <row r="528" spans="3:3">
      <c r="C528" s="38"/>
    </row>
    <row r="529" spans="3:3">
      <c r="C529" s="38"/>
    </row>
    <row r="530" spans="3:3">
      <c r="C530" s="38"/>
    </row>
    <row r="531" spans="3:3">
      <c r="C531" s="38"/>
    </row>
    <row r="532" spans="3:3">
      <c r="C532" s="38"/>
    </row>
    <row r="533" spans="3:3">
      <c r="C533" s="38"/>
    </row>
    <row r="534" spans="3:3">
      <c r="C534" s="38"/>
    </row>
    <row r="535" spans="3:3">
      <c r="C535" s="38"/>
    </row>
    <row r="536" spans="3:3">
      <c r="C536" s="38"/>
    </row>
    <row r="537" spans="3:3">
      <c r="C537" s="38"/>
    </row>
    <row r="538" spans="3:3">
      <c r="C538" s="38"/>
    </row>
    <row r="539" spans="3:3">
      <c r="C539" s="38"/>
    </row>
    <row r="540" spans="3:3">
      <c r="C540" s="38"/>
    </row>
    <row r="541" spans="3:3">
      <c r="C541" s="38"/>
    </row>
    <row r="542" spans="3:3">
      <c r="C542" s="38"/>
    </row>
    <row r="543" spans="3:3">
      <c r="C543" s="38"/>
    </row>
    <row r="544" spans="3:3">
      <c r="C544" s="38"/>
    </row>
    <row r="545" spans="3:3">
      <c r="C545" s="38"/>
    </row>
    <row r="546" spans="3:3">
      <c r="C546" s="38"/>
    </row>
    <row r="547" spans="3:3">
      <c r="C547" s="38"/>
    </row>
    <row r="548" spans="3:3">
      <c r="C548" s="38"/>
    </row>
    <row r="549" spans="3:3">
      <c r="C549" s="38"/>
    </row>
    <row r="550" spans="3:3">
      <c r="C550" s="38"/>
    </row>
    <row r="551" spans="3:3">
      <c r="C551" s="38"/>
    </row>
    <row r="552" spans="3:3">
      <c r="C552" s="38"/>
    </row>
    <row r="553" spans="3:3">
      <c r="C553" s="38"/>
    </row>
    <row r="554" spans="3:3">
      <c r="C554" s="38"/>
    </row>
    <row r="555" spans="3:3">
      <c r="C555" s="38"/>
    </row>
    <row r="556" spans="3:3">
      <c r="C556" s="38"/>
    </row>
    <row r="557" spans="3:3">
      <c r="C557" s="38"/>
    </row>
    <row r="558" spans="3:3">
      <c r="C558" s="38"/>
    </row>
    <row r="559" spans="3:3">
      <c r="C559" s="38"/>
    </row>
    <row r="560" spans="3:3">
      <c r="C560" s="38"/>
    </row>
    <row r="561" spans="3:3">
      <c r="C561" s="38"/>
    </row>
    <row r="562" spans="3:3">
      <c r="C562" s="38"/>
    </row>
    <row r="563" spans="3:3">
      <c r="C563" s="38"/>
    </row>
    <row r="564" spans="3:3">
      <c r="C564" s="38"/>
    </row>
    <row r="565" spans="3:3">
      <c r="C565" s="38"/>
    </row>
    <row r="566" spans="3:3">
      <c r="C566" s="38"/>
    </row>
    <row r="567" spans="3:3">
      <c r="C567" s="38"/>
    </row>
    <row r="568" spans="3:3">
      <c r="C568" s="38"/>
    </row>
    <row r="569" spans="3:3">
      <c r="C569" s="38"/>
    </row>
    <row r="570" spans="3:3">
      <c r="C570" s="38"/>
    </row>
    <row r="571" spans="3:3">
      <c r="C571" s="38"/>
    </row>
    <row r="572" spans="3:3">
      <c r="C572" s="38"/>
    </row>
    <row r="573" spans="3:3">
      <c r="C573" s="38"/>
    </row>
    <row r="574" spans="3:3">
      <c r="C574" s="38"/>
    </row>
    <row r="575" spans="3:3">
      <c r="C575" s="38"/>
    </row>
    <row r="576" spans="3:3">
      <c r="C576" s="38"/>
    </row>
    <row r="577" spans="3:3">
      <c r="C577" s="38"/>
    </row>
    <row r="578" spans="3:3">
      <c r="C578" s="38"/>
    </row>
    <row r="579" spans="3:3">
      <c r="C579" s="38"/>
    </row>
    <row r="580" spans="3:3">
      <c r="C580" s="38"/>
    </row>
    <row r="581" spans="3:3">
      <c r="C581" s="38"/>
    </row>
    <row r="582" spans="3:3">
      <c r="C582" s="38"/>
    </row>
    <row r="583" spans="3:3">
      <c r="C583" s="38"/>
    </row>
    <row r="584" spans="3:3">
      <c r="C584" s="38"/>
    </row>
    <row r="585" spans="3:3">
      <c r="C585" s="38"/>
    </row>
    <row r="586" spans="3:3">
      <c r="C586" s="38"/>
    </row>
    <row r="587" spans="3:3">
      <c r="C587" s="38"/>
    </row>
    <row r="588" spans="3:3">
      <c r="C588" s="38"/>
    </row>
    <row r="589" spans="3:3">
      <c r="C589" s="38"/>
    </row>
    <row r="590" spans="3:3">
      <c r="C590" s="38"/>
    </row>
    <row r="591" spans="3:3">
      <c r="C591" s="38"/>
    </row>
    <row r="592" spans="3:3">
      <c r="C592" s="38"/>
    </row>
    <row r="593" spans="3:3">
      <c r="C593" s="38"/>
    </row>
    <row r="594" spans="3:3">
      <c r="C594" s="38"/>
    </row>
    <row r="595" spans="3:3">
      <c r="C595" s="38"/>
    </row>
    <row r="596" spans="3:3">
      <c r="C596" s="38"/>
    </row>
    <row r="597" spans="3:3">
      <c r="C597" s="38"/>
    </row>
    <row r="598" spans="3:3">
      <c r="C598" s="38"/>
    </row>
    <row r="599" spans="3:3">
      <c r="C599" s="38"/>
    </row>
    <row r="600" spans="3:3">
      <c r="C600" s="38"/>
    </row>
    <row r="601" spans="3:3">
      <c r="C601" s="38"/>
    </row>
    <row r="602" spans="3:3">
      <c r="C602" s="38"/>
    </row>
    <row r="603" spans="3:3">
      <c r="C603" s="38"/>
    </row>
    <row r="604" spans="3:3">
      <c r="C604" s="38"/>
    </row>
    <row r="605" spans="3:3">
      <c r="C605" s="38"/>
    </row>
    <row r="606" spans="3:3">
      <c r="C606" s="38"/>
    </row>
    <row r="607" spans="3:3">
      <c r="C607" s="38"/>
    </row>
    <row r="608" spans="3:3">
      <c r="C608" s="38"/>
    </row>
    <row r="609" spans="3:3">
      <c r="C609" s="38"/>
    </row>
    <row r="610" spans="3:3">
      <c r="C610" s="38"/>
    </row>
    <row r="611" spans="3:3">
      <c r="C611" s="38"/>
    </row>
    <row r="612" spans="3:3">
      <c r="C612" s="38"/>
    </row>
    <row r="613" spans="3:3">
      <c r="C613" s="38"/>
    </row>
    <row r="614" spans="3:3">
      <c r="C614" s="38"/>
    </row>
    <row r="615" spans="3:3">
      <c r="C615" s="38"/>
    </row>
    <row r="616" spans="3:3">
      <c r="C616" s="38"/>
    </row>
    <row r="617" spans="3:3">
      <c r="C617" s="38"/>
    </row>
    <row r="618" spans="3:3">
      <c r="C618" s="38"/>
    </row>
    <row r="619" spans="3:3">
      <c r="C619" s="38"/>
    </row>
    <row r="620" spans="3:3">
      <c r="C620" s="38"/>
    </row>
    <row r="621" spans="3:3">
      <c r="C621" s="38"/>
    </row>
    <row r="622" spans="3:3">
      <c r="C622" s="38"/>
    </row>
    <row r="623" spans="3:3">
      <c r="C623" s="38"/>
    </row>
    <row r="624" spans="3:3">
      <c r="C624" s="38"/>
    </row>
    <row r="625" spans="3:3">
      <c r="C625" s="38"/>
    </row>
    <row r="626" spans="3:3">
      <c r="C626" s="38"/>
    </row>
    <row r="627" spans="3:3">
      <c r="C627" s="38"/>
    </row>
    <row r="628" spans="3:3">
      <c r="C628" s="38"/>
    </row>
    <row r="629" spans="3:3">
      <c r="C629" s="38"/>
    </row>
    <row r="630" spans="3:3">
      <c r="C630" s="38"/>
    </row>
    <row r="631" spans="3:3">
      <c r="C631" s="38"/>
    </row>
    <row r="632" spans="3:3">
      <c r="C632" s="38"/>
    </row>
    <row r="633" spans="3:3">
      <c r="C633" s="38"/>
    </row>
    <row r="634" spans="3:3">
      <c r="C634" s="38"/>
    </row>
    <row r="635" spans="3:3">
      <c r="C635" s="38"/>
    </row>
    <row r="636" spans="3:3">
      <c r="C636" s="38"/>
    </row>
    <row r="637" spans="3:3">
      <c r="C637" s="38"/>
    </row>
    <row r="638" spans="3:3">
      <c r="C638" s="38"/>
    </row>
    <row r="639" spans="3:3">
      <c r="C639" s="38"/>
    </row>
    <row r="640" spans="3:3">
      <c r="C640" s="38"/>
    </row>
    <row r="641" spans="3:3">
      <c r="C641" s="38"/>
    </row>
    <row r="642" spans="3:3">
      <c r="C642" s="38"/>
    </row>
    <row r="643" spans="3:3">
      <c r="C643" s="38"/>
    </row>
    <row r="644" spans="3:3">
      <c r="C644" s="38"/>
    </row>
    <row r="645" spans="3:3">
      <c r="C645" s="38"/>
    </row>
    <row r="646" spans="3:3">
      <c r="C646" s="38"/>
    </row>
    <row r="647" spans="3:3">
      <c r="C647" s="38"/>
    </row>
    <row r="648" spans="3:3">
      <c r="C648" s="38"/>
    </row>
    <row r="649" spans="3:3">
      <c r="C649" s="38"/>
    </row>
    <row r="650" spans="3:3">
      <c r="C650" s="38"/>
    </row>
    <row r="651" spans="3:3">
      <c r="C651" s="38"/>
    </row>
    <row r="652" spans="3:3">
      <c r="C652" s="38"/>
    </row>
    <row r="653" spans="3:3">
      <c r="C653" s="38"/>
    </row>
    <row r="654" spans="3:3">
      <c r="C654" s="38"/>
    </row>
    <row r="655" spans="3:3">
      <c r="C655" s="38"/>
    </row>
    <row r="656" spans="3:3">
      <c r="C656" s="38"/>
    </row>
    <row r="657" spans="3:3">
      <c r="C657" s="38"/>
    </row>
    <row r="658" spans="3:3">
      <c r="C658" s="38"/>
    </row>
    <row r="659" spans="3:3">
      <c r="C659" s="38"/>
    </row>
    <row r="660" spans="3:3">
      <c r="C660" s="38"/>
    </row>
    <row r="661" spans="3:3">
      <c r="C661" s="38"/>
    </row>
    <row r="662" spans="3:3">
      <c r="C662" s="38"/>
    </row>
    <row r="663" spans="3:3">
      <c r="C663" s="38"/>
    </row>
    <row r="664" spans="3:3">
      <c r="C664" s="38"/>
    </row>
    <row r="665" spans="3:3">
      <c r="C665" s="38"/>
    </row>
    <row r="666" spans="3:3">
      <c r="C666" s="38"/>
    </row>
    <row r="667" spans="3:3">
      <c r="C667" s="38"/>
    </row>
    <row r="668" spans="3:3">
      <c r="C668" s="38"/>
    </row>
    <row r="669" spans="3:3">
      <c r="C669" s="38"/>
    </row>
    <row r="670" spans="3:3">
      <c r="C670" s="38"/>
    </row>
    <row r="671" spans="3:3">
      <c r="C671" s="38"/>
    </row>
    <row r="672" spans="3:3">
      <c r="C672" s="38"/>
    </row>
    <row r="673" spans="3:3">
      <c r="C673" s="38"/>
    </row>
    <row r="674" spans="3:3">
      <c r="C674" s="38"/>
    </row>
    <row r="675" spans="3:3">
      <c r="C675" s="38"/>
    </row>
    <row r="676" spans="3:3">
      <c r="C676" s="38"/>
    </row>
    <row r="677" spans="3:3">
      <c r="C677" s="38"/>
    </row>
    <row r="678" spans="3:3">
      <c r="C678" s="38"/>
    </row>
    <row r="679" spans="3:3">
      <c r="C679" s="38"/>
    </row>
    <row r="680" spans="3:3">
      <c r="C680" s="38"/>
    </row>
    <row r="681" spans="3:3">
      <c r="C681" s="38"/>
    </row>
    <row r="682" spans="3:3">
      <c r="C682" s="38"/>
    </row>
    <row r="683" spans="3:3">
      <c r="C683" s="38"/>
    </row>
    <row r="684" spans="3:3">
      <c r="C684" s="38"/>
    </row>
    <row r="685" spans="3:3">
      <c r="C685" s="38"/>
    </row>
    <row r="686" spans="3:3">
      <c r="C686" s="38"/>
    </row>
    <row r="687" spans="3:3">
      <c r="C687" s="38"/>
    </row>
    <row r="688" spans="3:3">
      <c r="C688" s="38"/>
    </row>
    <row r="689" spans="3:3">
      <c r="C689" s="38"/>
    </row>
    <row r="690" spans="3:3">
      <c r="C690" s="38"/>
    </row>
    <row r="691" spans="3:3">
      <c r="C691" s="38"/>
    </row>
    <row r="692" spans="3:3">
      <c r="C692" s="38"/>
    </row>
    <row r="693" spans="3:3">
      <c r="C693" s="38"/>
    </row>
    <row r="694" spans="3:3">
      <c r="C694" s="38"/>
    </row>
    <row r="695" spans="3:3">
      <c r="C695" s="38"/>
    </row>
    <row r="696" spans="3:3">
      <c r="C696" s="38"/>
    </row>
    <row r="697" spans="3:3">
      <c r="C697" s="38"/>
    </row>
    <row r="698" spans="3:3">
      <c r="C698" s="38"/>
    </row>
    <row r="699" spans="3:3">
      <c r="C699" s="38"/>
    </row>
    <row r="700" spans="3:3">
      <c r="C700" s="38"/>
    </row>
    <row r="701" spans="3:3">
      <c r="C701" s="38"/>
    </row>
    <row r="702" spans="3:3">
      <c r="C702" s="38"/>
    </row>
    <row r="703" spans="3:3">
      <c r="C703" s="38"/>
    </row>
    <row r="704" spans="3:3">
      <c r="C704" s="38"/>
    </row>
    <row r="705" spans="3:3">
      <c r="C705" s="38"/>
    </row>
    <row r="706" spans="3:3">
      <c r="C706" s="38"/>
    </row>
    <row r="707" spans="3:3">
      <c r="C707" s="38"/>
    </row>
    <row r="708" spans="3:3">
      <c r="C708" s="38"/>
    </row>
    <row r="709" spans="3:3">
      <c r="C709" s="38"/>
    </row>
    <row r="710" spans="3:3">
      <c r="C710" s="38"/>
    </row>
    <row r="711" spans="3:3">
      <c r="C711" s="38"/>
    </row>
    <row r="712" spans="3:3">
      <c r="C712" s="38"/>
    </row>
    <row r="713" spans="3:3">
      <c r="C713" s="38"/>
    </row>
    <row r="714" spans="3:3">
      <c r="C714" s="38"/>
    </row>
    <row r="715" spans="3:3">
      <c r="C715" s="38"/>
    </row>
    <row r="716" spans="3:3">
      <c r="C716" s="38"/>
    </row>
    <row r="717" spans="3:3">
      <c r="C717" s="38"/>
    </row>
    <row r="718" spans="3:3">
      <c r="C718" s="38"/>
    </row>
    <row r="719" spans="3:3">
      <c r="C719" s="38"/>
    </row>
    <row r="720" spans="3:3">
      <c r="C720" s="38"/>
    </row>
    <row r="721" spans="3:3">
      <c r="C721" s="38"/>
    </row>
    <row r="722" spans="3:3">
      <c r="C722" s="38"/>
    </row>
    <row r="723" spans="3:3">
      <c r="C723" s="38"/>
    </row>
    <row r="724" spans="3:3">
      <c r="C724" s="38"/>
    </row>
    <row r="725" spans="3:3">
      <c r="C725" s="38"/>
    </row>
    <row r="726" spans="3:3">
      <c r="C726" s="38"/>
    </row>
    <row r="727" spans="3:3">
      <c r="C727" s="38"/>
    </row>
    <row r="728" spans="3:3">
      <c r="C728" s="38"/>
    </row>
    <row r="729" spans="3:3">
      <c r="C729" s="38"/>
    </row>
    <row r="730" spans="3:3">
      <c r="C730" s="38"/>
    </row>
    <row r="731" spans="3:3">
      <c r="C731" s="38"/>
    </row>
    <row r="732" spans="3:3">
      <c r="C732" s="38"/>
    </row>
    <row r="733" spans="3:3">
      <c r="C733" s="38"/>
    </row>
    <row r="734" spans="3:3">
      <c r="C734" s="38"/>
    </row>
    <row r="735" spans="3:3">
      <c r="C735" s="38"/>
    </row>
    <row r="736" spans="3:3">
      <c r="C736" s="38"/>
    </row>
    <row r="737" spans="3:3">
      <c r="C737" s="38"/>
    </row>
    <row r="738" spans="3:3">
      <c r="C738" s="38"/>
    </row>
    <row r="739" spans="3:3">
      <c r="C739" s="38"/>
    </row>
    <row r="740" spans="3:3">
      <c r="C740" s="38"/>
    </row>
    <row r="741" spans="3:3">
      <c r="C741" s="38"/>
    </row>
    <row r="742" spans="3:3">
      <c r="C742" s="38"/>
    </row>
    <row r="743" spans="3:3">
      <c r="C743" s="38"/>
    </row>
    <row r="744" spans="3:3">
      <c r="C744" s="38"/>
    </row>
    <row r="745" spans="3:3">
      <c r="C745" s="38"/>
    </row>
    <row r="746" spans="3:3">
      <c r="C746" s="38"/>
    </row>
    <row r="747" spans="3:3">
      <c r="C747" s="38"/>
    </row>
    <row r="748" spans="3:3">
      <c r="C748" s="38"/>
    </row>
    <row r="749" spans="3:3">
      <c r="C749" s="38"/>
    </row>
    <row r="750" spans="3:3">
      <c r="C750" s="38"/>
    </row>
    <row r="751" spans="3:3">
      <c r="C751" s="38"/>
    </row>
    <row r="752" spans="3:3">
      <c r="C752" s="38"/>
    </row>
    <row r="753" spans="3:3">
      <c r="C753" s="38"/>
    </row>
    <row r="754" spans="3:3">
      <c r="C754" s="38"/>
    </row>
    <row r="755" spans="3:3">
      <c r="C755" s="38"/>
    </row>
    <row r="756" spans="3:3">
      <c r="C756" s="38"/>
    </row>
    <row r="757" spans="3:3">
      <c r="C757" s="38"/>
    </row>
    <row r="758" spans="3:3">
      <c r="C758" s="38"/>
    </row>
    <row r="759" spans="3:3">
      <c r="C759" s="38"/>
    </row>
    <row r="760" spans="3:3">
      <c r="C760" s="38"/>
    </row>
    <row r="761" spans="3:3">
      <c r="C761" s="38"/>
    </row>
    <row r="762" spans="3:3">
      <c r="C762" s="38"/>
    </row>
    <row r="763" spans="3:3">
      <c r="C763" s="38"/>
    </row>
    <row r="764" spans="3:3">
      <c r="C764" s="38"/>
    </row>
    <row r="765" spans="3:3">
      <c r="C765" s="38"/>
    </row>
    <row r="766" spans="3:3">
      <c r="C766" s="38"/>
    </row>
    <row r="767" spans="3:3">
      <c r="C767" s="38"/>
    </row>
    <row r="768" spans="3:3">
      <c r="C768" s="38"/>
    </row>
    <row r="769" spans="3:3">
      <c r="C769" s="38"/>
    </row>
    <row r="770" spans="3:3">
      <c r="C770" s="38"/>
    </row>
    <row r="771" spans="3:3">
      <c r="C771" s="38"/>
    </row>
    <row r="772" spans="3:3">
      <c r="C772" s="38"/>
    </row>
    <row r="773" spans="3:3">
      <c r="C773" s="38"/>
    </row>
    <row r="774" spans="3:3">
      <c r="C774" s="38"/>
    </row>
    <row r="775" spans="3:3">
      <c r="C775" s="38"/>
    </row>
    <row r="776" spans="3:3">
      <c r="C776" s="38"/>
    </row>
    <row r="777" spans="3:3">
      <c r="C777" s="38"/>
    </row>
    <row r="778" spans="3:3">
      <c r="C778" s="38"/>
    </row>
    <row r="779" spans="3:3">
      <c r="C779" s="38"/>
    </row>
    <row r="780" spans="3:3">
      <c r="C780" s="38"/>
    </row>
    <row r="781" spans="3:3">
      <c r="C781" s="38"/>
    </row>
    <row r="782" spans="3:3">
      <c r="C782" s="38"/>
    </row>
    <row r="783" spans="3:3">
      <c r="C783" s="38"/>
    </row>
    <row r="784" spans="3:3">
      <c r="C784" s="38"/>
    </row>
    <row r="785" spans="3:3">
      <c r="C785" s="38"/>
    </row>
    <row r="786" spans="3:3">
      <c r="C786" s="38"/>
    </row>
    <row r="787" spans="3:3">
      <c r="C787" s="38"/>
    </row>
    <row r="788" spans="3:3">
      <c r="C788" s="38"/>
    </row>
    <row r="789" spans="3:3">
      <c r="C789" s="38"/>
    </row>
    <row r="790" spans="3:3">
      <c r="C790" s="38"/>
    </row>
    <row r="791" spans="3:3">
      <c r="C791" s="38"/>
    </row>
    <row r="792" spans="3:3">
      <c r="C792" s="38"/>
    </row>
    <row r="793" spans="3:3">
      <c r="C793" s="38"/>
    </row>
    <row r="794" spans="3:3">
      <c r="C794" s="38"/>
    </row>
    <row r="795" spans="3:3">
      <c r="C795" s="38"/>
    </row>
    <row r="796" spans="3:3">
      <c r="C796" s="38"/>
    </row>
    <row r="797" spans="3:3">
      <c r="C797" s="38"/>
    </row>
    <row r="798" spans="3:3">
      <c r="C798" s="38"/>
    </row>
    <row r="799" spans="3:3">
      <c r="C799" s="38"/>
    </row>
    <row r="800" spans="3:3">
      <c r="C800" s="38"/>
    </row>
    <row r="801" spans="3:3">
      <c r="C801" s="38"/>
    </row>
    <row r="802" spans="3:3">
      <c r="C802" s="38"/>
    </row>
    <row r="803" spans="3:3">
      <c r="C803" s="38"/>
    </row>
    <row r="804" spans="3:3">
      <c r="C804" s="38"/>
    </row>
    <row r="805" spans="3:3">
      <c r="C805" s="38"/>
    </row>
    <row r="806" spans="3:3">
      <c r="C806" s="38"/>
    </row>
    <row r="807" spans="3:3">
      <c r="C807" s="38"/>
    </row>
    <row r="808" spans="3:3">
      <c r="C808" s="38"/>
    </row>
    <row r="809" spans="3:3">
      <c r="C809" s="38"/>
    </row>
    <row r="810" spans="3:3">
      <c r="C810" s="38"/>
    </row>
    <row r="811" spans="3:3">
      <c r="C811" s="38"/>
    </row>
    <row r="812" spans="3:3">
      <c r="C812" s="38"/>
    </row>
    <row r="813" spans="3:3">
      <c r="C813" s="38"/>
    </row>
    <row r="814" spans="3:3">
      <c r="C814" s="38"/>
    </row>
    <row r="815" spans="3:3">
      <c r="C815" s="38"/>
    </row>
    <row r="816" spans="3:3">
      <c r="C816" s="38"/>
    </row>
    <row r="817" spans="3:3">
      <c r="C817" s="38"/>
    </row>
    <row r="818" spans="3:3">
      <c r="C818" s="38"/>
    </row>
    <row r="819" spans="3:3">
      <c r="C819" s="38"/>
    </row>
    <row r="820" spans="3:3">
      <c r="C820" s="38"/>
    </row>
    <row r="821" spans="3:3">
      <c r="C821" s="38"/>
    </row>
    <row r="822" spans="3:3">
      <c r="C822" s="38"/>
    </row>
    <row r="823" spans="3:3">
      <c r="C823" s="38"/>
    </row>
    <row r="824" spans="3:3">
      <c r="C824" s="38"/>
    </row>
    <row r="825" spans="3:3">
      <c r="C825" s="38"/>
    </row>
    <row r="826" spans="3:3">
      <c r="C826" s="38"/>
    </row>
    <row r="827" spans="3:3">
      <c r="C827" s="38"/>
    </row>
    <row r="828" spans="3:3">
      <c r="C828" s="38"/>
    </row>
    <row r="829" spans="3:3">
      <c r="C829" s="38"/>
    </row>
    <row r="830" spans="3:3">
      <c r="C830" s="38"/>
    </row>
    <row r="831" spans="3:3">
      <c r="C831" s="38"/>
    </row>
    <row r="832" spans="3:3">
      <c r="C832" s="38"/>
    </row>
    <row r="833" spans="3:3">
      <c r="C833" s="38"/>
    </row>
    <row r="834" spans="3:3">
      <c r="C834" s="38"/>
    </row>
    <row r="835" spans="3:3">
      <c r="C835" s="38"/>
    </row>
    <row r="836" spans="3:3">
      <c r="C836" s="38"/>
    </row>
    <row r="837" spans="3:3">
      <c r="C837" s="38"/>
    </row>
    <row r="838" spans="3:3">
      <c r="C838" s="38"/>
    </row>
    <row r="839" spans="3:3">
      <c r="C839" s="38"/>
    </row>
    <row r="840" spans="3:3">
      <c r="C840" s="38"/>
    </row>
    <row r="841" spans="3:3">
      <c r="C841" s="38"/>
    </row>
    <row r="842" spans="3:3">
      <c r="C842" s="38"/>
    </row>
    <row r="843" spans="3:3">
      <c r="C843" s="38"/>
    </row>
    <row r="844" spans="3:3">
      <c r="C844" s="38"/>
    </row>
    <row r="845" spans="3:3">
      <c r="C845" s="38"/>
    </row>
    <row r="846" spans="3:3">
      <c r="C846" s="38"/>
    </row>
    <row r="847" spans="3:3">
      <c r="C847" s="38"/>
    </row>
    <row r="848" spans="3:3">
      <c r="C848" s="38"/>
    </row>
    <row r="849" spans="3:3">
      <c r="C849" s="38"/>
    </row>
    <row r="850" spans="3:3">
      <c r="C850" s="38"/>
    </row>
    <row r="851" spans="3:3">
      <c r="C851" s="38"/>
    </row>
    <row r="852" spans="3:3">
      <c r="C852" s="38"/>
    </row>
    <row r="853" spans="3:3">
      <c r="C853" s="38"/>
    </row>
    <row r="854" spans="3:3">
      <c r="C854" s="38"/>
    </row>
    <row r="855" spans="3:3">
      <c r="C855" s="38"/>
    </row>
    <row r="856" spans="3:3">
      <c r="C856" s="38"/>
    </row>
    <row r="857" spans="3:3">
      <c r="C857" s="38"/>
    </row>
    <row r="858" spans="3:3">
      <c r="C858" s="38"/>
    </row>
    <row r="859" spans="3:3">
      <c r="C859" s="38"/>
    </row>
    <row r="860" spans="3:3">
      <c r="C860" s="38"/>
    </row>
    <row r="861" spans="3:3">
      <c r="C861" s="38"/>
    </row>
    <row r="862" spans="3:3">
      <c r="C862" s="38"/>
    </row>
    <row r="863" spans="3:3">
      <c r="C863" s="38"/>
    </row>
    <row r="864" spans="3:3">
      <c r="C864" s="38"/>
    </row>
    <row r="865" spans="3:3">
      <c r="C865" s="38"/>
    </row>
    <row r="866" spans="3:3">
      <c r="C866" s="38"/>
    </row>
    <row r="867" spans="3:3">
      <c r="C867" s="38"/>
    </row>
    <row r="868" spans="3:3">
      <c r="C868" s="38"/>
    </row>
    <row r="869" spans="3:3">
      <c r="C869" s="38"/>
    </row>
    <row r="870" spans="3:3">
      <c r="C870" s="38"/>
    </row>
    <row r="871" spans="3:3">
      <c r="C871" s="38"/>
    </row>
    <row r="872" spans="3:3">
      <c r="C872" s="38"/>
    </row>
    <row r="873" spans="3:3">
      <c r="C873" s="38"/>
    </row>
    <row r="874" spans="3:3">
      <c r="C874" s="38"/>
    </row>
    <row r="875" spans="3:3">
      <c r="C875" s="38"/>
    </row>
    <row r="876" spans="3:3">
      <c r="C876" s="38"/>
    </row>
    <row r="877" spans="3:3">
      <c r="C877" s="38"/>
    </row>
    <row r="878" spans="3:3">
      <c r="C878" s="38"/>
    </row>
    <row r="879" spans="3:3">
      <c r="C879" s="38"/>
    </row>
    <row r="880" spans="3:3">
      <c r="C880" s="38"/>
    </row>
    <row r="881" spans="3:3">
      <c r="C881" s="38"/>
    </row>
    <row r="882" spans="3:3">
      <c r="C882" s="38"/>
    </row>
    <row r="883" spans="3:3">
      <c r="C883" s="38"/>
    </row>
    <row r="884" spans="3:3">
      <c r="C884" s="38"/>
    </row>
    <row r="885" spans="3:3">
      <c r="C885" s="38"/>
    </row>
    <row r="886" spans="3:3">
      <c r="C886" s="38"/>
    </row>
    <row r="887" spans="3:3">
      <c r="C887" s="38"/>
    </row>
    <row r="888" spans="3:3">
      <c r="C888" s="38"/>
    </row>
    <row r="889" spans="3:3">
      <c r="C889" s="38"/>
    </row>
    <row r="890" spans="3:3">
      <c r="C890" s="38"/>
    </row>
    <row r="891" spans="3:3">
      <c r="C891" s="38"/>
    </row>
    <row r="892" spans="3:3">
      <c r="C892" s="38"/>
    </row>
    <row r="893" spans="3:3">
      <c r="C893" s="38"/>
    </row>
    <row r="894" spans="3:3">
      <c r="C894" s="38"/>
    </row>
    <row r="895" spans="3:3">
      <c r="C895" s="38"/>
    </row>
    <row r="896" spans="3:3">
      <c r="C896" s="38"/>
    </row>
    <row r="897" spans="3:3">
      <c r="C897" s="38"/>
    </row>
    <row r="898" spans="3:3">
      <c r="C898" s="38"/>
    </row>
    <row r="899" spans="3:3">
      <c r="C899" s="38"/>
    </row>
    <row r="900" spans="3:3">
      <c r="C900" s="38"/>
    </row>
    <row r="901" spans="3:3">
      <c r="C901" s="38"/>
    </row>
    <row r="902" spans="3:3">
      <c r="C902" s="38"/>
    </row>
    <row r="903" spans="3:3">
      <c r="C903" s="38"/>
    </row>
    <row r="904" spans="3:3">
      <c r="C904" s="38"/>
    </row>
    <row r="905" spans="3:3">
      <c r="C905" s="38"/>
    </row>
    <row r="906" spans="3:3">
      <c r="C906" s="38"/>
    </row>
    <row r="907" spans="3:3">
      <c r="C907" s="38"/>
    </row>
    <row r="908" spans="3:3">
      <c r="C908" s="38"/>
    </row>
    <row r="909" spans="3:3">
      <c r="C909" s="38"/>
    </row>
    <row r="910" spans="3:3">
      <c r="C910" s="38"/>
    </row>
    <row r="911" spans="3:3">
      <c r="C911" s="38"/>
    </row>
    <row r="912" spans="3:3">
      <c r="C912" s="38"/>
    </row>
    <row r="913" spans="3:3">
      <c r="C913" s="38"/>
    </row>
    <row r="914" spans="3:3">
      <c r="C914" s="38"/>
    </row>
    <row r="915" spans="3:3">
      <c r="C915" s="38"/>
    </row>
    <row r="916" spans="3:3">
      <c r="C916" s="38"/>
    </row>
    <row r="917" spans="3:3">
      <c r="C917" s="38"/>
    </row>
    <row r="918" spans="3:3">
      <c r="C918" s="38"/>
    </row>
    <row r="919" spans="3:3">
      <c r="C919" s="38"/>
    </row>
    <row r="920" spans="3:3">
      <c r="C920" s="38"/>
    </row>
    <row r="921" spans="3:3">
      <c r="C921" s="38"/>
    </row>
    <row r="922" spans="3:3">
      <c r="C922" s="38"/>
    </row>
    <row r="923" spans="3:3">
      <c r="C923" s="38"/>
    </row>
    <row r="924" spans="3:3">
      <c r="C924" s="38"/>
    </row>
    <row r="925" spans="3:3">
      <c r="C925" s="38"/>
    </row>
    <row r="926" spans="3:3">
      <c r="C926" s="38"/>
    </row>
    <row r="927" spans="3:3">
      <c r="C927" s="38"/>
    </row>
    <row r="928" spans="3:3">
      <c r="C928" s="38"/>
    </row>
    <row r="929" spans="3:3">
      <c r="C929" s="38"/>
    </row>
    <row r="930" spans="3:3">
      <c r="C930" s="38"/>
    </row>
    <row r="931" spans="3:3">
      <c r="C931" s="38"/>
    </row>
    <row r="932" spans="3:3">
      <c r="C932" s="38"/>
    </row>
    <row r="933" spans="3:3">
      <c r="C933" s="38"/>
    </row>
    <row r="934" spans="3:3">
      <c r="C934" s="38"/>
    </row>
    <row r="935" spans="3:3">
      <c r="C935" s="38"/>
    </row>
    <row r="936" spans="3:3">
      <c r="C936" s="38"/>
    </row>
    <row r="937" spans="3:3">
      <c r="C937" s="38"/>
    </row>
    <row r="938" spans="3:3">
      <c r="C938" s="38"/>
    </row>
    <row r="939" spans="3:3">
      <c r="C939" s="38"/>
    </row>
    <row r="940" spans="3:3">
      <c r="C940" s="38"/>
    </row>
    <row r="941" spans="3:3">
      <c r="C941" s="38"/>
    </row>
    <row r="942" spans="3:3">
      <c r="C942" s="38"/>
    </row>
    <row r="943" spans="3:3">
      <c r="C943" s="38"/>
    </row>
    <row r="944" spans="3:3">
      <c r="C944" s="38"/>
    </row>
    <row r="945" spans="3:3">
      <c r="C945" s="38"/>
    </row>
    <row r="946" spans="3:3">
      <c r="C946" s="38"/>
    </row>
    <row r="947" spans="3:3">
      <c r="C947" s="38"/>
    </row>
    <row r="948" spans="3:3">
      <c r="C948" s="38"/>
    </row>
    <row r="949" spans="3:3">
      <c r="C949" s="38"/>
    </row>
    <row r="950" spans="3:3">
      <c r="C950" s="38"/>
    </row>
    <row r="951" spans="3:3">
      <c r="C951" s="38"/>
    </row>
    <row r="952" spans="3:3">
      <c r="C952" s="38"/>
    </row>
    <row r="953" spans="3:3">
      <c r="C953" s="38"/>
    </row>
    <row r="954" spans="3:3">
      <c r="C954" s="38"/>
    </row>
    <row r="955" spans="3:3">
      <c r="C955" s="38"/>
    </row>
    <row r="956" spans="3:3">
      <c r="C956" s="38"/>
    </row>
    <row r="957" spans="3:3">
      <c r="C957" s="38"/>
    </row>
    <row r="958" spans="3:3">
      <c r="C958" s="38"/>
    </row>
    <row r="959" spans="3:3">
      <c r="C959" s="38"/>
    </row>
    <row r="960" spans="3:3">
      <c r="C960" s="38"/>
    </row>
    <row r="961" spans="3:3">
      <c r="C961" s="38"/>
    </row>
    <row r="962" spans="3:3">
      <c r="C962" s="38"/>
    </row>
    <row r="963" spans="3:3">
      <c r="C963" s="38"/>
    </row>
    <row r="964" spans="3:3">
      <c r="C964" s="38"/>
    </row>
    <row r="965" spans="3:3">
      <c r="C965" s="38"/>
    </row>
    <row r="966" spans="3:3">
      <c r="C966" s="38"/>
    </row>
    <row r="967" spans="3:3">
      <c r="C967" s="38"/>
    </row>
    <row r="968" spans="3:3">
      <c r="C968" s="38"/>
    </row>
    <row r="969" spans="3:3">
      <c r="C969" s="38"/>
    </row>
    <row r="970" spans="3:3">
      <c r="C970" s="38"/>
    </row>
    <row r="971" spans="3:3">
      <c r="C971" s="38"/>
    </row>
    <row r="972" spans="3:3">
      <c r="C972" s="38"/>
    </row>
    <row r="973" spans="3:3">
      <c r="C973" s="38"/>
    </row>
    <row r="974" spans="3:3">
      <c r="C974" s="38"/>
    </row>
    <row r="975" spans="3:3">
      <c r="C975" s="38"/>
    </row>
    <row r="976" spans="3:3">
      <c r="C976" s="38"/>
    </row>
    <row r="977" spans="3:3">
      <c r="C977" s="38"/>
    </row>
    <row r="978" spans="3:3">
      <c r="C978" s="38"/>
    </row>
    <row r="979" spans="3:3">
      <c r="C979" s="38"/>
    </row>
    <row r="980" spans="3:3">
      <c r="C980" s="38"/>
    </row>
    <row r="981" spans="3:3">
      <c r="C981" s="38"/>
    </row>
    <row r="982" spans="3:3">
      <c r="C982" s="38"/>
    </row>
    <row r="983" spans="3:3">
      <c r="C983" s="38"/>
    </row>
    <row r="984" spans="3:3">
      <c r="C984" s="38"/>
    </row>
    <row r="985" spans="3:3">
      <c r="C985" s="38"/>
    </row>
    <row r="986" spans="3:3">
      <c r="C986" s="38"/>
    </row>
    <row r="987" spans="3:3">
      <c r="C987" s="38"/>
    </row>
    <row r="988" spans="3:3">
      <c r="C988" s="38"/>
    </row>
    <row r="989" spans="3:3">
      <c r="C989" s="38"/>
    </row>
    <row r="990" spans="3:3">
      <c r="C990" s="38"/>
    </row>
    <row r="991" spans="3:3">
      <c r="C991" s="38"/>
    </row>
    <row r="992" spans="3:3">
      <c r="C992" s="38"/>
    </row>
    <row r="993" spans="3:3">
      <c r="C993" s="38"/>
    </row>
    <row r="994" spans="3:3">
      <c r="C994" s="38"/>
    </row>
    <row r="995" spans="3:3">
      <c r="C995" s="38"/>
    </row>
    <row r="996" spans="3:3">
      <c r="C996" s="38"/>
    </row>
    <row r="997" spans="3:3">
      <c r="C997" s="38"/>
    </row>
    <row r="998" spans="3:3">
      <c r="C998" s="38"/>
    </row>
    <row r="999" spans="3:3">
      <c r="C999" s="38"/>
    </row>
    <row r="1000" spans="3:3">
      <c r="C1000" s="38"/>
    </row>
    <row r="1001" spans="3:3">
      <c r="C1001" s="38"/>
    </row>
    <row r="1002" spans="3:3">
      <c r="C1002" s="38"/>
    </row>
    <row r="1003" spans="3:3">
      <c r="C1003" s="38"/>
    </row>
    <row r="1004" spans="3:3">
      <c r="C1004" s="38"/>
    </row>
    <row r="1005" spans="3:3">
      <c r="C1005" s="38"/>
    </row>
    <row r="1006" spans="3:3">
      <c r="C1006" s="38"/>
    </row>
    <row r="1007" spans="3:3">
      <c r="C1007" s="38"/>
    </row>
    <row r="1008" spans="3:3">
      <c r="C1008" s="38"/>
    </row>
    <row r="1009" spans="3:3">
      <c r="C1009" s="38"/>
    </row>
    <row r="1010" spans="3:3">
      <c r="C1010" s="38"/>
    </row>
    <row r="1011" spans="3:3">
      <c r="C1011" s="38"/>
    </row>
    <row r="1012" spans="3:3">
      <c r="C1012" s="38"/>
    </row>
    <row r="1013" spans="3:3">
      <c r="C1013" s="38"/>
    </row>
    <row r="1014" spans="3:3">
      <c r="C1014" s="38"/>
    </row>
    <row r="1015" spans="3:3">
      <c r="C1015" s="38"/>
    </row>
    <row r="1016" spans="3:3">
      <c r="C1016" s="38"/>
    </row>
    <row r="1017" spans="3:3">
      <c r="C1017" s="38"/>
    </row>
    <row r="1018" spans="3:3">
      <c r="C1018" s="38"/>
    </row>
    <row r="1019" spans="3:3">
      <c r="C1019" s="38"/>
    </row>
    <row r="1020" spans="3:3">
      <c r="C1020" s="38"/>
    </row>
    <row r="1021" spans="3:3">
      <c r="C1021" s="38"/>
    </row>
    <row r="1022" spans="3:3">
      <c r="C1022" s="38"/>
    </row>
    <row r="1023" spans="3:3">
      <c r="C1023" s="38"/>
    </row>
    <row r="1024" spans="3:3">
      <c r="C1024" s="38"/>
    </row>
    <row r="1025" spans="3:3">
      <c r="C1025" s="38"/>
    </row>
    <row r="1026" spans="3:3">
      <c r="C1026" s="38"/>
    </row>
    <row r="1027" spans="3:3">
      <c r="C1027" s="38"/>
    </row>
    <row r="1028" spans="3:3">
      <c r="C1028" s="38"/>
    </row>
    <row r="1029" spans="3:3">
      <c r="C1029" s="38"/>
    </row>
    <row r="1030" spans="3:3">
      <c r="C1030" s="38"/>
    </row>
    <row r="1031" spans="3:3">
      <c r="C1031" s="38"/>
    </row>
    <row r="1032" spans="3:3">
      <c r="C1032" s="38"/>
    </row>
    <row r="1033" spans="3:3">
      <c r="C1033" s="38"/>
    </row>
    <row r="1034" spans="3:3">
      <c r="C1034" s="38"/>
    </row>
    <row r="1035" spans="3:3">
      <c r="C1035" s="38"/>
    </row>
    <row r="1036" spans="3:3">
      <c r="C1036" s="38"/>
    </row>
    <row r="1037" spans="3:3">
      <c r="C1037" s="38"/>
    </row>
    <row r="1038" spans="3:3">
      <c r="C1038" s="38"/>
    </row>
    <row r="1039" spans="3:3">
      <c r="C1039" s="38"/>
    </row>
    <row r="1040" spans="3:3">
      <c r="C1040" s="38"/>
    </row>
    <row r="1041" spans="3:3">
      <c r="C1041" s="38"/>
    </row>
    <row r="1042" spans="3:3">
      <c r="C1042" s="38"/>
    </row>
    <row r="1043" spans="3:3">
      <c r="C1043" s="38"/>
    </row>
    <row r="1044" spans="3:3">
      <c r="C1044" s="38"/>
    </row>
    <row r="1045" spans="3:3">
      <c r="C1045" s="38"/>
    </row>
    <row r="1046" spans="3:3">
      <c r="C1046" s="38"/>
    </row>
    <row r="1047" spans="3:3">
      <c r="C1047" s="38"/>
    </row>
    <row r="1048" spans="3:3">
      <c r="C1048" s="38"/>
    </row>
    <row r="1049" spans="3:3">
      <c r="C1049" s="38"/>
    </row>
    <row r="1050" spans="3:3">
      <c r="C1050" s="38"/>
    </row>
    <row r="1051" spans="3:3">
      <c r="C1051" s="38"/>
    </row>
    <row r="1052" spans="3:3">
      <c r="C1052" s="38"/>
    </row>
    <row r="1053" spans="3:3">
      <c r="C1053" s="38"/>
    </row>
    <row r="1054" spans="3:3">
      <c r="C1054" s="38"/>
    </row>
    <row r="1055" spans="3:3">
      <c r="C1055" s="38"/>
    </row>
    <row r="1056" spans="3:3">
      <c r="C1056" s="38"/>
    </row>
    <row r="1057" spans="3:3">
      <c r="C1057" s="38"/>
    </row>
    <row r="1058" spans="3:3">
      <c r="C1058" s="38"/>
    </row>
    <row r="1059" spans="3:3">
      <c r="C1059" s="38"/>
    </row>
    <row r="1060" spans="3:3">
      <c r="C1060" s="38"/>
    </row>
    <row r="1061" spans="3:3">
      <c r="C1061" s="38"/>
    </row>
    <row r="1062" spans="3:3">
      <c r="C1062" s="38"/>
    </row>
    <row r="1063" spans="3:3">
      <c r="C1063" s="38"/>
    </row>
    <row r="1064" spans="3:3">
      <c r="C1064" s="38"/>
    </row>
    <row r="1065" spans="3:3">
      <c r="C1065" s="38"/>
    </row>
    <row r="1066" spans="3:3">
      <c r="C1066" s="38"/>
    </row>
    <row r="1067" spans="3:3">
      <c r="C1067" s="38"/>
    </row>
    <row r="1068" spans="3:3">
      <c r="C1068" s="38"/>
    </row>
    <row r="1069" spans="3:3">
      <c r="C1069" s="38"/>
    </row>
    <row r="1070" spans="3:3">
      <c r="C1070" s="38"/>
    </row>
    <row r="1071" spans="3:3">
      <c r="C1071" s="38"/>
    </row>
    <row r="1072" spans="3:3">
      <c r="C1072" s="38"/>
    </row>
    <row r="1073" spans="3:3">
      <c r="C1073" s="38"/>
    </row>
    <row r="1074" spans="3:3">
      <c r="C1074" s="38"/>
    </row>
    <row r="1075" spans="3:3">
      <c r="C1075" s="38"/>
    </row>
    <row r="1076" spans="3:3">
      <c r="C1076" s="38"/>
    </row>
    <row r="1077" spans="3:3">
      <c r="C1077" s="38"/>
    </row>
    <row r="1078" spans="3:3">
      <c r="C1078" s="38"/>
    </row>
    <row r="1079" spans="3:3">
      <c r="C1079" s="38"/>
    </row>
    <row r="1080" spans="3:3">
      <c r="C1080" s="38"/>
    </row>
    <row r="1081" spans="3:3">
      <c r="C1081" s="38"/>
    </row>
    <row r="1082" spans="3:3">
      <c r="C1082" s="38"/>
    </row>
    <row r="1083" spans="3:3">
      <c r="C1083" s="38"/>
    </row>
    <row r="1084" spans="3:3">
      <c r="C1084" s="38"/>
    </row>
    <row r="1085" spans="3:3">
      <c r="C1085" s="38"/>
    </row>
    <row r="1086" spans="3:3">
      <c r="C1086" s="38"/>
    </row>
    <row r="1087" spans="3:3">
      <c r="C1087" s="38"/>
    </row>
    <row r="1088" spans="3:3">
      <c r="C1088" s="38"/>
    </row>
    <row r="1089" spans="3:3">
      <c r="C1089" s="38"/>
    </row>
    <row r="1090" spans="3:3">
      <c r="C1090" s="38"/>
    </row>
    <row r="1091" spans="3:3">
      <c r="C1091" s="38"/>
    </row>
    <row r="1092" spans="3:3">
      <c r="C1092" s="38"/>
    </row>
    <row r="1093" spans="3:3">
      <c r="C1093" s="38"/>
    </row>
    <row r="1094" spans="3:3">
      <c r="C1094" s="38"/>
    </row>
    <row r="1095" spans="3:3">
      <c r="C1095" s="38"/>
    </row>
    <row r="1096" spans="3:3">
      <c r="C1096" s="38"/>
    </row>
    <row r="1097" spans="3:3">
      <c r="C1097" s="38"/>
    </row>
    <row r="1098" spans="3:3">
      <c r="C1098" s="38"/>
    </row>
    <row r="1099" spans="3:3">
      <c r="C1099" s="38"/>
    </row>
    <row r="1100" spans="3:3">
      <c r="C1100" s="38"/>
    </row>
    <row r="1101" spans="3:3">
      <c r="C1101" s="38"/>
    </row>
    <row r="1102" spans="3:3">
      <c r="C1102" s="38"/>
    </row>
    <row r="1103" spans="3:3">
      <c r="C1103" s="38"/>
    </row>
    <row r="1104" spans="3:3">
      <c r="C1104" s="38"/>
    </row>
    <row r="1105" spans="3:3">
      <c r="C1105" s="38"/>
    </row>
    <row r="1106" spans="3:3">
      <c r="C1106" s="38"/>
    </row>
    <row r="1107" spans="3:3">
      <c r="C1107" s="38"/>
    </row>
    <row r="1108" spans="3:3">
      <c r="C1108" s="38"/>
    </row>
    <row r="1109" spans="3:3">
      <c r="C1109" s="38"/>
    </row>
    <row r="1110" spans="3:3">
      <c r="C1110" s="38"/>
    </row>
    <row r="1111" spans="3:3">
      <c r="C1111" s="38"/>
    </row>
    <row r="1112" spans="3:3">
      <c r="C1112" s="38"/>
    </row>
    <row r="1113" spans="3:3">
      <c r="C1113" s="38"/>
    </row>
    <row r="1114" spans="3:3">
      <c r="C1114" s="38"/>
    </row>
    <row r="1115" spans="3:3">
      <c r="C1115" s="38"/>
    </row>
    <row r="1116" spans="3:3">
      <c r="C1116" s="38"/>
    </row>
    <row r="1117" spans="3:3">
      <c r="C1117" s="38"/>
    </row>
    <row r="1118" spans="3:3">
      <c r="C1118" s="38"/>
    </row>
    <row r="1119" spans="3:3">
      <c r="C1119" s="38"/>
    </row>
    <row r="1120" spans="3:3">
      <c r="C1120" s="38"/>
    </row>
    <row r="1121" spans="3:3">
      <c r="C1121" s="38"/>
    </row>
    <row r="1122" spans="3:3">
      <c r="C1122" s="38"/>
    </row>
    <row r="1123" spans="3:3">
      <c r="C1123" s="38"/>
    </row>
    <row r="1124" spans="3:3">
      <c r="C1124" s="38"/>
    </row>
    <row r="1125" spans="3:3">
      <c r="C1125" s="38"/>
    </row>
    <row r="1126" spans="3:3">
      <c r="C1126" s="38"/>
    </row>
    <row r="1127" spans="3:3">
      <c r="C1127" s="38"/>
    </row>
    <row r="1128" spans="3:3">
      <c r="C1128" s="38"/>
    </row>
    <row r="1129" spans="3:3">
      <c r="C1129" s="38"/>
    </row>
    <row r="1130" spans="3:3">
      <c r="C1130" s="38"/>
    </row>
    <row r="1131" spans="3:3">
      <c r="C1131" s="38"/>
    </row>
    <row r="1132" spans="3:3">
      <c r="C1132" s="38"/>
    </row>
    <row r="1133" spans="3:3">
      <c r="C1133" s="38"/>
    </row>
    <row r="1134" spans="3:3">
      <c r="C1134" s="38"/>
    </row>
    <row r="1135" spans="3:3">
      <c r="C1135" s="38"/>
    </row>
    <row r="1136" spans="3:3">
      <c r="C1136" s="38"/>
    </row>
    <row r="1137" spans="3:3">
      <c r="C1137" s="38"/>
    </row>
    <row r="1138" spans="3:3">
      <c r="C1138" s="38"/>
    </row>
    <row r="1139" spans="3:3">
      <c r="C1139" s="38"/>
    </row>
    <row r="1140" spans="3:3">
      <c r="C1140" s="38"/>
    </row>
    <row r="1141" spans="3:3">
      <c r="C1141" s="38"/>
    </row>
    <row r="1142" spans="3:3">
      <c r="C1142" s="38"/>
    </row>
    <row r="1143" spans="3:3">
      <c r="C1143" s="38"/>
    </row>
    <row r="1144" spans="3:3">
      <c r="C1144" s="38"/>
    </row>
    <row r="1145" spans="3:3">
      <c r="C1145" s="38"/>
    </row>
    <row r="1146" spans="3:3">
      <c r="C1146" s="38"/>
    </row>
    <row r="1147" spans="3:3">
      <c r="C1147" s="38"/>
    </row>
    <row r="1148" spans="3:3">
      <c r="C1148" s="38"/>
    </row>
    <row r="1149" spans="3:3">
      <c r="C1149" s="38"/>
    </row>
    <row r="1150" spans="3:3">
      <c r="C1150" s="38"/>
    </row>
    <row r="1151" spans="3:3">
      <c r="C1151" s="38"/>
    </row>
    <row r="1152" spans="3:3">
      <c r="C1152" s="38"/>
    </row>
    <row r="1153" spans="3:3">
      <c r="C1153" s="38"/>
    </row>
    <row r="1154" spans="3:3">
      <c r="C1154" s="38"/>
    </row>
    <row r="1155" spans="3:3">
      <c r="C1155" s="38"/>
    </row>
    <row r="1156" spans="3:3">
      <c r="C1156" s="38"/>
    </row>
    <row r="1157" spans="3:3">
      <c r="C1157" s="38"/>
    </row>
    <row r="1158" spans="3:3">
      <c r="C1158" s="38"/>
    </row>
    <row r="1159" spans="3:3">
      <c r="C1159" s="38"/>
    </row>
    <row r="1160" spans="3:3">
      <c r="C1160" s="38"/>
    </row>
    <row r="1161" spans="3:3">
      <c r="C1161" s="38"/>
    </row>
    <row r="1162" spans="3:3">
      <c r="C1162" s="38"/>
    </row>
    <row r="1163" spans="3:3">
      <c r="C1163" s="38"/>
    </row>
    <row r="1164" spans="3:3">
      <c r="C1164" s="38"/>
    </row>
    <row r="1165" spans="3:3">
      <c r="C1165" s="38"/>
    </row>
    <row r="1166" spans="3:3">
      <c r="C1166" s="38"/>
    </row>
    <row r="1167" spans="3:3">
      <c r="C1167" s="38"/>
    </row>
    <row r="1168" spans="3:3">
      <c r="C1168" s="38"/>
    </row>
    <row r="1169" spans="3:3">
      <c r="C1169" s="38"/>
    </row>
    <row r="1170" spans="3:3">
      <c r="C1170" s="38"/>
    </row>
    <row r="1171" spans="3:3">
      <c r="C1171" s="38"/>
    </row>
    <row r="1172" spans="3:3">
      <c r="C1172" s="38"/>
    </row>
    <row r="1173" spans="3:3">
      <c r="C1173" s="38"/>
    </row>
    <row r="1174" spans="3:3">
      <c r="C1174" s="38"/>
    </row>
    <row r="1175" spans="3:3">
      <c r="C1175" s="38"/>
    </row>
    <row r="1176" spans="3:3">
      <c r="C1176" s="38"/>
    </row>
    <row r="1177" spans="3:3">
      <c r="C1177" s="38"/>
    </row>
    <row r="1178" spans="3:3">
      <c r="C1178" s="38"/>
    </row>
    <row r="1179" spans="3:3">
      <c r="C1179" s="38"/>
    </row>
    <row r="1180" spans="3:3">
      <c r="C1180" s="38"/>
    </row>
    <row r="1181" spans="3:3">
      <c r="C1181" s="38"/>
    </row>
    <row r="1182" spans="3:3">
      <c r="C1182" s="38"/>
    </row>
    <row r="1183" spans="3:3">
      <c r="C1183" s="38"/>
    </row>
    <row r="1184" spans="3:3">
      <c r="C1184" s="38"/>
    </row>
    <row r="1185" spans="3:3">
      <c r="C1185" s="38"/>
    </row>
    <row r="1186" spans="3:3">
      <c r="C1186" s="38"/>
    </row>
    <row r="1187" spans="3:3">
      <c r="C1187" s="38"/>
    </row>
    <row r="1188" spans="3:3">
      <c r="C1188" s="38"/>
    </row>
    <row r="1189" spans="3:3">
      <c r="C1189" s="38"/>
    </row>
    <row r="1190" spans="3:3">
      <c r="C1190" s="38"/>
    </row>
    <row r="1191" spans="3:3">
      <c r="C1191" s="38"/>
    </row>
    <row r="1192" spans="3:3">
      <c r="C1192" s="38"/>
    </row>
    <row r="1193" spans="3:3">
      <c r="C1193" s="38"/>
    </row>
    <row r="1194" spans="3:3">
      <c r="C1194" s="38"/>
    </row>
    <row r="1195" spans="3:3">
      <c r="C1195" s="38"/>
    </row>
    <row r="1196" spans="3:3">
      <c r="C1196" s="38"/>
    </row>
    <row r="1197" spans="3:3">
      <c r="C1197" s="38"/>
    </row>
    <row r="1198" spans="3:3">
      <c r="C1198" s="38"/>
    </row>
    <row r="1199" spans="3:3">
      <c r="C1199" s="38"/>
    </row>
    <row r="1200" spans="3:3">
      <c r="C1200" s="38"/>
    </row>
    <row r="1201" spans="3:3">
      <c r="C1201" s="38"/>
    </row>
    <row r="1202" spans="3:3">
      <c r="C1202" s="38"/>
    </row>
    <row r="1203" spans="3:3">
      <c r="C1203" s="38"/>
    </row>
    <row r="1204" spans="3:3">
      <c r="C1204" s="38"/>
    </row>
    <row r="1205" spans="3:3">
      <c r="C1205" s="38"/>
    </row>
    <row r="1206" spans="3:3">
      <c r="C1206" s="38"/>
    </row>
    <row r="1207" spans="3:3">
      <c r="C1207" s="38"/>
    </row>
    <row r="1208" spans="3:3">
      <c r="C1208" s="38"/>
    </row>
    <row r="1209" spans="3:3">
      <c r="C1209" s="38"/>
    </row>
    <row r="1210" spans="3:3">
      <c r="C1210" s="38"/>
    </row>
    <row r="1211" spans="3:3">
      <c r="C1211" s="38"/>
    </row>
    <row r="1212" spans="3:3">
      <c r="C1212" s="38"/>
    </row>
    <row r="1213" spans="3:3">
      <c r="C1213" s="38"/>
    </row>
    <row r="1214" spans="3:3">
      <c r="C1214" s="38"/>
    </row>
    <row r="1215" spans="3:3">
      <c r="C1215" s="38"/>
    </row>
    <row r="1216" spans="3:3">
      <c r="C1216" s="38"/>
    </row>
    <row r="1217" spans="3:3">
      <c r="C1217" s="38"/>
    </row>
    <row r="1218" spans="3:3">
      <c r="C1218" s="38"/>
    </row>
    <row r="1219" spans="3:3">
      <c r="C1219" s="38"/>
    </row>
    <row r="1220" spans="3:3">
      <c r="C1220" s="38"/>
    </row>
    <row r="1221" spans="3:3">
      <c r="C1221" s="38"/>
    </row>
    <row r="1222" spans="3:3">
      <c r="C1222" s="38"/>
    </row>
    <row r="1223" spans="3:3">
      <c r="C1223" s="38"/>
    </row>
    <row r="1224" spans="3:3">
      <c r="C1224" s="38"/>
    </row>
    <row r="1225" spans="3:3">
      <c r="C1225" s="38"/>
    </row>
    <row r="1226" spans="3:3">
      <c r="C1226" s="38"/>
    </row>
    <row r="1227" spans="3:3">
      <c r="C1227" s="38"/>
    </row>
    <row r="1228" spans="3:3">
      <c r="C1228" s="38"/>
    </row>
    <row r="1229" spans="3:3">
      <c r="C1229" s="38"/>
    </row>
    <row r="1230" spans="3:3">
      <c r="C1230" s="38"/>
    </row>
    <row r="1231" spans="3:3">
      <c r="C1231" s="38"/>
    </row>
    <row r="1232" spans="3:3">
      <c r="C1232" s="38"/>
    </row>
    <row r="1233" spans="3:3">
      <c r="C1233" s="38"/>
    </row>
    <row r="1234" spans="3:3">
      <c r="C1234" s="38"/>
    </row>
    <row r="1235" spans="3:3">
      <c r="C1235" s="38"/>
    </row>
    <row r="1236" spans="3:3">
      <c r="C1236" s="38"/>
    </row>
    <row r="1237" spans="3:3">
      <c r="C1237" s="38"/>
    </row>
    <row r="1238" spans="3:3">
      <c r="C1238" s="38"/>
    </row>
    <row r="1239" spans="3:3">
      <c r="C1239" s="38"/>
    </row>
    <row r="1240" spans="3:3">
      <c r="C1240" s="38"/>
    </row>
    <row r="1241" spans="3:3">
      <c r="C1241" s="38"/>
    </row>
    <row r="1242" spans="3:3">
      <c r="C1242" s="38"/>
    </row>
    <row r="1243" spans="3:3">
      <c r="C1243" s="38"/>
    </row>
    <row r="1244" spans="3:3">
      <c r="C1244" s="38"/>
    </row>
    <row r="1245" spans="3:3">
      <c r="C1245" s="38"/>
    </row>
    <row r="1246" spans="3:3">
      <c r="C1246" s="38"/>
    </row>
    <row r="1247" spans="3:3">
      <c r="C1247" s="38"/>
    </row>
    <row r="1248" spans="3:3">
      <c r="C1248" s="38"/>
    </row>
    <row r="1249" spans="3:3">
      <c r="C1249" s="38"/>
    </row>
    <row r="1250" spans="3:3">
      <c r="C1250" s="38"/>
    </row>
    <row r="1251" spans="3:3">
      <c r="C1251" s="38"/>
    </row>
    <row r="1252" spans="3:3">
      <c r="C1252" s="38"/>
    </row>
    <row r="1253" spans="3:3">
      <c r="C1253" s="38"/>
    </row>
    <row r="1254" spans="3:3">
      <c r="C1254" s="38"/>
    </row>
    <row r="1255" spans="3:3">
      <c r="C1255" s="38"/>
    </row>
    <row r="1256" spans="3:3">
      <c r="C1256" s="38"/>
    </row>
    <row r="1257" spans="3:3">
      <c r="C1257" s="38"/>
    </row>
    <row r="1258" spans="3:3">
      <c r="C1258" s="38"/>
    </row>
    <row r="1259" spans="3:3">
      <c r="C1259" s="38"/>
    </row>
    <row r="1260" spans="3:3">
      <c r="C1260" s="38"/>
    </row>
    <row r="1261" spans="3:3">
      <c r="C1261" s="38"/>
    </row>
    <row r="1262" spans="3:3">
      <c r="C1262" s="38"/>
    </row>
    <row r="1263" spans="3:3">
      <c r="C1263" s="38"/>
    </row>
    <row r="1264" spans="3:3">
      <c r="C1264" s="38"/>
    </row>
    <row r="1265" spans="3:3">
      <c r="C1265" s="38"/>
    </row>
    <row r="1266" spans="3:3">
      <c r="C1266" s="38"/>
    </row>
    <row r="1267" spans="3:3">
      <c r="C1267" s="38"/>
    </row>
    <row r="1268" spans="3:3">
      <c r="C1268" s="38"/>
    </row>
    <row r="1269" spans="3:3">
      <c r="C1269" s="38"/>
    </row>
    <row r="1270" spans="3:3">
      <c r="C1270" s="38"/>
    </row>
    <row r="1271" spans="3:3">
      <c r="C1271" s="38"/>
    </row>
    <row r="1272" spans="3:3">
      <c r="C1272" s="38"/>
    </row>
    <row r="1273" spans="3:3">
      <c r="C1273" s="38"/>
    </row>
    <row r="1274" spans="3:3">
      <c r="C1274" s="38"/>
    </row>
    <row r="1275" spans="3:3">
      <c r="C1275" s="38"/>
    </row>
    <row r="1276" spans="3:3">
      <c r="C1276" s="38"/>
    </row>
    <row r="1277" spans="3:3">
      <c r="C1277" s="38"/>
    </row>
    <row r="1278" spans="3:3">
      <c r="C1278" s="38"/>
    </row>
    <row r="1279" spans="3:3">
      <c r="C1279" s="38"/>
    </row>
    <row r="1280" spans="3:3">
      <c r="C1280" s="38"/>
    </row>
    <row r="1281" spans="3:3">
      <c r="C1281" s="38"/>
    </row>
    <row r="1282" spans="3:3">
      <c r="C1282" s="38"/>
    </row>
    <row r="1283" spans="3:3">
      <c r="C1283" s="38"/>
    </row>
    <row r="1284" spans="3:3">
      <c r="C1284" s="38"/>
    </row>
    <row r="1285" spans="3:3">
      <c r="C1285" s="38"/>
    </row>
    <row r="1286" spans="3:3">
      <c r="C1286" s="38"/>
    </row>
    <row r="1287" spans="3:3">
      <c r="C1287" s="38"/>
    </row>
    <row r="1288" spans="3:3">
      <c r="C1288" s="38"/>
    </row>
    <row r="1289" spans="3:3">
      <c r="C1289" s="38"/>
    </row>
    <row r="1290" spans="3:3">
      <c r="C1290" s="38"/>
    </row>
    <row r="1291" spans="3:3">
      <c r="C1291" s="38"/>
    </row>
    <row r="1292" spans="3:3">
      <c r="C1292" s="38"/>
    </row>
    <row r="1293" spans="3:3">
      <c r="C1293" s="38"/>
    </row>
    <row r="1294" spans="3:3">
      <c r="C1294" s="38"/>
    </row>
    <row r="1295" spans="3:3">
      <c r="C1295" s="38"/>
    </row>
    <row r="1296" spans="3:3">
      <c r="C1296" s="38"/>
    </row>
    <row r="1297" spans="3:3">
      <c r="C1297" s="38"/>
    </row>
    <row r="1298" spans="3:3">
      <c r="C1298" s="38"/>
    </row>
    <row r="1299" spans="3:3">
      <c r="C1299" s="38"/>
    </row>
    <row r="1300" spans="3:3">
      <c r="C1300" s="38"/>
    </row>
    <row r="1301" spans="3:3">
      <c r="C1301" s="38"/>
    </row>
    <row r="1302" spans="3:3">
      <c r="C1302" s="38"/>
    </row>
    <row r="1303" spans="3:3">
      <c r="C1303" s="38"/>
    </row>
    <row r="1304" spans="3:3">
      <c r="C1304" s="38"/>
    </row>
    <row r="1305" spans="3:3">
      <c r="C1305" s="38"/>
    </row>
    <row r="1306" spans="3:3">
      <c r="C1306" s="38"/>
    </row>
    <row r="1307" spans="3:3">
      <c r="C1307" s="38"/>
    </row>
    <row r="1308" spans="3:3">
      <c r="C1308" s="38"/>
    </row>
    <row r="1309" spans="3:3">
      <c r="C1309" s="38"/>
    </row>
    <row r="1310" spans="3:3">
      <c r="C1310" s="38"/>
    </row>
    <row r="1311" spans="3:3">
      <c r="C1311" s="38"/>
    </row>
    <row r="1312" spans="3:3">
      <c r="C1312" s="38"/>
    </row>
    <row r="1313" spans="3:3">
      <c r="C1313" s="38"/>
    </row>
    <row r="1314" spans="3:3">
      <c r="C1314" s="38"/>
    </row>
    <row r="1315" spans="3:3">
      <c r="C1315" s="38"/>
    </row>
    <row r="1316" spans="3:3">
      <c r="C1316" s="38"/>
    </row>
    <row r="1317" spans="3:3">
      <c r="C1317" s="38"/>
    </row>
    <row r="1318" spans="3:3">
      <c r="C1318" s="38"/>
    </row>
    <row r="1319" spans="3:3">
      <c r="C1319" s="38"/>
    </row>
    <row r="1320" spans="3:3">
      <c r="C1320" s="38"/>
    </row>
    <row r="1321" spans="3:3">
      <c r="C1321" s="38"/>
    </row>
    <row r="1322" spans="3:3">
      <c r="C1322" s="38"/>
    </row>
    <row r="1323" spans="3:3">
      <c r="C1323" s="38"/>
    </row>
    <row r="1324" spans="3:3">
      <c r="C1324" s="38"/>
    </row>
    <row r="1325" spans="3:3">
      <c r="C1325" s="38"/>
    </row>
    <row r="1326" spans="3:3">
      <c r="C1326" s="38"/>
    </row>
    <row r="1327" spans="3:3">
      <c r="C1327" s="38"/>
    </row>
    <row r="1328" spans="3:3">
      <c r="C1328" s="38"/>
    </row>
    <row r="1329" spans="3:3">
      <c r="C1329" s="38"/>
    </row>
    <row r="1330" spans="3:3">
      <c r="C1330" s="38"/>
    </row>
    <row r="1331" spans="3:3">
      <c r="C1331" s="38"/>
    </row>
    <row r="1332" spans="3:3">
      <c r="C1332" s="38"/>
    </row>
    <row r="1333" spans="3:3">
      <c r="C1333" s="38"/>
    </row>
    <row r="1334" spans="3:3">
      <c r="C1334" s="38"/>
    </row>
    <row r="1335" spans="3:3">
      <c r="C1335" s="38"/>
    </row>
    <row r="1336" spans="3:3">
      <c r="C1336" s="38"/>
    </row>
    <row r="1337" spans="3:3">
      <c r="C1337" s="38"/>
    </row>
    <row r="1338" spans="3:3">
      <c r="C1338" s="38"/>
    </row>
    <row r="1339" spans="3:3">
      <c r="C1339" s="38"/>
    </row>
    <row r="1340" spans="3:3">
      <c r="C1340" s="38"/>
    </row>
    <row r="1341" spans="3:3">
      <c r="C1341" s="38"/>
    </row>
    <row r="1342" spans="3:3">
      <c r="C1342" s="38"/>
    </row>
    <row r="1343" spans="3:3">
      <c r="C1343" s="38"/>
    </row>
    <row r="1344" spans="3:3">
      <c r="C1344" s="38"/>
    </row>
    <row r="1345" spans="3:3">
      <c r="C1345" s="38"/>
    </row>
    <row r="1346" spans="3:3">
      <c r="C1346" s="38"/>
    </row>
    <row r="1347" spans="3:3">
      <c r="C1347" s="38"/>
    </row>
    <row r="1348" spans="3:3">
      <c r="C1348" s="38"/>
    </row>
    <row r="1349" spans="3:3">
      <c r="C1349" s="38"/>
    </row>
    <row r="1350" spans="3:3">
      <c r="C1350" s="38"/>
    </row>
    <row r="1351" spans="3:3">
      <c r="C1351" s="38"/>
    </row>
    <row r="1352" spans="3:3">
      <c r="C1352" s="38"/>
    </row>
    <row r="1353" spans="3:3">
      <c r="C1353" s="38"/>
    </row>
    <row r="1354" spans="3:3">
      <c r="C1354" s="38"/>
    </row>
    <row r="1355" spans="3:3">
      <c r="C1355" s="38"/>
    </row>
    <row r="1356" spans="3:3">
      <c r="C1356" s="38"/>
    </row>
    <row r="1357" spans="3:3">
      <c r="C1357" s="38"/>
    </row>
    <row r="1358" spans="3:3">
      <c r="C1358" s="38"/>
    </row>
    <row r="1359" spans="3:3">
      <c r="C1359" s="38"/>
    </row>
    <row r="1360" spans="3:3">
      <c r="C1360" s="38"/>
    </row>
    <row r="1361" spans="3:3">
      <c r="C1361" s="38"/>
    </row>
    <row r="1362" spans="3:3">
      <c r="C1362" s="38"/>
    </row>
    <row r="1363" spans="3:3">
      <c r="C1363" s="38"/>
    </row>
    <row r="1364" spans="3:3">
      <c r="C1364" s="38"/>
    </row>
    <row r="1365" spans="3:3">
      <c r="C1365" s="38"/>
    </row>
    <row r="1366" spans="3:3">
      <c r="C1366" s="38"/>
    </row>
    <row r="1367" spans="3:3">
      <c r="C1367" s="38"/>
    </row>
    <row r="1368" spans="3:3">
      <c r="C1368" s="38"/>
    </row>
    <row r="1369" spans="3:3">
      <c r="C1369" s="38"/>
    </row>
    <row r="1370" spans="3:3">
      <c r="C1370" s="38"/>
    </row>
    <row r="1371" spans="3:3">
      <c r="C1371" s="38"/>
    </row>
    <row r="1372" spans="3:3">
      <c r="C1372" s="38"/>
    </row>
    <row r="1373" spans="3:3">
      <c r="C1373" s="38"/>
    </row>
    <row r="1374" spans="3:3">
      <c r="C1374" s="38"/>
    </row>
    <row r="1375" spans="3:3">
      <c r="C1375" s="38"/>
    </row>
    <row r="1376" spans="3:3">
      <c r="C1376" s="38"/>
    </row>
    <row r="1377" spans="3:3">
      <c r="C1377" s="38"/>
    </row>
    <row r="1378" spans="3:3">
      <c r="C1378" s="38"/>
    </row>
    <row r="1379" spans="3:3">
      <c r="C1379" s="38"/>
    </row>
    <row r="1380" spans="3:3">
      <c r="C1380" s="38"/>
    </row>
    <row r="1381" spans="3:3">
      <c r="C1381" s="38"/>
    </row>
    <row r="1382" spans="3:3">
      <c r="C1382" s="38"/>
    </row>
    <row r="1383" spans="3:3">
      <c r="C1383" s="38"/>
    </row>
    <row r="1384" spans="3:3">
      <c r="C1384" s="38"/>
    </row>
    <row r="1385" spans="3:3">
      <c r="C1385" s="38"/>
    </row>
    <row r="1386" spans="3:3">
      <c r="C1386" s="38"/>
    </row>
    <row r="1387" spans="3:3">
      <c r="C1387" s="38"/>
    </row>
    <row r="1388" spans="3:3">
      <c r="C1388" s="38"/>
    </row>
    <row r="1389" spans="3:3">
      <c r="C1389" s="38"/>
    </row>
    <row r="1390" spans="3:3">
      <c r="C1390" s="38"/>
    </row>
    <row r="1391" spans="3:3">
      <c r="C1391" s="38"/>
    </row>
    <row r="1392" spans="3:3">
      <c r="C1392" s="38"/>
    </row>
    <row r="1393" spans="3:3">
      <c r="C1393" s="38"/>
    </row>
    <row r="1394" spans="3:3">
      <c r="C1394" s="38"/>
    </row>
    <row r="1395" spans="3:3">
      <c r="C1395" s="38"/>
    </row>
    <row r="1396" spans="3:3">
      <c r="C1396" s="38"/>
    </row>
    <row r="1397" spans="3:3">
      <c r="C1397" s="38"/>
    </row>
    <row r="1398" spans="3:3">
      <c r="C1398" s="38"/>
    </row>
    <row r="1399" spans="3:3">
      <c r="C1399" s="38"/>
    </row>
    <row r="1400" spans="3:3">
      <c r="C1400" s="38"/>
    </row>
    <row r="1401" spans="3:3">
      <c r="C1401" s="38"/>
    </row>
    <row r="1402" spans="3:3">
      <c r="C1402" s="38"/>
    </row>
    <row r="1403" spans="3:3">
      <c r="C1403" s="38"/>
    </row>
    <row r="1404" spans="3:3">
      <c r="C1404" s="38"/>
    </row>
    <row r="1405" spans="3:3">
      <c r="C1405" s="38"/>
    </row>
    <row r="1406" spans="3:3">
      <c r="C1406" s="38"/>
    </row>
    <row r="1407" spans="3:3">
      <c r="C1407" s="38"/>
    </row>
    <row r="1408" spans="3:3">
      <c r="C1408" s="38"/>
    </row>
    <row r="1409" spans="3:3">
      <c r="C1409" s="38"/>
    </row>
    <row r="1410" spans="3:3">
      <c r="C1410" s="38"/>
    </row>
    <row r="1411" spans="3:3">
      <c r="C1411" s="38"/>
    </row>
    <row r="1412" spans="3:3">
      <c r="C1412" s="38"/>
    </row>
    <row r="1413" spans="3:3">
      <c r="C1413" s="38"/>
    </row>
    <row r="1414" spans="3:3">
      <c r="C1414" s="38"/>
    </row>
    <row r="1415" spans="3:3">
      <c r="C1415" s="38"/>
    </row>
    <row r="1416" spans="3:3">
      <c r="C1416" s="38"/>
    </row>
    <row r="1417" spans="3:3">
      <c r="C1417" s="38"/>
    </row>
    <row r="1418" spans="3:3">
      <c r="C1418" s="38"/>
    </row>
    <row r="1419" spans="3:3">
      <c r="C1419" s="38"/>
    </row>
    <row r="1420" spans="3:3">
      <c r="C1420" s="38"/>
    </row>
    <row r="1421" spans="3:3">
      <c r="C1421" s="38"/>
    </row>
    <row r="1422" spans="3:3">
      <c r="C1422" s="38"/>
    </row>
    <row r="1423" spans="3:3">
      <c r="C1423" s="38"/>
    </row>
    <row r="1424" spans="3:3">
      <c r="C1424" s="38"/>
    </row>
    <row r="1425" spans="3:3">
      <c r="C1425" s="38"/>
    </row>
    <row r="1426" spans="3:3">
      <c r="C1426" s="38"/>
    </row>
    <row r="1427" spans="3:3">
      <c r="C1427" s="38"/>
    </row>
    <row r="1428" spans="3:3">
      <c r="C1428" s="38"/>
    </row>
    <row r="1429" spans="3:3">
      <c r="C1429" s="38"/>
    </row>
    <row r="1430" spans="3:3">
      <c r="C1430" s="38"/>
    </row>
    <row r="1431" spans="3:3">
      <c r="C1431" s="38"/>
    </row>
    <row r="1432" spans="3:3">
      <c r="C1432" s="38"/>
    </row>
    <row r="1433" spans="3:3">
      <c r="C1433" s="38"/>
    </row>
    <row r="1434" spans="3:3">
      <c r="C1434" s="38"/>
    </row>
    <row r="1435" spans="3:3">
      <c r="C1435" s="38"/>
    </row>
    <row r="1436" spans="3:3">
      <c r="C1436" s="38"/>
    </row>
    <row r="1437" spans="3:3">
      <c r="C1437" s="38"/>
    </row>
    <row r="1438" spans="3:3">
      <c r="C1438" s="38"/>
    </row>
    <row r="1439" spans="3:3">
      <c r="C1439" s="38"/>
    </row>
    <row r="1440" spans="3:3">
      <c r="C1440" s="38"/>
    </row>
    <row r="1441" spans="3:3">
      <c r="C1441" s="38"/>
    </row>
    <row r="1442" spans="3:3">
      <c r="C1442" s="38"/>
    </row>
    <row r="1443" spans="3:3">
      <c r="C1443" s="38"/>
    </row>
    <row r="1444" spans="3:3">
      <c r="C1444" s="38"/>
    </row>
    <row r="1445" spans="3:3">
      <c r="C1445" s="38"/>
    </row>
    <row r="1446" spans="3:3">
      <c r="C1446" s="38"/>
    </row>
    <row r="1447" spans="3:3">
      <c r="C1447" s="38"/>
    </row>
    <row r="1448" spans="3:3">
      <c r="C1448" s="38"/>
    </row>
    <row r="1449" spans="3:3">
      <c r="C1449" s="38"/>
    </row>
    <row r="1450" spans="3:3">
      <c r="C1450" s="38"/>
    </row>
    <row r="1451" spans="3:3">
      <c r="C1451" s="38"/>
    </row>
    <row r="1452" spans="3:3">
      <c r="C1452" s="38"/>
    </row>
    <row r="1453" spans="3:3">
      <c r="C1453" s="38"/>
    </row>
    <row r="1454" spans="3:3">
      <c r="C1454" s="38"/>
    </row>
    <row r="1455" spans="3:3">
      <c r="C1455" s="38"/>
    </row>
    <row r="1456" spans="3:3">
      <c r="C1456" s="38"/>
    </row>
    <row r="1457" spans="3:3">
      <c r="C1457" s="38"/>
    </row>
    <row r="1458" spans="3:3">
      <c r="C1458" s="38"/>
    </row>
    <row r="1459" spans="3:3">
      <c r="C1459" s="38"/>
    </row>
    <row r="1460" spans="3:3">
      <c r="C1460" s="38"/>
    </row>
    <row r="1461" spans="3:3">
      <c r="C1461" s="38"/>
    </row>
    <row r="1462" spans="3:3">
      <c r="C1462" s="38"/>
    </row>
    <row r="1463" spans="3:3">
      <c r="C1463" s="38"/>
    </row>
    <row r="1464" spans="3:3">
      <c r="C1464" s="38"/>
    </row>
    <row r="1465" spans="3:3">
      <c r="C1465" s="38"/>
    </row>
    <row r="1466" spans="3:3">
      <c r="C1466" s="38"/>
    </row>
    <row r="1467" spans="3:3">
      <c r="C1467" s="38"/>
    </row>
    <row r="1468" spans="3:3">
      <c r="C1468" s="38"/>
    </row>
    <row r="1469" spans="3:3">
      <c r="C1469" s="38"/>
    </row>
    <row r="1470" spans="3:3">
      <c r="C1470" s="38"/>
    </row>
    <row r="1471" spans="3:3">
      <c r="C1471" s="38"/>
    </row>
    <row r="1472" spans="3:3">
      <c r="C1472" s="38"/>
    </row>
    <row r="1473" spans="3:3">
      <c r="C1473" s="38"/>
    </row>
    <row r="1474" spans="3:3">
      <c r="C1474" s="38"/>
    </row>
    <row r="1475" spans="3:3">
      <c r="C1475" s="38"/>
    </row>
    <row r="1476" spans="3:3">
      <c r="C1476" s="38"/>
    </row>
    <row r="1477" spans="3:3">
      <c r="C1477" s="38"/>
    </row>
    <row r="1478" spans="3:3">
      <c r="C1478" s="38"/>
    </row>
    <row r="1479" spans="3:3">
      <c r="C1479" s="38"/>
    </row>
    <row r="1480" spans="3:3">
      <c r="C1480" s="38"/>
    </row>
    <row r="1481" spans="3:3">
      <c r="C1481" s="38"/>
    </row>
    <row r="1482" spans="3:3">
      <c r="C1482" s="38"/>
    </row>
    <row r="1483" spans="3:3">
      <c r="C1483" s="38"/>
    </row>
    <row r="1484" spans="3:3">
      <c r="C1484" s="38"/>
    </row>
    <row r="1485" spans="3:3">
      <c r="C1485" s="38"/>
    </row>
    <row r="1486" spans="3:3">
      <c r="C1486" s="38"/>
    </row>
    <row r="1487" spans="3:3">
      <c r="C1487" s="38"/>
    </row>
    <row r="1488" spans="3:3">
      <c r="C1488" s="38"/>
    </row>
    <row r="1489" spans="3:3">
      <c r="C1489" s="38"/>
    </row>
    <row r="1490" spans="3:3">
      <c r="C1490" s="38"/>
    </row>
    <row r="1491" spans="3:3">
      <c r="C1491" s="38"/>
    </row>
    <row r="1492" spans="3:3">
      <c r="C1492" s="38"/>
    </row>
    <row r="1493" spans="3:3">
      <c r="C1493" s="38"/>
    </row>
    <row r="1494" spans="3:3">
      <c r="C1494" s="38"/>
    </row>
    <row r="1495" spans="3:3">
      <c r="C1495" s="38"/>
    </row>
    <row r="1496" spans="3:3">
      <c r="C1496" s="38"/>
    </row>
    <row r="1497" spans="3:3">
      <c r="C1497" s="38"/>
    </row>
    <row r="1498" spans="3:3">
      <c r="C1498" s="38"/>
    </row>
    <row r="1499" spans="3:3">
      <c r="C1499" s="38"/>
    </row>
    <row r="1500" spans="3:3">
      <c r="C1500" s="38"/>
    </row>
    <row r="1501" spans="3:3">
      <c r="C1501" s="38"/>
    </row>
    <row r="1502" spans="3:3">
      <c r="C1502" s="38"/>
    </row>
    <row r="1503" spans="3:3">
      <c r="C1503" s="38"/>
    </row>
    <row r="1504" spans="3:3">
      <c r="C1504" s="38"/>
    </row>
    <row r="1505" spans="3:3">
      <c r="C1505" s="38"/>
    </row>
    <row r="1506" spans="3:3">
      <c r="C1506" s="38"/>
    </row>
    <row r="1507" spans="3:3">
      <c r="C1507" s="38"/>
    </row>
    <row r="1508" spans="3:3">
      <c r="C1508" s="38"/>
    </row>
    <row r="1509" spans="3:3">
      <c r="C1509" s="38"/>
    </row>
    <row r="1510" spans="3:3">
      <c r="C1510" s="38"/>
    </row>
    <row r="1511" spans="3:3">
      <c r="C1511" s="38"/>
    </row>
    <row r="1512" spans="3:3">
      <c r="C1512" s="38"/>
    </row>
    <row r="1513" spans="3:3">
      <c r="C1513" s="38"/>
    </row>
    <row r="1514" spans="3:3">
      <c r="C1514" s="38"/>
    </row>
    <row r="1515" spans="3:3">
      <c r="C1515" s="38"/>
    </row>
    <row r="1516" spans="3:3">
      <c r="C1516" s="38"/>
    </row>
    <row r="1517" spans="3:3">
      <c r="C1517" s="38"/>
    </row>
    <row r="1518" spans="3:3">
      <c r="C1518" s="38"/>
    </row>
    <row r="1519" spans="3:3">
      <c r="C1519" s="38"/>
    </row>
    <row r="1520" spans="3:3">
      <c r="C1520" s="38"/>
    </row>
    <row r="1521" spans="3:3">
      <c r="C1521" s="38"/>
    </row>
    <row r="1522" spans="3:3">
      <c r="C1522" s="38"/>
    </row>
    <row r="1523" spans="3:3">
      <c r="C1523" s="38"/>
    </row>
    <row r="1524" spans="3:3">
      <c r="C1524" s="38"/>
    </row>
    <row r="1525" spans="3:3">
      <c r="C1525" s="38"/>
    </row>
    <row r="1526" spans="3:3">
      <c r="C1526" s="38"/>
    </row>
    <row r="1527" spans="3:3">
      <c r="C1527" s="38"/>
    </row>
    <row r="1528" spans="3:3">
      <c r="C1528" s="38"/>
    </row>
    <row r="1529" spans="3:3">
      <c r="C1529" s="38"/>
    </row>
    <row r="1530" spans="3:3">
      <c r="C1530" s="38"/>
    </row>
    <row r="1531" spans="3:3">
      <c r="C1531" s="38"/>
    </row>
    <row r="1532" spans="3:3">
      <c r="C1532" s="38"/>
    </row>
    <row r="1533" spans="3:3">
      <c r="C1533" s="38"/>
    </row>
    <row r="1534" spans="3:3">
      <c r="C1534" s="38"/>
    </row>
    <row r="1535" spans="3:3">
      <c r="C1535" s="38"/>
    </row>
    <row r="1536" spans="3:3">
      <c r="C1536" s="38"/>
    </row>
    <row r="1537" spans="3:3">
      <c r="C1537" s="38"/>
    </row>
    <row r="1538" spans="3:3">
      <c r="C1538" s="38"/>
    </row>
    <row r="1539" spans="3:3">
      <c r="C1539" s="38"/>
    </row>
    <row r="1540" spans="3:3">
      <c r="C1540" s="38"/>
    </row>
    <row r="1541" spans="3:3">
      <c r="C1541" s="38"/>
    </row>
    <row r="1542" spans="3:3">
      <c r="C1542" s="38"/>
    </row>
    <row r="1543" spans="3:3">
      <c r="C1543" s="38"/>
    </row>
    <row r="1544" spans="3:3">
      <c r="C1544" s="38"/>
    </row>
    <row r="1545" spans="3:3">
      <c r="C1545" s="38"/>
    </row>
    <row r="1546" spans="3:3">
      <c r="C1546" s="38"/>
    </row>
    <row r="1547" spans="3:3">
      <c r="C1547" s="38"/>
    </row>
    <row r="1548" spans="3:3">
      <c r="C1548" s="38"/>
    </row>
    <row r="1549" spans="3:3">
      <c r="C1549" s="38"/>
    </row>
    <row r="1550" spans="3:3">
      <c r="C1550" s="38"/>
    </row>
    <row r="1551" spans="3:3">
      <c r="C1551" s="38"/>
    </row>
    <row r="1552" spans="3:3">
      <c r="C1552" s="38"/>
    </row>
    <row r="1553" spans="3:3">
      <c r="C1553" s="38"/>
    </row>
    <row r="1554" spans="3:3">
      <c r="C1554" s="38"/>
    </row>
    <row r="1555" spans="3:3">
      <c r="C1555" s="38"/>
    </row>
    <row r="1556" spans="3:3">
      <c r="C1556" s="38"/>
    </row>
    <row r="1557" spans="3:3">
      <c r="C1557" s="38"/>
    </row>
    <row r="1558" spans="3:3">
      <c r="C1558" s="38"/>
    </row>
    <row r="1559" spans="3:3">
      <c r="C1559" s="38"/>
    </row>
    <row r="1560" spans="3:3">
      <c r="C1560" s="38"/>
    </row>
    <row r="1561" spans="3:3">
      <c r="C1561" s="38"/>
    </row>
    <row r="1562" spans="3:3">
      <c r="C1562" s="38"/>
    </row>
    <row r="1563" spans="3:3">
      <c r="C1563" s="38"/>
    </row>
    <row r="1564" spans="3:3">
      <c r="C1564" s="38"/>
    </row>
    <row r="1565" spans="3:3">
      <c r="C1565" s="38"/>
    </row>
    <row r="1566" spans="3:3">
      <c r="C1566" s="38"/>
    </row>
    <row r="1567" spans="3:3">
      <c r="C1567" s="38"/>
    </row>
    <row r="1568" spans="3:3">
      <c r="C1568" s="38"/>
    </row>
    <row r="1569" spans="3:3">
      <c r="C1569" s="38"/>
    </row>
    <row r="1570" spans="3:3">
      <c r="C1570" s="38"/>
    </row>
    <row r="1571" spans="3:3">
      <c r="C1571" s="38"/>
    </row>
    <row r="1572" spans="3:3">
      <c r="C1572" s="38"/>
    </row>
    <row r="1573" spans="3:3">
      <c r="C1573" s="38"/>
    </row>
    <row r="1574" spans="3:3">
      <c r="C1574" s="38"/>
    </row>
    <row r="1575" spans="3:3">
      <c r="C1575" s="38"/>
    </row>
    <row r="1576" spans="3:3">
      <c r="C1576" s="38"/>
    </row>
    <row r="1577" spans="3:3">
      <c r="C1577" s="38"/>
    </row>
    <row r="1578" spans="3:3">
      <c r="C1578" s="38"/>
    </row>
    <row r="1579" spans="3:3">
      <c r="C1579" s="38"/>
    </row>
    <row r="1580" spans="3:3">
      <c r="C1580" s="38"/>
    </row>
    <row r="1581" spans="3:3">
      <c r="C1581" s="38"/>
    </row>
    <row r="1582" spans="3:3">
      <c r="C1582" s="38"/>
    </row>
    <row r="1583" spans="3:3">
      <c r="C1583" s="38"/>
    </row>
    <row r="1584" spans="3:3">
      <c r="C1584" s="38"/>
    </row>
    <row r="1585" spans="3:3">
      <c r="C1585" s="38"/>
    </row>
    <row r="1586" spans="3:3">
      <c r="C1586" s="38"/>
    </row>
    <row r="1587" spans="3:3">
      <c r="C1587" s="38"/>
    </row>
    <row r="1588" spans="3:3">
      <c r="C1588" s="38"/>
    </row>
    <row r="1589" spans="3:3">
      <c r="C1589" s="38"/>
    </row>
    <row r="1590" spans="3:3">
      <c r="C1590" s="38"/>
    </row>
    <row r="1591" spans="3:3">
      <c r="C1591" s="38"/>
    </row>
    <row r="1592" spans="3:3">
      <c r="C1592" s="38"/>
    </row>
    <row r="1593" spans="3:3">
      <c r="C1593" s="38"/>
    </row>
    <row r="1594" spans="3:3">
      <c r="C1594" s="38"/>
    </row>
    <row r="1595" spans="3:3">
      <c r="C1595" s="38"/>
    </row>
    <row r="1596" spans="3:3">
      <c r="C1596" s="38"/>
    </row>
    <row r="1597" spans="3:3">
      <c r="C1597" s="38"/>
    </row>
    <row r="1598" spans="3:3">
      <c r="C1598" s="38"/>
    </row>
    <row r="1599" spans="3:3">
      <c r="C1599" s="38"/>
    </row>
    <row r="1600" spans="3:3">
      <c r="C1600" s="38"/>
    </row>
    <row r="1601" spans="3:3">
      <c r="C1601" s="38"/>
    </row>
    <row r="1602" spans="3:3">
      <c r="C1602" s="38"/>
    </row>
    <row r="1603" spans="3:3">
      <c r="C1603" s="38"/>
    </row>
    <row r="1604" spans="3:3">
      <c r="C1604" s="38"/>
    </row>
    <row r="1605" spans="3:3">
      <c r="C1605" s="38"/>
    </row>
    <row r="1606" spans="3:3">
      <c r="C1606" s="38"/>
    </row>
    <row r="1607" spans="3:3">
      <c r="C1607" s="38"/>
    </row>
    <row r="1608" spans="3:3">
      <c r="C1608" s="38"/>
    </row>
    <row r="1609" spans="3:3">
      <c r="C1609" s="38"/>
    </row>
    <row r="1610" spans="3:3">
      <c r="C1610" s="38"/>
    </row>
    <row r="1611" spans="3:3">
      <c r="C1611" s="38"/>
    </row>
    <row r="1612" spans="3:3">
      <c r="C1612" s="38"/>
    </row>
    <row r="1613" spans="3:3">
      <c r="C1613" s="38"/>
    </row>
    <row r="1614" spans="3:3">
      <c r="C1614" s="38"/>
    </row>
    <row r="1615" spans="3:3">
      <c r="C1615" s="38"/>
    </row>
    <row r="1616" spans="3:3">
      <c r="C1616" s="38"/>
    </row>
    <row r="1617" spans="3:3">
      <c r="C1617" s="38"/>
    </row>
    <row r="1618" spans="3:3">
      <c r="C1618" s="38"/>
    </row>
    <row r="1619" spans="3:3">
      <c r="C1619" s="38"/>
    </row>
    <row r="1620" spans="3:3">
      <c r="C1620" s="38"/>
    </row>
    <row r="1621" spans="3:3">
      <c r="C1621" s="38"/>
    </row>
    <row r="1622" spans="3:3">
      <c r="C1622" s="38"/>
    </row>
    <row r="1623" spans="3:3">
      <c r="C1623" s="38"/>
    </row>
    <row r="1624" spans="3:3">
      <c r="C1624" s="38"/>
    </row>
    <row r="1625" spans="3:3">
      <c r="C1625" s="38"/>
    </row>
    <row r="1626" spans="3:3">
      <c r="C1626" s="38"/>
    </row>
    <row r="1627" spans="3:3">
      <c r="C1627" s="38"/>
    </row>
    <row r="1628" spans="3:3">
      <c r="C1628" s="38"/>
    </row>
    <row r="1629" spans="3:3">
      <c r="C1629" s="38"/>
    </row>
    <row r="1630" spans="3:3">
      <c r="C1630" s="38"/>
    </row>
    <row r="1631" spans="3:3">
      <c r="C1631" s="38"/>
    </row>
    <row r="1632" spans="3:3">
      <c r="C1632" s="38"/>
    </row>
    <row r="1633" spans="3:3">
      <c r="C1633" s="38"/>
    </row>
    <row r="1634" spans="3:3">
      <c r="C1634" s="38"/>
    </row>
    <row r="1635" spans="3:3">
      <c r="C1635" s="38"/>
    </row>
    <row r="1636" spans="3:3">
      <c r="C1636" s="38"/>
    </row>
    <row r="1637" spans="3:3">
      <c r="C1637" s="38"/>
    </row>
    <row r="1638" spans="3:3">
      <c r="C1638" s="38"/>
    </row>
    <row r="1639" spans="3:3">
      <c r="C1639" s="38"/>
    </row>
    <row r="1640" spans="3:3">
      <c r="C1640" s="38"/>
    </row>
    <row r="1641" spans="3:3">
      <c r="C1641" s="38"/>
    </row>
    <row r="1642" spans="3:3">
      <c r="C1642" s="38"/>
    </row>
    <row r="1643" spans="3:3">
      <c r="C1643" s="38"/>
    </row>
    <row r="1644" spans="3:3">
      <c r="C1644" s="38"/>
    </row>
    <row r="1645" spans="3:3">
      <c r="C1645" s="38"/>
    </row>
    <row r="1646" spans="3:3">
      <c r="C1646" s="38"/>
    </row>
    <row r="1647" spans="3:3">
      <c r="C1647" s="38"/>
    </row>
    <row r="1648" spans="3:3">
      <c r="C1648" s="38"/>
    </row>
    <row r="1649" spans="3:3">
      <c r="C1649" s="38"/>
    </row>
    <row r="1650" spans="3:3">
      <c r="C1650" s="38"/>
    </row>
    <row r="1651" spans="3:3">
      <c r="C1651" s="38"/>
    </row>
    <row r="1652" spans="3:3">
      <c r="C1652" s="38"/>
    </row>
    <row r="1653" spans="3:3">
      <c r="C1653" s="38"/>
    </row>
    <row r="1654" spans="3:3">
      <c r="C1654" s="38"/>
    </row>
    <row r="1655" spans="3:3">
      <c r="C1655" s="38"/>
    </row>
    <row r="1656" spans="3:3">
      <c r="C1656" s="38"/>
    </row>
    <row r="1657" spans="3:3">
      <c r="C1657" s="38"/>
    </row>
    <row r="1658" spans="3:3">
      <c r="C1658" s="38"/>
    </row>
    <row r="1659" spans="3:3">
      <c r="C1659" s="38"/>
    </row>
    <row r="1660" spans="3:3">
      <c r="C1660" s="38"/>
    </row>
    <row r="1661" spans="3:3">
      <c r="C1661" s="38"/>
    </row>
    <row r="1662" spans="3:3">
      <c r="C1662" s="38"/>
    </row>
    <row r="1663" spans="3:3">
      <c r="C1663" s="38"/>
    </row>
    <row r="1664" spans="3:3">
      <c r="C1664" s="38"/>
    </row>
    <row r="1665" spans="3:3">
      <c r="C1665" s="38"/>
    </row>
    <row r="1666" spans="3:3">
      <c r="C1666" s="38"/>
    </row>
    <row r="1667" spans="3:3">
      <c r="C1667" s="38"/>
    </row>
    <row r="1668" spans="3:3">
      <c r="C1668" s="38"/>
    </row>
    <row r="1669" spans="3:3">
      <c r="C1669" s="38"/>
    </row>
    <row r="1670" spans="3:3">
      <c r="C1670" s="38"/>
    </row>
    <row r="1671" spans="3:3">
      <c r="C1671" s="38"/>
    </row>
    <row r="1672" spans="3:3">
      <c r="C1672" s="38"/>
    </row>
    <row r="1673" spans="3:3">
      <c r="C1673" s="38"/>
    </row>
    <row r="1674" spans="3:3">
      <c r="C1674" s="38"/>
    </row>
    <row r="1675" spans="3:3">
      <c r="C1675" s="38"/>
    </row>
    <row r="1676" spans="3:3">
      <c r="C1676" s="38"/>
    </row>
    <row r="1677" spans="3:3">
      <c r="C1677" s="38"/>
    </row>
    <row r="1678" spans="3:3">
      <c r="C1678" s="38"/>
    </row>
    <row r="1679" spans="3:3">
      <c r="C1679" s="38"/>
    </row>
    <row r="1680" spans="3:3">
      <c r="C1680" s="38"/>
    </row>
    <row r="1681" spans="3:3">
      <c r="C1681" s="38"/>
    </row>
    <row r="1682" spans="3:3">
      <c r="C1682" s="38"/>
    </row>
    <row r="1683" spans="3:3">
      <c r="C1683" s="38"/>
    </row>
    <row r="1684" spans="3:3">
      <c r="C1684" s="38"/>
    </row>
    <row r="1685" spans="3:3">
      <c r="C1685" s="38"/>
    </row>
    <row r="1686" spans="3:3">
      <c r="C1686" s="38"/>
    </row>
    <row r="1687" spans="3:3">
      <c r="C1687" s="38"/>
    </row>
    <row r="1688" spans="3:3">
      <c r="C1688" s="38"/>
    </row>
    <row r="1689" spans="3:3">
      <c r="C1689" s="38"/>
    </row>
    <row r="1690" spans="3:3">
      <c r="C1690" s="38"/>
    </row>
    <row r="1691" spans="3:3">
      <c r="C1691" s="38"/>
    </row>
    <row r="1692" spans="3:3">
      <c r="C1692" s="38"/>
    </row>
    <row r="1693" spans="3:3">
      <c r="C1693" s="38"/>
    </row>
    <row r="1694" spans="3:3">
      <c r="C1694" s="38"/>
    </row>
    <row r="1695" spans="3:3">
      <c r="C1695" s="38"/>
    </row>
    <row r="1696" spans="3:3">
      <c r="C1696" s="38"/>
    </row>
    <row r="1697" spans="3:3">
      <c r="C1697" s="38"/>
    </row>
    <row r="1698" spans="3:3">
      <c r="C1698" s="38"/>
    </row>
    <row r="1699" spans="3:3">
      <c r="C1699" s="38"/>
    </row>
    <row r="1700" spans="3:3">
      <c r="C1700" s="38"/>
    </row>
    <row r="1701" spans="3:3">
      <c r="C1701" s="38"/>
    </row>
    <row r="1702" spans="3:3">
      <c r="C1702" s="38"/>
    </row>
    <row r="1703" spans="3:3">
      <c r="C1703" s="38"/>
    </row>
    <row r="1704" spans="3:3">
      <c r="C1704" s="38"/>
    </row>
    <row r="1705" spans="3:3">
      <c r="C1705" s="38"/>
    </row>
    <row r="1706" spans="3:3">
      <c r="C1706" s="38"/>
    </row>
    <row r="1707" spans="3:3">
      <c r="C1707" s="38"/>
    </row>
    <row r="1708" spans="3:3">
      <c r="C1708" s="38"/>
    </row>
    <row r="1709" spans="3:3">
      <c r="C1709" s="38"/>
    </row>
    <row r="1710" spans="3:3">
      <c r="C1710" s="38"/>
    </row>
    <row r="1711" spans="3:3">
      <c r="C1711" s="38"/>
    </row>
    <row r="1712" spans="3:3">
      <c r="C1712" s="38"/>
    </row>
    <row r="1713" spans="3:3">
      <c r="C1713" s="38"/>
    </row>
    <row r="1714" spans="3:3">
      <c r="C1714" s="38"/>
    </row>
    <row r="1715" spans="3:3">
      <c r="C1715" s="38"/>
    </row>
    <row r="1716" spans="3:3">
      <c r="C1716" s="38"/>
    </row>
    <row r="1717" spans="3:3">
      <c r="C1717" s="38"/>
    </row>
    <row r="1718" spans="3:3">
      <c r="C1718" s="38"/>
    </row>
    <row r="1719" spans="3:3">
      <c r="C1719" s="38"/>
    </row>
    <row r="1720" spans="3:3">
      <c r="C1720" s="38"/>
    </row>
    <row r="1721" spans="3:3">
      <c r="C1721" s="38"/>
    </row>
    <row r="1722" spans="3:3">
      <c r="C1722" s="38"/>
    </row>
    <row r="1723" spans="3:3">
      <c r="C1723" s="38"/>
    </row>
    <row r="1724" spans="3:3">
      <c r="C1724" s="38"/>
    </row>
    <row r="1725" spans="3:3">
      <c r="C1725" s="38"/>
    </row>
    <row r="1726" spans="3:3">
      <c r="C1726" s="38"/>
    </row>
    <row r="1727" spans="3:3">
      <c r="C1727" s="38"/>
    </row>
    <row r="1728" spans="3:3">
      <c r="C1728" s="38"/>
    </row>
    <row r="1729" spans="3:3">
      <c r="C1729" s="38"/>
    </row>
    <row r="1730" spans="3:3">
      <c r="C1730" s="38"/>
    </row>
    <row r="1731" spans="3:3">
      <c r="C1731" s="38"/>
    </row>
    <row r="1732" spans="3:3">
      <c r="C1732" s="38"/>
    </row>
    <row r="1733" spans="3:3">
      <c r="C1733" s="38"/>
    </row>
    <row r="1734" spans="3:3">
      <c r="C1734" s="38"/>
    </row>
    <row r="1735" spans="3:3">
      <c r="C1735" s="38"/>
    </row>
    <row r="1736" spans="3:3">
      <c r="C1736" s="38"/>
    </row>
    <row r="1737" spans="3:3">
      <c r="C1737" s="38"/>
    </row>
    <row r="1738" spans="3:3">
      <c r="C1738" s="38"/>
    </row>
    <row r="1739" spans="3:3">
      <c r="C1739" s="38"/>
    </row>
    <row r="1740" spans="3:3">
      <c r="C1740" s="38"/>
    </row>
    <row r="1741" spans="3:3">
      <c r="C1741" s="38"/>
    </row>
    <row r="1742" spans="3:3">
      <c r="C1742" s="38"/>
    </row>
    <row r="1743" spans="3:3">
      <c r="C1743" s="38"/>
    </row>
    <row r="1744" spans="3:3">
      <c r="C1744" s="38"/>
    </row>
    <row r="1745" spans="3:3">
      <c r="C1745" s="38"/>
    </row>
    <row r="1746" spans="3:3">
      <c r="C1746" s="38"/>
    </row>
    <row r="1747" spans="3:3">
      <c r="C1747" s="38"/>
    </row>
    <row r="1748" spans="3:3">
      <c r="C1748" s="38"/>
    </row>
    <row r="1749" spans="3:3">
      <c r="C1749" s="38"/>
    </row>
    <row r="1750" spans="3:3">
      <c r="C1750" s="38"/>
    </row>
    <row r="1751" spans="3:3">
      <c r="C1751" s="38"/>
    </row>
    <row r="1752" spans="3:3">
      <c r="C1752" s="38"/>
    </row>
    <row r="1753" spans="3:3">
      <c r="C1753" s="38"/>
    </row>
    <row r="1754" spans="3:3">
      <c r="C1754" s="38"/>
    </row>
    <row r="1755" spans="3:3">
      <c r="C1755" s="38"/>
    </row>
    <row r="1756" spans="3:3">
      <c r="C1756" s="38"/>
    </row>
    <row r="1757" spans="3:3">
      <c r="C1757" s="38"/>
    </row>
    <row r="1758" spans="3:3">
      <c r="C1758" s="38"/>
    </row>
    <row r="1759" spans="3:3">
      <c r="C1759" s="38"/>
    </row>
    <row r="1760" spans="3:3">
      <c r="C1760" s="38"/>
    </row>
    <row r="1761" spans="3:3">
      <c r="C1761" s="38"/>
    </row>
    <row r="1762" spans="3:3">
      <c r="C1762" s="38"/>
    </row>
    <row r="1763" spans="3:3">
      <c r="C1763" s="38"/>
    </row>
    <row r="1764" spans="3:3">
      <c r="C1764" s="38"/>
    </row>
    <row r="1765" spans="3:3">
      <c r="C1765" s="38"/>
    </row>
    <row r="1766" spans="3:3">
      <c r="C1766" s="38"/>
    </row>
    <row r="1767" spans="3:3">
      <c r="C1767" s="38"/>
    </row>
    <row r="1768" spans="3:3">
      <c r="C1768" s="38"/>
    </row>
    <row r="1769" spans="3:3">
      <c r="C1769" s="38"/>
    </row>
    <row r="1770" spans="3:3">
      <c r="C1770" s="38"/>
    </row>
    <row r="1771" spans="3:3">
      <c r="C1771" s="38"/>
    </row>
    <row r="1772" spans="3:3">
      <c r="C1772" s="38"/>
    </row>
    <row r="1773" spans="3:3">
      <c r="C1773" s="38"/>
    </row>
    <row r="1774" spans="3:3">
      <c r="C1774" s="38"/>
    </row>
    <row r="1775" spans="3:3">
      <c r="C1775" s="38"/>
    </row>
    <row r="1776" spans="3:3">
      <c r="C1776" s="38"/>
    </row>
    <row r="1777" spans="3:3">
      <c r="C1777" s="38"/>
    </row>
    <row r="1778" spans="3:3">
      <c r="C1778" s="38"/>
    </row>
    <row r="1779" spans="3:3">
      <c r="C1779" s="38"/>
    </row>
    <row r="1780" spans="3:3">
      <c r="C1780" s="38"/>
    </row>
    <row r="1781" spans="3:3">
      <c r="C1781" s="38"/>
    </row>
    <row r="1782" spans="3:3">
      <c r="C1782" s="38"/>
    </row>
    <row r="1783" spans="3:3">
      <c r="C1783" s="38"/>
    </row>
    <row r="1784" spans="3:3">
      <c r="C1784" s="38"/>
    </row>
    <row r="1785" spans="3:3">
      <c r="C1785" s="38"/>
    </row>
    <row r="1786" spans="3:3">
      <c r="C1786" s="38"/>
    </row>
    <row r="1787" spans="3:3">
      <c r="C1787" s="38"/>
    </row>
    <row r="1788" spans="3:3">
      <c r="C1788" s="38"/>
    </row>
    <row r="1789" spans="3:3">
      <c r="C1789" s="38"/>
    </row>
    <row r="1790" spans="3:3">
      <c r="C1790" s="38"/>
    </row>
    <row r="1791" spans="3:3">
      <c r="C1791" s="38"/>
    </row>
    <row r="1792" spans="3:3">
      <c r="C1792" s="38"/>
    </row>
    <row r="1793" spans="3:3">
      <c r="C1793" s="38"/>
    </row>
    <row r="1794" spans="3:3">
      <c r="C1794" s="38"/>
    </row>
    <row r="1795" spans="3:3">
      <c r="C1795" s="38"/>
    </row>
    <row r="1796" spans="3:3">
      <c r="C1796" s="38"/>
    </row>
    <row r="1797" spans="3:3">
      <c r="C1797" s="38"/>
    </row>
    <row r="1798" spans="3:3">
      <c r="C1798" s="38"/>
    </row>
    <row r="1799" spans="3:3">
      <c r="C1799" s="38"/>
    </row>
    <row r="1800" spans="3:3">
      <c r="C1800" s="38"/>
    </row>
    <row r="1801" spans="3:3">
      <c r="C1801" s="38"/>
    </row>
    <row r="1802" spans="3:3">
      <c r="C1802" s="38"/>
    </row>
    <row r="1803" spans="3:3">
      <c r="C1803" s="38"/>
    </row>
    <row r="1804" spans="3:3">
      <c r="C1804" s="38"/>
    </row>
    <row r="1805" spans="3:3">
      <c r="C1805" s="38"/>
    </row>
    <row r="1806" spans="3:3">
      <c r="C1806" s="38"/>
    </row>
    <row r="1807" spans="3:3">
      <c r="C1807" s="38"/>
    </row>
    <row r="1808" spans="3:3">
      <c r="C1808" s="38"/>
    </row>
    <row r="1809" spans="3:3">
      <c r="C1809" s="38"/>
    </row>
    <row r="1810" spans="3:3">
      <c r="C1810" s="38"/>
    </row>
    <row r="1811" spans="3:3">
      <c r="C1811" s="38"/>
    </row>
    <row r="1812" spans="3:3">
      <c r="C1812" s="38"/>
    </row>
    <row r="1813" spans="3:3">
      <c r="C1813" s="38"/>
    </row>
    <row r="1814" spans="3:3">
      <c r="C1814" s="38"/>
    </row>
    <row r="1815" spans="3:3">
      <c r="C1815" s="38"/>
    </row>
    <row r="1816" spans="3:3">
      <c r="C1816" s="38"/>
    </row>
    <row r="1817" spans="3:3">
      <c r="C1817" s="38"/>
    </row>
    <row r="1818" spans="3:3">
      <c r="C1818" s="38"/>
    </row>
    <row r="1819" spans="3:3">
      <c r="C1819" s="38"/>
    </row>
    <row r="1820" spans="3:3">
      <c r="C1820" s="38"/>
    </row>
    <row r="1821" spans="3:3">
      <c r="C1821" s="38"/>
    </row>
    <row r="1822" spans="3:3">
      <c r="C1822" s="38"/>
    </row>
    <row r="1823" spans="3:3">
      <c r="C1823" s="38"/>
    </row>
    <row r="1824" spans="3:3">
      <c r="C1824" s="38"/>
    </row>
    <row r="1825" spans="3:3">
      <c r="C1825" s="38"/>
    </row>
    <row r="1826" spans="3:3">
      <c r="C1826" s="38"/>
    </row>
    <row r="1827" spans="3:3">
      <c r="C1827" s="38"/>
    </row>
    <row r="1828" spans="3:3">
      <c r="C1828" s="38"/>
    </row>
    <row r="1829" spans="3:3">
      <c r="C1829" s="38"/>
    </row>
    <row r="1830" spans="3:3">
      <c r="C1830" s="38"/>
    </row>
    <row r="1831" spans="3:3">
      <c r="C1831" s="38"/>
    </row>
    <row r="1832" spans="3:3">
      <c r="C1832" s="38"/>
    </row>
    <row r="1833" spans="3:3">
      <c r="C1833" s="38"/>
    </row>
    <row r="1834" spans="3:3">
      <c r="C1834" s="38"/>
    </row>
    <row r="1835" spans="3:3">
      <c r="C1835" s="38"/>
    </row>
    <row r="1836" spans="3:3">
      <c r="C1836" s="38"/>
    </row>
    <row r="1837" spans="3:3">
      <c r="C1837" s="38"/>
    </row>
    <row r="1838" spans="3:3">
      <c r="C1838" s="38"/>
    </row>
    <row r="1839" spans="3:3">
      <c r="C1839" s="38"/>
    </row>
    <row r="1840" spans="3:3">
      <c r="C1840" s="38"/>
    </row>
    <row r="1841" spans="3:3">
      <c r="C1841" s="38"/>
    </row>
    <row r="1842" spans="3:3">
      <c r="C1842" s="38"/>
    </row>
    <row r="1843" spans="3:3">
      <c r="C1843" s="38"/>
    </row>
    <row r="1844" spans="3:3">
      <c r="C1844" s="38"/>
    </row>
    <row r="1845" spans="3:3">
      <c r="C1845" s="38"/>
    </row>
    <row r="1846" spans="3:3">
      <c r="C1846" s="38"/>
    </row>
    <row r="1847" spans="3:3">
      <c r="C1847" s="38"/>
    </row>
    <row r="1848" spans="3:3">
      <c r="C1848" s="38"/>
    </row>
    <row r="1849" spans="3:3">
      <c r="C1849" s="38"/>
    </row>
    <row r="1850" spans="3:3">
      <c r="C1850" s="38"/>
    </row>
    <row r="1851" spans="3:3">
      <c r="C1851" s="38"/>
    </row>
    <row r="1852" spans="3:3">
      <c r="C1852" s="38"/>
    </row>
    <row r="1853" spans="3:3">
      <c r="C1853" s="38"/>
    </row>
    <row r="1854" spans="3:3">
      <c r="C1854" s="38"/>
    </row>
    <row r="1855" spans="3:3">
      <c r="C1855" s="38"/>
    </row>
    <row r="1856" spans="3:3">
      <c r="C1856" s="38"/>
    </row>
    <row r="1857" spans="3:3">
      <c r="C1857" s="38"/>
    </row>
    <row r="1858" spans="3:3">
      <c r="C1858" s="38"/>
    </row>
    <row r="1859" spans="3:3">
      <c r="C1859" s="38"/>
    </row>
    <row r="1860" spans="3:3">
      <c r="C1860" s="38"/>
    </row>
    <row r="1861" spans="3:3">
      <c r="C1861" s="38"/>
    </row>
    <row r="1862" spans="3:3">
      <c r="C1862" s="38"/>
    </row>
    <row r="1863" spans="3:3">
      <c r="C1863" s="38"/>
    </row>
    <row r="1864" spans="3:3">
      <c r="C1864" s="38"/>
    </row>
    <row r="1865" spans="3:3">
      <c r="C1865" s="38"/>
    </row>
    <row r="1866" spans="3:3">
      <c r="C1866" s="38"/>
    </row>
    <row r="1867" spans="3:3">
      <c r="C1867" s="38"/>
    </row>
    <row r="1868" spans="3:3">
      <c r="C1868" s="38"/>
    </row>
    <row r="1869" spans="3:3">
      <c r="C1869" s="38"/>
    </row>
    <row r="1870" spans="3:3">
      <c r="C1870" s="38"/>
    </row>
    <row r="1871" spans="3:3">
      <c r="C1871" s="38"/>
    </row>
    <row r="1872" spans="3:3">
      <c r="C1872" s="38"/>
    </row>
    <row r="1873" spans="3:3">
      <c r="C1873" s="38"/>
    </row>
    <row r="1874" spans="3:3">
      <c r="C1874" s="38"/>
    </row>
    <row r="1875" spans="3:3">
      <c r="C1875" s="38"/>
    </row>
    <row r="1876" spans="3:3">
      <c r="C1876" s="38"/>
    </row>
    <row r="1877" spans="3:3">
      <c r="C1877" s="38"/>
    </row>
    <row r="1878" spans="3:3">
      <c r="C1878" s="38"/>
    </row>
    <row r="1879" spans="3:3">
      <c r="C1879" s="38"/>
    </row>
    <row r="1880" spans="3:3">
      <c r="C1880" s="38"/>
    </row>
    <row r="1881" spans="3:3">
      <c r="C1881" s="38"/>
    </row>
    <row r="1882" spans="3:3">
      <c r="C1882" s="38"/>
    </row>
    <row r="1883" spans="3:3">
      <c r="C1883" s="38"/>
    </row>
    <row r="1884" spans="3:3">
      <c r="C1884" s="38"/>
    </row>
    <row r="1885" spans="3:3">
      <c r="C1885" s="38"/>
    </row>
    <row r="1886" spans="3:3">
      <c r="C1886" s="38"/>
    </row>
    <row r="1887" spans="3:3">
      <c r="C1887" s="38"/>
    </row>
    <row r="1888" spans="3:3">
      <c r="C1888" s="38"/>
    </row>
    <row r="1889" spans="3:3">
      <c r="C1889" s="38"/>
    </row>
    <row r="1890" spans="3:3">
      <c r="C1890" s="38"/>
    </row>
    <row r="1891" spans="3:3">
      <c r="C1891" s="38"/>
    </row>
    <row r="1892" spans="3:3">
      <c r="C1892" s="38"/>
    </row>
    <row r="1893" spans="3:3">
      <c r="C1893" s="38"/>
    </row>
    <row r="1894" spans="3:3">
      <c r="C1894" s="38"/>
    </row>
    <row r="1895" spans="3:3">
      <c r="C1895" s="38"/>
    </row>
    <row r="1896" spans="3:3">
      <c r="C1896" s="38"/>
    </row>
    <row r="1897" spans="3:3">
      <c r="C1897" s="38"/>
    </row>
    <row r="1898" spans="3:3">
      <c r="C1898" s="38"/>
    </row>
    <row r="1899" spans="3:3">
      <c r="C1899" s="38"/>
    </row>
    <row r="1900" spans="3:3">
      <c r="C1900" s="38"/>
    </row>
    <row r="1901" spans="3:3">
      <c r="C1901" s="38"/>
    </row>
    <row r="1902" spans="3:3">
      <c r="C1902" s="38"/>
    </row>
    <row r="1903" spans="3:3">
      <c r="C1903" s="38"/>
    </row>
    <row r="1904" spans="3:3">
      <c r="C1904" s="38"/>
    </row>
    <row r="1905" spans="3:3">
      <c r="C1905" s="38"/>
    </row>
    <row r="1906" spans="3:3">
      <c r="C1906" s="38"/>
    </row>
    <row r="1907" spans="3:3">
      <c r="C1907" s="38"/>
    </row>
    <row r="1908" spans="3:3">
      <c r="C1908" s="38"/>
    </row>
    <row r="1909" spans="3:3">
      <c r="C1909" s="38"/>
    </row>
    <row r="1910" spans="3:3">
      <c r="C1910" s="38"/>
    </row>
    <row r="1911" spans="3:3">
      <c r="C1911" s="38"/>
    </row>
    <row r="1912" spans="3:3">
      <c r="C1912" s="38"/>
    </row>
    <row r="1913" spans="3:3">
      <c r="C1913" s="38"/>
    </row>
    <row r="1914" spans="3:3">
      <c r="C1914" s="38"/>
    </row>
    <row r="1915" spans="3:3">
      <c r="C1915" s="38"/>
    </row>
    <row r="1916" spans="3:3">
      <c r="C1916" s="38"/>
    </row>
    <row r="1917" spans="3:3">
      <c r="C1917" s="38"/>
    </row>
    <row r="1918" spans="3:3">
      <c r="C1918" s="38"/>
    </row>
    <row r="1919" spans="3:3">
      <c r="C1919" s="38"/>
    </row>
    <row r="1920" spans="3:3">
      <c r="C1920" s="38"/>
    </row>
    <row r="1921" spans="3:3">
      <c r="C1921" s="38"/>
    </row>
    <row r="1922" spans="3:3">
      <c r="C1922" s="38"/>
    </row>
    <row r="1923" spans="3:3">
      <c r="C1923" s="38"/>
    </row>
    <row r="1924" spans="3:3">
      <c r="C1924" s="38"/>
    </row>
    <row r="1925" spans="3:3">
      <c r="C1925" s="38"/>
    </row>
    <row r="1926" spans="3:3">
      <c r="C1926" s="38"/>
    </row>
    <row r="1927" spans="3:3">
      <c r="C1927" s="38"/>
    </row>
    <row r="1928" spans="3:3">
      <c r="C1928" s="38"/>
    </row>
    <row r="1929" spans="3:3">
      <c r="C1929" s="38"/>
    </row>
    <row r="1930" spans="3:3">
      <c r="C1930" s="38"/>
    </row>
    <row r="1931" spans="3:3">
      <c r="C1931" s="38"/>
    </row>
    <row r="1932" spans="3:3">
      <c r="C1932" s="38"/>
    </row>
    <row r="1933" spans="3:3">
      <c r="C1933" s="38"/>
    </row>
    <row r="1934" spans="3:3">
      <c r="C1934" s="38"/>
    </row>
    <row r="1935" spans="3:3">
      <c r="C1935" s="38"/>
    </row>
    <row r="1936" spans="3:3">
      <c r="C1936" s="38"/>
    </row>
    <row r="1937" spans="3:3">
      <c r="C1937" s="38"/>
    </row>
    <row r="1938" spans="3:3">
      <c r="C1938" s="38"/>
    </row>
    <row r="1939" spans="3:3">
      <c r="C1939" s="38"/>
    </row>
    <row r="1940" spans="3:3">
      <c r="C1940" s="38"/>
    </row>
    <row r="1941" spans="3:3">
      <c r="C1941" s="38"/>
    </row>
    <row r="1942" spans="3:3">
      <c r="C1942" s="38"/>
    </row>
    <row r="1943" spans="3:3">
      <c r="C1943" s="38"/>
    </row>
    <row r="1944" spans="3:3">
      <c r="C1944" s="38"/>
    </row>
    <row r="1945" spans="3:3">
      <c r="C1945" s="38"/>
    </row>
    <row r="1946" spans="3:3">
      <c r="C1946" s="38"/>
    </row>
    <row r="1947" spans="3:3">
      <c r="C1947" s="38"/>
    </row>
    <row r="1948" spans="3:3">
      <c r="C1948" s="38"/>
    </row>
    <row r="1949" spans="3:3">
      <c r="C1949" s="38"/>
    </row>
    <row r="1950" spans="3:3">
      <c r="C1950" s="38"/>
    </row>
    <row r="1951" spans="3:3">
      <c r="C1951" s="38"/>
    </row>
    <row r="1952" spans="3:3">
      <c r="C1952" s="38"/>
    </row>
    <row r="1953" spans="3:3">
      <c r="C1953" s="38"/>
    </row>
    <row r="1954" spans="3:3">
      <c r="C1954" s="38"/>
    </row>
    <row r="1955" spans="3:3">
      <c r="C1955" s="38"/>
    </row>
    <row r="1956" spans="3:3">
      <c r="C1956" s="38"/>
    </row>
    <row r="1957" spans="3:3">
      <c r="C1957" s="38"/>
    </row>
    <row r="1958" spans="3:3">
      <c r="C1958" s="38"/>
    </row>
    <row r="1959" spans="3:3">
      <c r="C1959" s="38"/>
    </row>
    <row r="1960" spans="3:3">
      <c r="C1960" s="38"/>
    </row>
    <row r="1961" spans="3:3">
      <c r="C1961" s="38"/>
    </row>
    <row r="1962" spans="3:3">
      <c r="C1962" s="38"/>
    </row>
    <row r="1963" spans="3:3">
      <c r="C1963" s="38"/>
    </row>
    <row r="1964" spans="3:3">
      <c r="C1964" s="38"/>
    </row>
    <row r="1965" spans="3:3">
      <c r="C1965" s="38"/>
    </row>
    <row r="1966" spans="3:3">
      <c r="C1966" s="38"/>
    </row>
    <row r="1967" spans="3:3">
      <c r="C1967" s="38"/>
    </row>
    <row r="1968" spans="3:3">
      <c r="C1968" s="38"/>
    </row>
    <row r="1969" spans="3:3">
      <c r="C1969" s="38"/>
    </row>
    <row r="1970" spans="3:3">
      <c r="C1970" s="38"/>
    </row>
    <row r="1971" spans="3:3">
      <c r="C1971" s="38"/>
    </row>
    <row r="1972" spans="3:3">
      <c r="C1972" s="38"/>
    </row>
    <row r="1973" spans="3:3">
      <c r="C1973" s="38"/>
    </row>
    <row r="1974" spans="3:3">
      <c r="C1974" s="38"/>
    </row>
    <row r="1975" spans="3:3">
      <c r="C1975" s="38"/>
    </row>
    <row r="1976" spans="3:3">
      <c r="C1976" s="38"/>
    </row>
    <row r="1977" spans="3:3">
      <c r="C1977" s="38"/>
    </row>
    <row r="1978" spans="3:3">
      <c r="C1978" s="38"/>
    </row>
    <row r="1979" spans="3:3">
      <c r="C1979" s="38"/>
    </row>
    <row r="1980" spans="3:3">
      <c r="C1980" s="38"/>
    </row>
    <row r="1981" spans="3:3">
      <c r="C1981" s="38"/>
    </row>
    <row r="1982" spans="3:3">
      <c r="C1982" s="38"/>
    </row>
    <row r="1983" spans="3:3">
      <c r="C1983" s="38"/>
    </row>
    <row r="1984" spans="3:3">
      <c r="C1984" s="38"/>
    </row>
    <row r="1985" spans="3:3">
      <c r="C1985" s="38"/>
    </row>
    <row r="1986" spans="3:3">
      <c r="C1986" s="38"/>
    </row>
    <row r="1987" spans="3:3">
      <c r="C1987" s="38"/>
    </row>
    <row r="1988" spans="3:3">
      <c r="C1988" s="38"/>
    </row>
    <row r="1989" spans="3:3">
      <c r="C1989" s="38"/>
    </row>
    <row r="1990" spans="3:3">
      <c r="C1990" s="38"/>
    </row>
    <row r="1991" spans="3:3">
      <c r="C1991" s="38"/>
    </row>
    <row r="1992" spans="3:3">
      <c r="C1992" s="38"/>
    </row>
    <row r="1993" spans="3:3">
      <c r="C1993" s="38"/>
    </row>
    <row r="1994" spans="3:3">
      <c r="C1994" s="38"/>
    </row>
    <row r="1995" spans="3:3">
      <c r="C1995" s="38"/>
    </row>
    <row r="1996" spans="3:3">
      <c r="C1996" s="38"/>
    </row>
    <row r="1997" spans="3:3">
      <c r="C1997" s="38"/>
    </row>
    <row r="1998" spans="3:3">
      <c r="C1998" s="38"/>
    </row>
    <row r="1999" spans="3:3">
      <c r="C1999" s="38"/>
    </row>
    <row r="2000" spans="3:3">
      <c r="C2000" s="38"/>
    </row>
    <row r="2001" spans="3:3">
      <c r="C2001" s="38"/>
    </row>
    <row r="2002" spans="3:3">
      <c r="C2002" s="38"/>
    </row>
    <row r="2003" spans="3:3">
      <c r="C2003" s="38"/>
    </row>
    <row r="2004" spans="3:3">
      <c r="C2004" s="38"/>
    </row>
    <row r="2005" spans="3:3">
      <c r="C2005" s="38"/>
    </row>
    <row r="2006" spans="3:3">
      <c r="C2006" s="38"/>
    </row>
    <row r="2007" spans="3:3">
      <c r="C2007" s="38"/>
    </row>
    <row r="2008" spans="3:3">
      <c r="C2008" s="38"/>
    </row>
    <row r="2009" spans="3:3">
      <c r="C2009" s="38"/>
    </row>
    <row r="2010" spans="3:3">
      <c r="C2010" s="38"/>
    </row>
    <row r="2011" spans="3:3">
      <c r="C2011" s="38"/>
    </row>
    <row r="2012" spans="3:3">
      <c r="C2012" s="38"/>
    </row>
    <row r="2013" spans="3:3">
      <c r="C2013" s="38"/>
    </row>
    <row r="2014" spans="3:3">
      <c r="C2014" s="38"/>
    </row>
    <row r="2015" spans="3:3">
      <c r="C2015" s="38"/>
    </row>
    <row r="2016" spans="3:3">
      <c r="C2016" s="38"/>
    </row>
    <row r="2017" spans="3:3">
      <c r="C2017" s="38"/>
    </row>
    <row r="2018" spans="3:3">
      <c r="C2018" s="38"/>
    </row>
    <row r="2019" spans="3:3">
      <c r="C2019" s="38"/>
    </row>
    <row r="2020" spans="3:3">
      <c r="C2020" s="38"/>
    </row>
    <row r="2021" spans="3:3">
      <c r="C2021" s="38"/>
    </row>
    <row r="2022" spans="3:3">
      <c r="C2022" s="38"/>
    </row>
    <row r="2023" spans="3:3">
      <c r="C2023" s="38"/>
    </row>
    <row r="2024" spans="3:3">
      <c r="C2024" s="38"/>
    </row>
    <row r="2025" spans="3:3">
      <c r="C2025" s="38"/>
    </row>
    <row r="2026" spans="3:3">
      <c r="C2026" s="38"/>
    </row>
    <row r="2027" spans="3:3">
      <c r="C2027" s="38"/>
    </row>
    <row r="2028" spans="3:3">
      <c r="C2028" s="38"/>
    </row>
    <row r="2029" spans="3:3">
      <c r="C2029" s="38"/>
    </row>
    <row r="2030" spans="3:3">
      <c r="C2030" s="38"/>
    </row>
    <row r="2031" spans="3:3">
      <c r="C2031" s="38"/>
    </row>
    <row r="2032" spans="3:3">
      <c r="C2032" s="38"/>
    </row>
    <row r="2033" spans="3:3">
      <c r="C2033" s="38"/>
    </row>
    <row r="2034" spans="3:3">
      <c r="C2034" s="38"/>
    </row>
    <row r="2035" spans="3:3">
      <c r="C2035" s="38"/>
    </row>
    <row r="2036" spans="3:3">
      <c r="C2036" s="38"/>
    </row>
    <row r="2037" spans="3:3">
      <c r="C2037" s="38"/>
    </row>
    <row r="2038" spans="3:3">
      <c r="C2038" s="38"/>
    </row>
    <row r="2039" spans="3:3">
      <c r="C2039" s="38"/>
    </row>
    <row r="2040" spans="3:3">
      <c r="C2040" s="38"/>
    </row>
    <row r="2041" spans="3:3">
      <c r="C2041" s="38"/>
    </row>
    <row r="2042" spans="3:3">
      <c r="C2042" s="38"/>
    </row>
    <row r="2043" spans="3:3">
      <c r="C2043" s="38"/>
    </row>
    <row r="2044" spans="3:3">
      <c r="C2044" s="38"/>
    </row>
    <row r="2045" spans="3:3">
      <c r="C2045" s="38"/>
    </row>
    <row r="2046" spans="3:3">
      <c r="C2046" s="38"/>
    </row>
    <row r="2047" spans="3:3">
      <c r="C2047" s="38"/>
    </row>
    <row r="2048" spans="3:3">
      <c r="C2048" s="38"/>
    </row>
    <row r="2049" spans="3:3">
      <c r="C2049" s="38"/>
    </row>
    <row r="2050" spans="3:3">
      <c r="C2050" s="38"/>
    </row>
    <row r="2051" spans="3:3">
      <c r="C2051" s="38"/>
    </row>
    <row r="2052" spans="3:3">
      <c r="C2052" s="38"/>
    </row>
    <row r="2053" spans="3:3">
      <c r="C2053" s="38"/>
    </row>
    <row r="2054" spans="3:3">
      <c r="C2054" s="38"/>
    </row>
    <row r="2055" spans="3:3">
      <c r="C2055" s="38"/>
    </row>
    <row r="2056" spans="3:3">
      <c r="C2056" s="38"/>
    </row>
    <row r="2057" spans="3:3">
      <c r="C2057" s="38"/>
    </row>
    <row r="2058" spans="3:3">
      <c r="C2058" s="38"/>
    </row>
    <row r="2059" spans="3:3">
      <c r="C2059" s="38"/>
    </row>
    <row r="2060" spans="3:3">
      <c r="C2060" s="38"/>
    </row>
    <row r="2061" spans="3:3">
      <c r="C2061" s="38"/>
    </row>
    <row r="2062" spans="3:3">
      <c r="C2062" s="38"/>
    </row>
    <row r="2063" spans="3:3">
      <c r="C2063" s="38"/>
    </row>
    <row r="2064" spans="3:3">
      <c r="C2064" s="38"/>
    </row>
    <row r="2065" spans="3:3">
      <c r="C2065" s="38"/>
    </row>
    <row r="2066" spans="3:3">
      <c r="C2066" s="38"/>
    </row>
    <row r="2067" spans="3:3">
      <c r="C2067" s="38"/>
    </row>
    <row r="2068" spans="3:3">
      <c r="C2068" s="38"/>
    </row>
    <row r="2069" spans="3:3">
      <c r="C2069" s="38"/>
    </row>
    <row r="2070" spans="3:3">
      <c r="C2070" s="38"/>
    </row>
    <row r="2071" spans="3:3">
      <c r="C2071" s="38"/>
    </row>
    <row r="2072" spans="3:3">
      <c r="C2072" s="38"/>
    </row>
    <row r="2073" spans="3:3">
      <c r="C2073" s="38"/>
    </row>
    <row r="2074" spans="3:3">
      <c r="C2074" s="38"/>
    </row>
    <row r="2075" spans="3:3">
      <c r="C2075" s="38"/>
    </row>
    <row r="2076" spans="3:3">
      <c r="C2076" s="38"/>
    </row>
    <row r="2077" spans="3:3">
      <c r="C2077" s="38"/>
    </row>
    <row r="2078" spans="3:3">
      <c r="C2078" s="38"/>
    </row>
    <row r="2079" spans="3:3">
      <c r="C2079" s="38"/>
    </row>
    <row r="2080" spans="3:3">
      <c r="C2080" s="38"/>
    </row>
    <row r="2081" spans="3:3">
      <c r="C2081" s="38"/>
    </row>
    <row r="2082" spans="3:3">
      <c r="C2082" s="38"/>
    </row>
    <row r="2083" spans="3:3">
      <c r="C2083" s="38"/>
    </row>
    <row r="2084" spans="3:3">
      <c r="C2084" s="38"/>
    </row>
    <row r="2085" spans="3:3">
      <c r="C2085" s="38"/>
    </row>
    <row r="2086" spans="3:3">
      <c r="C2086" s="38"/>
    </row>
    <row r="2087" spans="3:3">
      <c r="C2087" s="38"/>
    </row>
    <row r="2088" spans="3:3">
      <c r="C2088" s="38"/>
    </row>
    <row r="2089" spans="3:3">
      <c r="C2089" s="38"/>
    </row>
    <row r="2090" spans="3:3">
      <c r="C2090" s="38"/>
    </row>
    <row r="2091" spans="3:3">
      <c r="C2091" s="38"/>
    </row>
    <row r="2092" spans="3:3">
      <c r="C2092" s="38"/>
    </row>
    <row r="2093" spans="3:3">
      <c r="C2093" s="38"/>
    </row>
    <row r="2094" spans="3:3">
      <c r="C2094" s="38"/>
    </row>
    <row r="2095" spans="3:3">
      <c r="C2095" s="38"/>
    </row>
    <row r="2096" spans="3:3">
      <c r="C2096" s="38"/>
    </row>
    <row r="2097" spans="3:3">
      <c r="C2097" s="38"/>
    </row>
    <row r="2098" spans="3:3">
      <c r="C2098" s="38"/>
    </row>
    <row r="2099" spans="3:3">
      <c r="C2099" s="38"/>
    </row>
    <row r="2100" spans="3:3">
      <c r="C2100" s="38"/>
    </row>
    <row r="2101" spans="3:3">
      <c r="C2101" s="38"/>
    </row>
    <row r="2102" spans="3:3">
      <c r="C2102" s="38"/>
    </row>
    <row r="2103" spans="3:3">
      <c r="C2103" s="38"/>
    </row>
    <row r="2104" spans="3:3">
      <c r="C2104" s="38"/>
    </row>
    <row r="2105" spans="3:3">
      <c r="C2105" s="38"/>
    </row>
    <row r="2106" spans="3:3">
      <c r="C2106" s="38"/>
    </row>
    <row r="2107" spans="3:3">
      <c r="C2107" s="38"/>
    </row>
    <row r="2108" spans="3:3">
      <c r="C2108" s="38"/>
    </row>
    <row r="2109" spans="3:3">
      <c r="C2109" s="38"/>
    </row>
    <row r="2110" spans="3:3">
      <c r="C2110" s="38"/>
    </row>
    <row r="2111" spans="3:3">
      <c r="C2111" s="38"/>
    </row>
    <row r="2112" spans="3:3">
      <c r="C2112" s="38"/>
    </row>
    <row r="2113" spans="3:3">
      <c r="C2113" s="38"/>
    </row>
    <row r="2114" spans="3:3">
      <c r="C2114" s="38"/>
    </row>
    <row r="2115" spans="3:3">
      <c r="C2115" s="38"/>
    </row>
    <row r="2116" spans="3:3">
      <c r="C2116" s="38"/>
    </row>
    <row r="2117" spans="3:3">
      <c r="C2117" s="38"/>
    </row>
    <row r="2118" spans="3:3">
      <c r="C2118" s="38"/>
    </row>
    <row r="2119" spans="3:3">
      <c r="C2119" s="38"/>
    </row>
    <row r="2120" spans="3:3">
      <c r="C2120" s="38"/>
    </row>
    <row r="2121" spans="3:3">
      <c r="C2121" s="38"/>
    </row>
    <row r="2122" spans="3:3">
      <c r="C2122" s="38"/>
    </row>
    <row r="2123" spans="3:3">
      <c r="C2123" s="38"/>
    </row>
    <row r="2124" spans="3:3">
      <c r="C2124" s="38"/>
    </row>
    <row r="2125" spans="3:3">
      <c r="C2125" s="38"/>
    </row>
    <row r="2126" spans="3:3">
      <c r="C2126" s="38"/>
    </row>
    <row r="2127" spans="3:3">
      <c r="C2127" s="38"/>
    </row>
    <row r="2128" spans="3:3">
      <c r="C2128" s="38"/>
    </row>
    <row r="2129" spans="3:3">
      <c r="C2129" s="38"/>
    </row>
    <row r="2130" spans="3:3">
      <c r="C2130" s="38"/>
    </row>
    <row r="2131" spans="3:3">
      <c r="C2131" s="38"/>
    </row>
    <row r="2132" spans="3:3">
      <c r="C2132" s="38"/>
    </row>
    <row r="2133" spans="3:3">
      <c r="C2133" s="38"/>
    </row>
    <row r="2134" spans="3:3">
      <c r="C2134" s="38"/>
    </row>
    <row r="2135" spans="3:3">
      <c r="C2135" s="38"/>
    </row>
    <row r="2136" spans="3:3">
      <c r="C2136" s="38"/>
    </row>
    <row r="2137" spans="3:3">
      <c r="C2137" s="38"/>
    </row>
    <row r="2138" spans="3:3">
      <c r="C2138" s="38"/>
    </row>
    <row r="2139" spans="3:3">
      <c r="C2139" s="38"/>
    </row>
    <row r="2140" spans="3:3">
      <c r="C2140" s="38"/>
    </row>
    <row r="2141" spans="3:3">
      <c r="C2141" s="38"/>
    </row>
    <row r="2142" spans="3:3">
      <c r="C2142" s="38"/>
    </row>
    <row r="2143" spans="3:3">
      <c r="C2143" s="38"/>
    </row>
    <row r="2144" spans="3:3">
      <c r="C2144" s="38"/>
    </row>
    <row r="2145" spans="3:3">
      <c r="C2145" s="38"/>
    </row>
    <row r="2146" spans="3:3">
      <c r="C2146" s="38"/>
    </row>
    <row r="2147" spans="3:3">
      <c r="C2147" s="38"/>
    </row>
    <row r="2148" spans="3:3">
      <c r="C2148" s="38"/>
    </row>
    <row r="2149" spans="3:3">
      <c r="C2149" s="38"/>
    </row>
    <row r="2150" spans="3:3">
      <c r="C2150" s="38"/>
    </row>
    <row r="2151" spans="3:3">
      <c r="C2151" s="38"/>
    </row>
    <row r="2152" spans="3:3">
      <c r="C2152" s="38"/>
    </row>
    <row r="2153" spans="3:3">
      <c r="C2153" s="38"/>
    </row>
    <row r="2154" spans="3:3">
      <c r="C2154" s="38"/>
    </row>
    <row r="2155" spans="3:3">
      <c r="C2155" s="38"/>
    </row>
    <row r="2156" spans="3:3">
      <c r="C2156" s="38"/>
    </row>
    <row r="2157" spans="3:3">
      <c r="C2157" s="38"/>
    </row>
    <row r="2158" spans="3:3">
      <c r="C2158" s="38"/>
    </row>
    <row r="2159" spans="3:3">
      <c r="C2159" s="38"/>
    </row>
    <row r="2160" spans="3:3">
      <c r="C2160" s="38"/>
    </row>
    <row r="2161" spans="3:3">
      <c r="C2161" s="38"/>
    </row>
    <row r="2162" spans="3:3">
      <c r="C2162" s="38"/>
    </row>
    <row r="2163" spans="3:3">
      <c r="C2163" s="38"/>
    </row>
    <row r="2164" spans="3:3">
      <c r="C2164" s="38"/>
    </row>
    <row r="2165" spans="3:3">
      <c r="C2165" s="38"/>
    </row>
    <row r="2166" spans="3:3">
      <c r="C2166" s="38"/>
    </row>
    <row r="2167" spans="3:3">
      <c r="C2167" s="38"/>
    </row>
    <row r="2168" spans="3:3">
      <c r="C2168" s="38"/>
    </row>
    <row r="2169" spans="3:3">
      <c r="C2169" s="38"/>
    </row>
    <row r="2170" spans="3:3">
      <c r="C2170" s="38"/>
    </row>
    <row r="2171" spans="3:3">
      <c r="C2171" s="38"/>
    </row>
    <row r="2172" spans="3:3">
      <c r="C2172" s="38"/>
    </row>
    <row r="2173" spans="3:3">
      <c r="C2173" s="38"/>
    </row>
    <row r="2174" spans="3:3">
      <c r="C2174" s="38"/>
    </row>
    <row r="2175" spans="3:3">
      <c r="C2175" s="38"/>
    </row>
    <row r="2176" spans="3:3">
      <c r="C2176" s="38"/>
    </row>
    <row r="2177" spans="3:3">
      <c r="C2177" s="38"/>
    </row>
    <row r="2178" spans="3:3">
      <c r="C2178" s="38"/>
    </row>
    <row r="2179" spans="3:3">
      <c r="C2179" s="38"/>
    </row>
    <row r="2180" spans="3:3">
      <c r="C2180" s="38"/>
    </row>
    <row r="2181" spans="3:3">
      <c r="C2181" s="38"/>
    </row>
    <row r="2182" spans="3:3">
      <c r="C2182" s="38"/>
    </row>
    <row r="2183" spans="3:3">
      <c r="C2183" s="38"/>
    </row>
    <row r="2184" spans="3:3">
      <c r="C2184" s="38"/>
    </row>
    <row r="2185" spans="3:3">
      <c r="C2185" s="38"/>
    </row>
    <row r="2186" spans="3:3">
      <c r="C2186" s="38"/>
    </row>
    <row r="2187" spans="3:3">
      <c r="C2187" s="38"/>
    </row>
    <row r="2188" spans="3:3">
      <c r="C2188" s="38"/>
    </row>
    <row r="2189" spans="3:3">
      <c r="C2189" s="38"/>
    </row>
    <row r="2190" spans="3:3">
      <c r="C2190" s="38"/>
    </row>
    <row r="2191" spans="3:3">
      <c r="C2191" s="38"/>
    </row>
    <row r="2192" spans="3:3">
      <c r="C2192" s="38"/>
    </row>
    <row r="2193" spans="3:3">
      <c r="C2193" s="38"/>
    </row>
    <row r="2194" spans="3:3">
      <c r="C2194" s="38"/>
    </row>
    <row r="2195" spans="3:3">
      <c r="C2195" s="38"/>
    </row>
    <row r="2196" spans="3:3">
      <c r="C2196" s="38"/>
    </row>
    <row r="2197" spans="3:3">
      <c r="C2197" s="38"/>
    </row>
    <row r="2198" spans="3:3">
      <c r="C2198" s="38"/>
    </row>
    <row r="2199" spans="3:3">
      <c r="C2199" s="38"/>
    </row>
    <row r="2200" spans="3:3">
      <c r="C2200" s="38"/>
    </row>
    <row r="2201" spans="3:3">
      <c r="C2201" s="38"/>
    </row>
    <row r="2202" spans="3:3">
      <c r="C2202" s="38"/>
    </row>
    <row r="2203" spans="3:3">
      <c r="C2203" s="38"/>
    </row>
    <row r="2204" spans="3:3">
      <c r="C2204" s="38"/>
    </row>
    <row r="2205" spans="3:3">
      <c r="C2205" s="38"/>
    </row>
    <row r="2206" spans="3:3">
      <c r="C2206" s="38"/>
    </row>
    <row r="2207" spans="3:3">
      <c r="C2207" s="38"/>
    </row>
    <row r="2208" spans="3:3">
      <c r="C2208" s="38"/>
    </row>
    <row r="2209" spans="3:3">
      <c r="C2209" s="38"/>
    </row>
    <row r="2210" spans="3:3">
      <c r="C2210" s="38"/>
    </row>
    <row r="2211" spans="3:3">
      <c r="C2211" s="38"/>
    </row>
    <row r="2212" spans="3:3">
      <c r="C2212" s="38"/>
    </row>
    <row r="2213" spans="3:3">
      <c r="C2213" s="38"/>
    </row>
    <row r="2214" spans="3:3">
      <c r="C2214" s="38"/>
    </row>
    <row r="2215" spans="3:3">
      <c r="C2215" s="38"/>
    </row>
    <row r="2216" spans="3:3">
      <c r="C2216" s="38"/>
    </row>
    <row r="2217" spans="3:3">
      <c r="C2217" s="38"/>
    </row>
    <row r="2218" spans="3:3">
      <c r="C2218" s="38"/>
    </row>
    <row r="2219" spans="3:3">
      <c r="C2219" s="38"/>
    </row>
    <row r="2220" spans="3:3">
      <c r="C2220" s="38"/>
    </row>
    <row r="2221" spans="3:3">
      <c r="C2221" s="38"/>
    </row>
    <row r="2222" spans="3:3">
      <c r="C2222" s="38"/>
    </row>
    <row r="2223" spans="3:3">
      <c r="C2223" s="38"/>
    </row>
    <row r="2224" spans="3:3">
      <c r="C2224" s="38"/>
    </row>
    <row r="2225" spans="3:3">
      <c r="C2225" s="38"/>
    </row>
    <row r="2226" spans="3:3">
      <c r="C2226" s="38"/>
    </row>
    <row r="2227" spans="3:3">
      <c r="C2227" s="38"/>
    </row>
    <row r="2228" spans="3:3">
      <c r="C2228" s="38"/>
    </row>
    <row r="2229" spans="3:3">
      <c r="C2229" s="38"/>
    </row>
    <row r="2230" spans="3:3">
      <c r="C2230" s="38"/>
    </row>
    <row r="2231" spans="3:3">
      <c r="C2231" s="38"/>
    </row>
    <row r="2232" spans="3:3">
      <c r="C2232" s="38"/>
    </row>
    <row r="2233" spans="3:3">
      <c r="C2233" s="38"/>
    </row>
    <row r="2234" spans="3:3">
      <c r="C2234" s="38"/>
    </row>
    <row r="2235" spans="3:3">
      <c r="C2235" s="38"/>
    </row>
    <row r="2236" spans="3:3">
      <c r="C2236" s="38"/>
    </row>
    <row r="2237" spans="3:3">
      <c r="C2237" s="38"/>
    </row>
    <row r="2238" spans="3:3">
      <c r="C2238" s="38"/>
    </row>
    <row r="2239" spans="3:3">
      <c r="C2239" s="38"/>
    </row>
    <row r="2240" spans="3:3">
      <c r="C2240" s="38"/>
    </row>
    <row r="2241" spans="3:3">
      <c r="C2241" s="38"/>
    </row>
    <row r="2242" spans="3:3">
      <c r="C2242" s="38"/>
    </row>
    <row r="2243" spans="3:3">
      <c r="C2243" s="38"/>
    </row>
    <row r="2244" spans="3:3">
      <c r="C2244" s="38"/>
    </row>
    <row r="2245" spans="3:3">
      <c r="C2245" s="38"/>
    </row>
    <row r="2246" spans="3:3">
      <c r="C2246" s="38"/>
    </row>
    <row r="2247" spans="3:3">
      <c r="C2247" s="38"/>
    </row>
    <row r="2248" spans="3:3">
      <c r="C2248" s="38"/>
    </row>
    <row r="2249" spans="3:3">
      <c r="C2249" s="38"/>
    </row>
    <row r="2250" spans="3:3">
      <c r="C2250" s="38"/>
    </row>
    <row r="2251" spans="3:3">
      <c r="C2251" s="38"/>
    </row>
    <row r="2252" spans="3:3">
      <c r="C2252" s="38"/>
    </row>
    <row r="2253" spans="3:3">
      <c r="C2253" s="38"/>
    </row>
    <row r="2254" spans="3:3">
      <c r="C2254" s="38"/>
    </row>
    <row r="2255" spans="3:3">
      <c r="C2255" s="38"/>
    </row>
    <row r="2256" spans="3:3">
      <c r="C2256" s="38"/>
    </row>
    <row r="2257" spans="3:3">
      <c r="C2257" s="38"/>
    </row>
    <row r="2258" spans="3:3">
      <c r="C2258" s="38"/>
    </row>
    <row r="2259" spans="3:3">
      <c r="C2259" s="38"/>
    </row>
    <row r="2260" spans="3:3">
      <c r="C2260" s="38"/>
    </row>
    <row r="2261" spans="3:3">
      <c r="C2261" s="38"/>
    </row>
    <row r="2262" spans="3:3">
      <c r="C2262" s="38"/>
    </row>
    <row r="2263" spans="3:3">
      <c r="C2263" s="38"/>
    </row>
    <row r="2264" spans="3:3">
      <c r="C2264" s="38"/>
    </row>
    <row r="2265" spans="3:3">
      <c r="C2265" s="38"/>
    </row>
    <row r="2266" spans="3:3">
      <c r="C2266" s="38"/>
    </row>
    <row r="2267" spans="3:3">
      <c r="C2267" s="38"/>
    </row>
    <row r="2268" spans="3:3">
      <c r="C2268" s="38"/>
    </row>
    <row r="2269" spans="3:3">
      <c r="C2269" s="38"/>
    </row>
    <row r="2270" spans="3:3">
      <c r="C2270" s="38"/>
    </row>
    <row r="2271" spans="3:3">
      <c r="C2271" s="38"/>
    </row>
    <row r="2272" spans="3:3">
      <c r="C2272" s="38"/>
    </row>
    <row r="2273" spans="3:3">
      <c r="C2273" s="38"/>
    </row>
    <row r="2274" spans="3:3">
      <c r="C2274" s="38"/>
    </row>
    <row r="2275" spans="3:3">
      <c r="C2275" s="38"/>
    </row>
    <row r="2276" spans="3:3">
      <c r="C2276" s="38"/>
    </row>
    <row r="2277" spans="3:3">
      <c r="C2277" s="38"/>
    </row>
    <row r="2278" spans="3:3">
      <c r="C2278" s="38"/>
    </row>
    <row r="2279" spans="3:3">
      <c r="C2279" s="38"/>
    </row>
    <row r="2280" spans="3:3">
      <c r="C2280" s="38"/>
    </row>
    <row r="2281" spans="3:3">
      <c r="C2281" s="38"/>
    </row>
    <row r="2282" spans="3:3">
      <c r="C2282" s="38"/>
    </row>
    <row r="2283" spans="3:3">
      <c r="C2283" s="38"/>
    </row>
    <row r="2284" spans="3:3">
      <c r="C2284" s="38"/>
    </row>
    <row r="2285" spans="3:3">
      <c r="C2285" s="38"/>
    </row>
    <row r="2286" spans="3:3">
      <c r="C2286" s="38"/>
    </row>
    <row r="2287" spans="3:3">
      <c r="C2287" s="38"/>
    </row>
    <row r="2288" spans="3:3">
      <c r="C2288" s="38"/>
    </row>
    <row r="2289" spans="3:3">
      <c r="C2289" s="38"/>
    </row>
    <row r="2290" spans="3:3">
      <c r="C2290" s="38"/>
    </row>
    <row r="2291" spans="3:3">
      <c r="C2291" s="38"/>
    </row>
    <row r="2292" spans="3:3">
      <c r="C2292" s="38"/>
    </row>
    <row r="2293" spans="3:3">
      <c r="C2293" s="38"/>
    </row>
    <row r="2294" spans="3:3">
      <c r="C2294" s="38"/>
    </row>
    <row r="2295" spans="3:3">
      <c r="C2295" s="38"/>
    </row>
    <row r="2296" spans="3:3">
      <c r="C2296" s="38"/>
    </row>
    <row r="2297" spans="3:3">
      <c r="C2297" s="38"/>
    </row>
    <row r="2298" spans="3:3">
      <c r="C2298" s="38"/>
    </row>
    <row r="2299" spans="3:3">
      <c r="C2299" s="38"/>
    </row>
    <row r="2300" spans="3:3">
      <c r="C2300" s="38"/>
    </row>
    <row r="2301" spans="3:3">
      <c r="C2301" s="38"/>
    </row>
    <row r="2302" spans="3:3">
      <c r="C2302" s="38"/>
    </row>
    <row r="2303" spans="3:3">
      <c r="C2303" s="38"/>
    </row>
    <row r="2304" spans="3:3">
      <c r="C2304" s="38"/>
    </row>
    <row r="2305" spans="3:3">
      <c r="C2305" s="38"/>
    </row>
    <row r="2306" spans="3:3">
      <c r="C2306" s="38"/>
    </row>
    <row r="2307" spans="3:3">
      <c r="C2307" s="38"/>
    </row>
    <row r="2308" spans="3:3">
      <c r="C2308" s="38"/>
    </row>
    <row r="2309" spans="3:3">
      <c r="C2309" s="38"/>
    </row>
    <row r="2310" spans="3:3">
      <c r="C2310" s="38"/>
    </row>
    <row r="2311" spans="3:3">
      <c r="C2311" s="38"/>
    </row>
    <row r="2312" spans="3:3">
      <c r="C2312" s="38"/>
    </row>
    <row r="2313" spans="3:3">
      <c r="C2313" s="38"/>
    </row>
    <row r="2314" spans="3:3">
      <c r="C2314" s="38"/>
    </row>
    <row r="2315" spans="3:3">
      <c r="C2315" s="38"/>
    </row>
    <row r="2316" spans="3:3">
      <c r="C2316" s="38"/>
    </row>
    <row r="2317" spans="3:3">
      <c r="C2317" s="38"/>
    </row>
    <row r="2318" spans="3:3">
      <c r="C2318" s="38"/>
    </row>
    <row r="2319" spans="3:3">
      <c r="C2319" s="38"/>
    </row>
    <row r="2320" spans="3:3">
      <c r="C2320" s="38"/>
    </row>
    <row r="2321" spans="3:3">
      <c r="C2321" s="38"/>
    </row>
    <row r="2322" spans="3:3">
      <c r="C2322" s="38"/>
    </row>
    <row r="2323" spans="3:3">
      <c r="C2323" s="38"/>
    </row>
    <row r="2324" spans="3:3">
      <c r="C2324" s="38"/>
    </row>
    <row r="2325" spans="3:3">
      <c r="C2325" s="38"/>
    </row>
    <row r="2326" spans="3:3">
      <c r="C2326" s="38"/>
    </row>
    <row r="2327" spans="3:3">
      <c r="C2327" s="38"/>
    </row>
    <row r="2328" spans="3:3">
      <c r="C2328" s="38"/>
    </row>
    <row r="2329" spans="3:3">
      <c r="C2329" s="38"/>
    </row>
    <row r="2330" spans="3:3">
      <c r="C2330" s="38"/>
    </row>
    <row r="2331" spans="3:3">
      <c r="C2331" s="38"/>
    </row>
    <row r="2332" spans="3:3">
      <c r="C2332" s="38"/>
    </row>
    <row r="2333" spans="3:3">
      <c r="C2333" s="38"/>
    </row>
    <row r="2334" spans="3:3">
      <c r="C2334" s="38"/>
    </row>
    <row r="2335" spans="3:3">
      <c r="C2335" s="38"/>
    </row>
    <row r="2336" spans="3:3">
      <c r="C2336" s="38"/>
    </row>
    <row r="2337" spans="3:3">
      <c r="C2337" s="38"/>
    </row>
    <row r="2338" spans="3:3">
      <c r="C2338" s="38"/>
    </row>
    <row r="2339" spans="3:3">
      <c r="C2339" s="38"/>
    </row>
    <row r="2340" spans="3:3">
      <c r="C2340" s="38"/>
    </row>
    <row r="2341" spans="3:3">
      <c r="C2341" s="38"/>
    </row>
    <row r="2342" spans="3:3">
      <c r="C2342" s="38"/>
    </row>
    <row r="2343" spans="3:3">
      <c r="C2343" s="38"/>
    </row>
    <row r="2344" spans="3:3">
      <c r="C2344" s="38"/>
    </row>
    <row r="2345" spans="3:3">
      <c r="C2345" s="38"/>
    </row>
    <row r="2346" spans="3:3">
      <c r="C2346" s="38"/>
    </row>
    <row r="2347" spans="3:3">
      <c r="C2347" s="38"/>
    </row>
    <row r="2348" spans="3:3">
      <c r="C2348" s="38"/>
    </row>
    <row r="2349" spans="3:3">
      <c r="C2349" s="38"/>
    </row>
    <row r="2350" spans="3:3">
      <c r="C2350" s="38"/>
    </row>
    <row r="2351" spans="3:3">
      <c r="C2351" s="38"/>
    </row>
    <row r="2352" spans="3:3">
      <c r="C2352" s="38"/>
    </row>
    <row r="2353" spans="3:3">
      <c r="C2353" s="38"/>
    </row>
    <row r="2354" spans="3:3">
      <c r="C2354" s="38"/>
    </row>
    <row r="2355" spans="3:3">
      <c r="C2355" s="38"/>
    </row>
    <row r="2356" spans="3:3">
      <c r="C2356" s="38"/>
    </row>
    <row r="2357" spans="3:3">
      <c r="C2357" s="38"/>
    </row>
    <row r="2358" spans="3:3">
      <c r="C2358" s="38"/>
    </row>
    <row r="2359" spans="3:3">
      <c r="C2359" s="38"/>
    </row>
    <row r="2360" spans="3:3">
      <c r="C2360" s="38"/>
    </row>
    <row r="2361" spans="3:3">
      <c r="C2361" s="38"/>
    </row>
    <row r="2362" spans="3:3">
      <c r="C2362" s="38"/>
    </row>
    <row r="2363" spans="3:3">
      <c r="C2363" s="38"/>
    </row>
    <row r="2364" spans="3:3">
      <c r="C2364" s="38"/>
    </row>
    <row r="2365" spans="3:3">
      <c r="C2365" s="38"/>
    </row>
    <row r="2366" spans="3:3">
      <c r="C2366" s="38"/>
    </row>
    <row r="2367" spans="3:3">
      <c r="C2367" s="38"/>
    </row>
    <row r="2368" spans="3:3">
      <c r="C2368" s="38"/>
    </row>
    <row r="2369" spans="3:3">
      <c r="C2369" s="38"/>
    </row>
    <row r="2370" spans="3:3">
      <c r="C2370" s="38"/>
    </row>
    <row r="2371" spans="3:3">
      <c r="C2371" s="38"/>
    </row>
    <row r="2372" spans="3:3">
      <c r="C2372" s="38"/>
    </row>
    <row r="2373" spans="3:3">
      <c r="C2373" s="38"/>
    </row>
    <row r="2374" spans="3:3">
      <c r="C2374" s="38"/>
    </row>
    <row r="2375" spans="3:3">
      <c r="C2375" s="38"/>
    </row>
    <row r="2376" spans="3:3">
      <c r="C2376" s="38"/>
    </row>
    <row r="2377" spans="3:3">
      <c r="C2377" s="38"/>
    </row>
    <row r="2378" spans="3:3">
      <c r="C2378" s="38"/>
    </row>
    <row r="2379" spans="3:3">
      <c r="C2379" s="38"/>
    </row>
    <row r="2380" spans="3:3">
      <c r="C2380" s="38"/>
    </row>
    <row r="2381" spans="3:3">
      <c r="C2381" s="38"/>
    </row>
    <row r="2382" spans="3:3">
      <c r="C2382" s="38"/>
    </row>
    <row r="2383" spans="3:3">
      <c r="C2383" s="38"/>
    </row>
    <row r="2384" spans="3:3">
      <c r="C2384" s="38"/>
    </row>
    <row r="2385" spans="3:3">
      <c r="C2385" s="38"/>
    </row>
    <row r="2386" spans="3:3">
      <c r="C2386" s="38"/>
    </row>
    <row r="2387" spans="3:3">
      <c r="C2387" s="38"/>
    </row>
    <row r="2388" spans="3:3">
      <c r="C2388" s="38"/>
    </row>
    <row r="2389" spans="3:3">
      <c r="C2389" s="38"/>
    </row>
    <row r="2390" spans="3:3">
      <c r="C2390" s="38"/>
    </row>
    <row r="2391" spans="3:3">
      <c r="C2391" s="38"/>
    </row>
    <row r="2392" spans="3:3">
      <c r="C2392" s="38"/>
    </row>
    <row r="2393" spans="3:3">
      <c r="C2393" s="38"/>
    </row>
    <row r="2394" spans="3:3">
      <c r="C2394" s="38"/>
    </row>
    <row r="2395" spans="3:3">
      <c r="C2395" s="38"/>
    </row>
    <row r="2396" spans="3:3">
      <c r="C2396" s="38"/>
    </row>
    <row r="2397" spans="3:3">
      <c r="C2397" s="38"/>
    </row>
    <row r="2398" spans="3:3">
      <c r="C2398" s="38"/>
    </row>
    <row r="2399" spans="3:3">
      <c r="C2399" s="38"/>
    </row>
    <row r="2400" spans="3:3">
      <c r="C2400" s="38"/>
    </row>
    <row r="2401" spans="3:3">
      <c r="C2401" s="38"/>
    </row>
    <row r="2402" spans="3:3">
      <c r="C2402" s="38"/>
    </row>
    <row r="2403" spans="3:3">
      <c r="C2403" s="38"/>
    </row>
    <row r="2404" spans="3:3">
      <c r="C2404" s="38"/>
    </row>
    <row r="2405" spans="3:3">
      <c r="C2405" s="38"/>
    </row>
    <row r="2406" spans="3:3">
      <c r="C2406" s="38"/>
    </row>
    <row r="2407" spans="3:3">
      <c r="C2407" s="38"/>
    </row>
    <row r="2408" spans="3:3">
      <c r="C2408" s="38"/>
    </row>
    <row r="2409" spans="3:3">
      <c r="C2409" s="38"/>
    </row>
    <row r="2410" spans="3:3">
      <c r="C2410" s="38"/>
    </row>
    <row r="2411" spans="3:3">
      <c r="C2411" s="38"/>
    </row>
    <row r="2412" spans="3:3">
      <c r="C2412" s="38"/>
    </row>
    <row r="2413" spans="3:3">
      <c r="C2413" s="38"/>
    </row>
    <row r="2414" spans="3:3">
      <c r="C2414" s="38"/>
    </row>
    <row r="2415" spans="3:3">
      <c r="C2415" s="38"/>
    </row>
    <row r="2416" spans="3:3">
      <c r="C2416" s="38"/>
    </row>
    <row r="2417" spans="3:3">
      <c r="C2417" s="38"/>
    </row>
    <row r="2418" spans="3:3">
      <c r="C2418" s="38"/>
    </row>
    <row r="2419" spans="3:3">
      <c r="C2419" s="38"/>
    </row>
    <row r="2420" spans="3:3">
      <c r="C2420" s="38"/>
    </row>
    <row r="2421" spans="3:3">
      <c r="C2421" s="38"/>
    </row>
    <row r="2422" spans="3:3">
      <c r="C2422" s="38"/>
    </row>
    <row r="2423" spans="3:3">
      <c r="C2423" s="38"/>
    </row>
    <row r="2424" spans="3:3">
      <c r="C2424" s="38"/>
    </row>
    <row r="2425" spans="3:3">
      <c r="C2425" s="38"/>
    </row>
    <row r="2426" spans="3:3">
      <c r="C2426" s="38"/>
    </row>
    <row r="2427" spans="3:3">
      <c r="C2427" s="38"/>
    </row>
    <row r="2428" spans="3:3">
      <c r="C2428" s="38"/>
    </row>
    <row r="2429" spans="3:3">
      <c r="C2429" s="38"/>
    </row>
    <row r="2430" spans="3:3">
      <c r="C2430" s="38"/>
    </row>
    <row r="2431" spans="3:3">
      <c r="C2431" s="38"/>
    </row>
    <row r="2432" spans="3:3">
      <c r="C2432" s="38"/>
    </row>
    <row r="2433" spans="3:3">
      <c r="C2433" s="38"/>
    </row>
    <row r="2434" spans="3:3">
      <c r="C2434" s="38"/>
    </row>
    <row r="2435" spans="3:3">
      <c r="C2435" s="38"/>
    </row>
    <row r="2436" spans="3:3">
      <c r="C2436" s="38"/>
    </row>
    <row r="2437" spans="3:3">
      <c r="C2437" s="38"/>
    </row>
    <row r="2438" spans="3:3">
      <c r="C2438" s="38"/>
    </row>
    <row r="2439" spans="3:3">
      <c r="C2439" s="38"/>
    </row>
    <row r="2440" spans="3:3">
      <c r="C2440" s="38"/>
    </row>
    <row r="2441" spans="3:3">
      <c r="C2441" s="38"/>
    </row>
    <row r="2442" spans="3:3">
      <c r="C2442" s="38"/>
    </row>
    <row r="2443" spans="3:3">
      <c r="C2443" s="38"/>
    </row>
    <row r="2444" spans="3:3">
      <c r="C2444" s="38"/>
    </row>
    <row r="2445" spans="3:3">
      <c r="C2445" s="38"/>
    </row>
    <row r="2446" spans="3:3">
      <c r="C2446" s="38"/>
    </row>
    <row r="2447" spans="3:3">
      <c r="C2447" s="38"/>
    </row>
    <row r="2448" spans="3:3">
      <c r="C2448" s="38"/>
    </row>
    <row r="2449" spans="3:3">
      <c r="C2449" s="38"/>
    </row>
    <row r="2450" spans="3:3">
      <c r="C2450" s="38"/>
    </row>
    <row r="2451" spans="3:3">
      <c r="C2451" s="38"/>
    </row>
    <row r="2452" spans="3:3">
      <c r="C2452" s="38"/>
    </row>
    <row r="2453" spans="3:3">
      <c r="C2453" s="38"/>
    </row>
    <row r="2454" spans="3:3">
      <c r="C2454" s="38"/>
    </row>
    <row r="2455" spans="3:3">
      <c r="C2455" s="38"/>
    </row>
    <row r="2456" spans="3:3">
      <c r="C2456" s="38"/>
    </row>
    <row r="2457" spans="3:3">
      <c r="C2457" s="38"/>
    </row>
    <row r="2458" spans="3:3">
      <c r="C2458" s="38"/>
    </row>
    <row r="2459" spans="3:3">
      <c r="C2459" s="38"/>
    </row>
    <row r="2460" spans="3:3">
      <c r="C2460" s="38"/>
    </row>
    <row r="2461" spans="3:3">
      <c r="C2461" s="38"/>
    </row>
    <row r="2462" spans="3:3">
      <c r="C2462" s="38"/>
    </row>
    <row r="2463" spans="3:3">
      <c r="C2463" s="38"/>
    </row>
    <row r="2464" spans="3:3">
      <c r="C2464" s="38"/>
    </row>
    <row r="2465" spans="3:3">
      <c r="C2465" s="38"/>
    </row>
    <row r="2466" spans="3:3">
      <c r="C2466" s="38"/>
    </row>
    <row r="2467" spans="3:3">
      <c r="C2467" s="38"/>
    </row>
    <row r="2468" spans="3:3">
      <c r="C2468" s="38"/>
    </row>
    <row r="2469" spans="3:3">
      <c r="C2469" s="38"/>
    </row>
    <row r="2470" spans="3:3">
      <c r="C2470" s="38"/>
    </row>
    <row r="2471" spans="3:3">
      <c r="C2471" s="38"/>
    </row>
    <row r="2472" spans="3:3">
      <c r="C2472" s="38"/>
    </row>
    <row r="2473" spans="3:3">
      <c r="C2473" s="38"/>
    </row>
    <row r="2474" spans="3:3">
      <c r="C2474" s="38"/>
    </row>
    <row r="2475" spans="3:3">
      <c r="C2475" s="38"/>
    </row>
    <row r="2476" spans="3:3">
      <c r="C2476" s="38"/>
    </row>
    <row r="2477" spans="3:3">
      <c r="C2477" s="38"/>
    </row>
    <row r="2478" spans="3:3">
      <c r="C2478" s="38"/>
    </row>
    <row r="2479" spans="3:3">
      <c r="C2479" s="38"/>
    </row>
    <row r="2480" spans="3:3">
      <c r="C2480" s="38"/>
    </row>
    <row r="2481" spans="3:3">
      <c r="C2481" s="38"/>
    </row>
    <row r="2482" spans="3:3">
      <c r="C2482" s="38"/>
    </row>
    <row r="2483" spans="3:3">
      <c r="C2483" s="38"/>
    </row>
    <row r="2484" spans="3:3">
      <c r="C2484" s="38"/>
    </row>
    <row r="2485" spans="3:3">
      <c r="C2485" s="38"/>
    </row>
    <row r="2486" spans="3:3">
      <c r="C2486" s="38"/>
    </row>
    <row r="2487" spans="3:3">
      <c r="C2487" s="38"/>
    </row>
    <row r="2488" spans="3:3">
      <c r="C2488" s="38"/>
    </row>
    <row r="2489" spans="3:3">
      <c r="C2489" s="38"/>
    </row>
    <row r="2490" spans="3:3">
      <c r="C2490" s="38"/>
    </row>
    <row r="2491" spans="3:3">
      <c r="C2491" s="38"/>
    </row>
    <row r="2492" spans="3:3">
      <c r="C2492" s="38"/>
    </row>
    <row r="2493" spans="3:3">
      <c r="C2493" s="38"/>
    </row>
    <row r="2494" spans="3:3">
      <c r="C2494" s="38"/>
    </row>
    <row r="2495" spans="3:3">
      <c r="C2495" s="38"/>
    </row>
    <row r="2496" spans="3:3">
      <c r="C2496" s="38"/>
    </row>
    <row r="2497" spans="3:3">
      <c r="C2497" s="38"/>
    </row>
    <row r="2498" spans="3:3">
      <c r="C2498" s="38"/>
    </row>
    <row r="2499" spans="3:3">
      <c r="C2499" s="38"/>
    </row>
    <row r="2500" spans="3:3">
      <c r="C2500" s="38"/>
    </row>
    <row r="2501" spans="3:3">
      <c r="C2501" s="38"/>
    </row>
    <row r="2502" spans="3:3">
      <c r="C2502" s="38"/>
    </row>
    <row r="2503" spans="3:3">
      <c r="C2503" s="38"/>
    </row>
    <row r="2504" spans="3:3">
      <c r="C2504" s="38"/>
    </row>
    <row r="2505" spans="3:3">
      <c r="C2505" s="38"/>
    </row>
    <row r="2506" spans="3:3">
      <c r="C2506" s="38"/>
    </row>
    <row r="2507" spans="3:3">
      <c r="C2507" s="38"/>
    </row>
    <row r="2508" spans="3:3">
      <c r="C2508" s="38"/>
    </row>
    <row r="2509" spans="3:3">
      <c r="C2509" s="38"/>
    </row>
    <row r="2510" spans="3:3">
      <c r="C2510" s="38"/>
    </row>
    <row r="2511" spans="3:3">
      <c r="C2511" s="38"/>
    </row>
    <row r="2512" spans="3:3">
      <c r="C2512" s="38"/>
    </row>
    <row r="2513" spans="3:3">
      <c r="C2513" s="38"/>
    </row>
    <row r="2514" spans="3:3">
      <c r="C2514" s="38"/>
    </row>
    <row r="2515" spans="3:3">
      <c r="C2515" s="38"/>
    </row>
    <row r="2516" spans="3:3">
      <c r="C2516" s="38"/>
    </row>
    <row r="2517" spans="3:3">
      <c r="C2517" s="38"/>
    </row>
    <row r="2518" spans="3:3">
      <c r="C2518" s="38"/>
    </row>
    <row r="2519" spans="3:3">
      <c r="C2519" s="38"/>
    </row>
    <row r="2520" spans="3:3">
      <c r="C2520" s="38"/>
    </row>
    <row r="2521" spans="3:3">
      <c r="C2521" s="38"/>
    </row>
    <row r="2522" spans="3:3">
      <c r="C2522" s="38"/>
    </row>
    <row r="2523" spans="3:3">
      <c r="C2523" s="38"/>
    </row>
    <row r="2524" spans="3:3">
      <c r="C2524" s="38"/>
    </row>
    <row r="2525" spans="3:3">
      <c r="C2525" s="38"/>
    </row>
    <row r="2526" spans="3:3">
      <c r="C2526" s="38"/>
    </row>
    <row r="2527" spans="3:3">
      <c r="C2527" s="38"/>
    </row>
    <row r="2528" spans="3:3">
      <c r="C2528" s="38"/>
    </row>
    <row r="2529" spans="3:3">
      <c r="C2529" s="38"/>
    </row>
    <row r="2530" spans="3:3">
      <c r="C2530" s="38"/>
    </row>
    <row r="2531" spans="3:3">
      <c r="C2531" s="38"/>
    </row>
    <row r="2532" spans="3:3">
      <c r="C2532" s="38"/>
    </row>
    <row r="2533" spans="3:3">
      <c r="C2533" s="38"/>
    </row>
    <row r="2534" spans="3:3">
      <c r="C2534" s="38"/>
    </row>
    <row r="2535" spans="3:3">
      <c r="C2535" s="38"/>
    </row>
    <row r="2536" spans="3:3">
      <c r="C2536" s="38"/>
    </row>
    <row r="2537" spans="3:3">
      <c r="C2537" s="38"/>
    </row>
    <row r="2538" spans="3:3">
      <c r="C2538" s="38"/>
    </row>
    <row r="2539" spans="3:3">
      <c r="C2539" s="38"/>
    </row>
    <row r="2540" spans="3:3">
      <c r="C2540" s="38"/>
    </row>
    <row r="2541" spans="3:3">
      <c r="C2541" s="38"/>
    </row>
    <row r="2542" spans="3:3">
      <c r="C2542" s="38"/>
    </row>
    <row r="2543" spans="3:3">
      <c r="C2543" s="38"/>
    </row>
    <row r="2544" spans="3:3">
      <c r="C2544" s="38"/>
    </row>
    <row r="2545" spans="3:3">
      <c r="C2545" s="38"/>
    </row>
    <row r="2546" spans="3:3">
      <c r="C2546" s="38"/>
    </row>
    <row r="2547" spans="3:3">
      <c r="C2547" s="38"/>
    </row>
    <row r="2548" spans="3:3">
      <c r="C2548" s="38"/>
    </row>
    <row r="2549" spans="3:3">
      <c r="C2549" s="38"/>
    </row>
    <row r="2550" spans="3:3">
      <c r="C2550" s="38"/>
    </row>
    <row r="2551" spans="3:3">
      <c r="C2551" s="38"/>
    </row>
    <row r="2552" spans="3:3">
      <c r="C2552" s="38"/>
    </row>
    <row r="2553" spans="3:3">
      <c r="C2553" s="38"/>
    </row>
    <row r="2554" spans="3:3">
      <c r="C2554" s="38"/>
    </row>
    <row r="2555" spans="3:3">
      <c r="C2555" s="38"/>
    </row>
    <row r="2556" spans="3:3">
      <c r="C2556" s="38"/>
    </row>
    <row r="2557" spans="3:3">
      <c r="C2557" s="38"/>
    </row>
    <row r="2558" spans="3:3">
      <c r="C2558" s="38"/>
    </row>
    <row r="2559" spans="3:3">
      <c r="C2559" s="38"/>
    </row>
    <row r="2560" spans="3:3">
      <c r="C2560" s="38"/>
    </row>
    <row r="2561" spans="3:3">
      <c r="C2561" s="38"/>
    </row>
    <row r="2562" spans="3:3">
      <c r="C2562" s="38"/>
    </row>
    <row r="2563" spans="3:3">
      <c r="C2563" s="38"/>
    </row>
    <row r="2564" spans="3:3">
      <c r="C2564" s="38"/>
    </row>
    <row r="2565" spans="3:3">
      <c r="C2565" s="38"/>
    </row>
    <row r="2566" spans="3:3">
      <c r="C2566" s="38"/>
    </row>
    <row r="2567" spans="3:3">
      <c r="C2567" s="38"/>
    </row>
    <row r="2568" spans="3:3">
      <c r="C2568" s="38"/>
    </row>
    <row r="2569" spans="3:3">
      <c r="C2569" s="38"/>
    </row>
    <row r="2570" spans="3:3">
      <c r="C2570" s="38"/>
    </row>
    <row r="2571" spans="3:3">
      <c r="C2571" s="38"/>
    </row>
    <row r="2572" spans="3:3">
      <c r="C2572" s="38"/>
    </row>
    <row r="2573" spans="3:3">
      <c r="C2573" s="38"/>
    </row>
    <row r="2574" spans="3:3">
      <c r="C2574" s="38"/>
    </row>
    <row r="2575" spans="3:3">
      <c r="C2575" s="38"/>
    </row>
    <row r="2576" spans="3:3">
      <c r="C2576" s="38"/>
    </row>
    <row r="2577" spans="3:3">
      <c r="C2577" s="38"/>
    </row>
    <row r="2578" spans="3:3">
      <c r="C2578" s="38"/>
    </row>
    <row r="2579" spans="3:3">
      <c r="C2579" s="38"/>
    </row>
    <row r="2580" spans="3:3">
      <c r="C2580" s="38"/>
    </row>
    <row r="2581" spans="3:3">
      <c r="C2581" s="38"/>
    </row>
    <row r="2582" spans="3:3">
      <c r="C2582" s="38"/>
    </row>
    <row r="2583" spans="3:3">
      <c r="C2583" s="38"/>
    </row>
    <row r="2584" spans="3:3">
      <c r="C2584" s="38"/>
    </row>
    <row r="2585" spans="3:3">
      <c r="C2585" s="38"/>
    </row>
    <row r="2586" spans="3:3">
      <c r="C2586" s="38"/>
    </row>
    <row r="2587" spans="3:3">
      <c r="C2587" s="38"/>
    </row>
    <row r="2588" spans="3:3">
      <c r="C2588" s="38"/>
    </row>
    <row r="2589" spans="3:3">
      <c r="C2589" s="38"/>
    </row>
    <row r="2590" spans="3:3">
      <c r="C2590" s="38"/>
    </row>
    <row r="2591" spans="3:3">
      <c r="C2591" s="38"/>
    </row>
    <row r="2592" spans="3:3">
      <c r="C2592" s="38"/>
    </row>
    <row r="2593" spans="3:3">
      <c r="C2593" s="38"/>
    </row>
    <row r="2594" spans="3:3">
      <c r="C2594" s="38"/>
    </row>
    <row r="2595" spans="3:3">
      <c r="C2595" s="38"/>
    </row>
    <row r="2596" spans="3:3">
      <c r="C2596" s="38"/>
    </row>
    <row r="2597" spans="3:3">
      <c r="C2597" s="38"/>
    </row>
    <row r="2598" spans="3:3">
      <c r="C2598" s="38"/>
    </row>
    <row r="2599" spans="3:3">
      <c r="C2599" s="38"/>
    </row>
    <row r="2600" spans="3:3">
      <c r="C2600" s="38"/>
    </row>
    <row r="2601" spans="3:3">
      <c r="C2601" s="38"/>
    </row>
    <row r="2602" spans="3:3">
      <c r="C2602" s="38"/>
    </row>
    <row r="2603" spans="3:3">
      <c r="C2603" s="38"/>
    </row>
    <row r="2604" spans="3:3">
      <c r="C2604" s="38"/>
    </row>
    <row r="2605" spans="3:3">
      <c r="C2605" s="38"/>
    </row>
    <row r="2606" spans="3:3">
      <c r="C2606" s="38"/>
    </row>
    <row r="2607" spans="3:3">
      <c r="C2607" s="38"/>
    </row>
    <row r="2608" spans="3:3">
      <c r="C2608" s="38"/>
    </row>
    <row r="2609" spans="3:3">
      <c r="C2609" s="38"/>
    </row>
    <row r="2610" spans="3:3">
      <c r="C2610" s="38"/>
    </row>
    <row r="2611" spans="3:3">
      <c r="C2611" s="38"/>
    </row>
    <row r="2612" spans="3:3">
      <c r="C2612" s="38"/>
    </row>
    <row r="2613" spans="3:3">
      <c r="C2613" s="38"/>
    </row>
    <row r="2614" spans="3:3">
      <c r="C2614" s="38"/>
    </row>
    <row r="2615" spans="3:3">
      <c r="C2615" s="38"/>
    </row>
    <row r="2616" spans="3:3">
      <c r="C2616" s="38"/>
    </row>
    <row r="2617" spans="3:3">
      <c r="C2617" s="38"/>
    </row>
    <row r="2618" spans="3:3">
      <c r="C2618" s="38"/>
    </row>
    <row r="2619" spans="3:3">
      <c r="C2619" s="38"/>
    </row>
    <row r="2620" spans="3:3">
      <c r="C2620" s="38"/>
    </row>
    <row r="2621" spans="3:3">
      <c r="C2621" s="38"/>
    </row>
    <row r="2622" spans="3:3">
      <c r="C2622" s="38"/>
    </row>
    <row r="2623" spans="3:3">
      <c r="C2623" s="38"/>
    </row>
    <row r="2624" spans="3:3">
      <c r="C2624" s="38"/>
    </row>
    <row r="2625" spans="3:3">
      <c r="C2625" s="38"/>
    </row>
    <row r="2626" spans="3:3">
      <c r="C2626" s="38"/>
    </row>
    <row r="2627" spans="3:3">
      <c r="C2627" s="38"/>
    </row>
    <row r="2628" spans="3:3">
      <c r="C2628" s="38"/>
    </row>
    <row r="2629" spans="3:3">
      <c r="C2629" s="38"/>
    </row>
    <row r="2630" spans="3:3">
      <c r="C2630" s="38"/>
    </row>
    <row r="2631" spans="3:3">
      <c r="C2631" s="38"/>
    </row>
    <row r="2632" spans="3:3">
      <c r="C2632" s="38"/>
    </row>
    <row r="2633" spans="3:3">
      <c r="C2633" s="38"/>
    </row>
    <row r="2634" spans="3:3">
      <c r="C2634" s="38"/>
    </row>
    <row r="2635" spans="3:3">
      <c r="C2635" s="38"/>
    </row>
    <row r="2636" spans="3:3">
      <c r="C2636" s="38"/>
    </row>
    <row r="2637" spans="3:3">
      <c r="C2637" s="38"/>
    </row>
    <row r="2638" spans="3:3">
      <c r="C2638" s="38"/>
    </row>
    <row r="2639" spans="3:3">
      <c r="C2639" s="38"/>
    </row>
    <row r="2640" spans="3:3">
      <c r="C2640" s="38"/>
    </row>
    <row r="2641" spans="3:3">
      <c r="C2641" s="38"/>
    </row>
    <row r="2642" spans="3:3">
      <c r="C2642" s="38"/>
    </row>
    <row r="2643" spans="3:3">
      <c r="C2643" s="38"/>
    </row>
    <row r="2644" spans="3:3">
      <c r="C2644" s="38"/>
    </row>
    <row r="2645" spans="3:3">
      <c r="C2645" s="38"/>
    </row>
    <row r="2646" spans="3:3">
      <c r="C2646" s="38"/>
    </row>
    <row r="2647" spans="3:3">
      <c r="C2647" s="38"/>
    </row>
    <row r="2648" spans="3:3">
      <c r="C2648" s="38"/>
    </row>
    <row r="2649" spans="3:3">
      <c r="C2649" s="38"/>
    </row>
    <row r="2650" spans="3:3">
      <c r="C2650" s="38"/>
    </row>
    <row r="2651" spans="3:3">
      <c r="C2651" s="38"/>
    </row>
    <row r="2652" spans="3:3">
      <c r="C2652" s="38"/>
    </row>
    <row r="2653" spans="3:3">
      <c r="C2653" s="38"/>
    </row>
    <row r="2654" spans="3:3">
      <c r="C2654" s="38"/>
    </row>
    <row r="2655" spans="3:3">
      <c r="C2655" s="38"/>
    </row>
    <row r="2656" spans="3:3">
      <c r="C2656" s="38"/>
    </row>
    <row r="2657" spans="3:3">
      <c r="C2657" s="38"/>
    </row>
    <row r="2658" spans="3:3">
      <c r="C2658" s="38"/>
    </row>
    <row r="2659" spans="3:3">
      <c r="C2659" s="38"/>
    </row>
    <row r="2660" spans="3:3">
      <c r="C2660" s="38"/>
    </row>
    <row r="2661" spans="3:3">
      <c r="C2661" s="38"/>
    </row>
    <row r="2662" spans="3:3">
      <c r="C2662" s="38"/>
    </row>
    <row r="2663" spans="3:3">
      <c r="C2663" s="38"/>
    </row>
    <row r="2664" spans="3:3">
      <c r="C2664" s="38"/>
    </row>
    <row r="2665" spans="3:3">
      <c r="C2665" s="38"/>
    </row>
    <row r="2666" spans="3:3">
      <c r="C2666" s="38"/>
    </row>
    <row r="2667" spans="3:3">
      <c r="C2667" s="38"/>
    </row>
    <row r="2668" spans="3:3">
      <c r="C2668" s="38"/>
    </row>
    <row r="2669" spans="3:3">
      <c r="C2669" s="38"/>
    </row>
    <row r="2670" spans="3:3">
      <c r="C2670" s="38"/>
    </row>
    <row r="2671" spans="3:3">
      <c r="C2671" s="38"/>
    </row>
    <row r="2672" spans="3:3">
      <c r="C2672" s="38"/>
    </row>
    <row r="2673" spans="3:3">
      <c r="C2673" s="38"/>
    </row>
    <row r="2674" spans="3:3">
      <c r="C2674" s="38"/>
    </row>
    <row r="2675" spans="3:3">
      <c r="C2675" s="38"/>
    </row>
    <row r="2676" spans="3:3">
      <c r="C2676" s="38"/>
    </row>
    <row r="2677" spans="3:3">
      <c r="C2677" s="38"/>
    </row>
    <row r="2678" spans="3:3">
      <c r="C2678" s="38"/>
    </row>
    <row r="2679" spans="3:3">
      <c r="C2679" s="38"/>
    </row>
    <row r="2680" spans="3:3">
      <c r="C2680" s="38"/>
    </row>
    <row r="2681" spans="3:3">
      <c r="C2681" s="38"/>
    </row>
    <row r="2682" spans="3:3">
      <c r="C2682" s="38"/>
    </row>
    <row r="2683" spans="3:3">
      <c r="C2683" s="38"/>
    </row>
    <row r="2684" spans="3:3">
      <c r="C2684" s="38"/>
    </row>
    <row r="2685" spans="3:3">
      <c r="C2685" s="38"/>
    </row>
    <row r="2686" spans="3:3">
      <c r="C2686" s="38"/>
    </row>
    <row r="2687" spans="3:3">
      <c r="C2687" s="38"/>
    </row>
    <row r="2688" spans="3:3">
      <c r="C2688" s="38"/>
    </row>
    <row r="2689" spans="3:3">
      <c r="C2689" s="38"/>
    </row>
    <row r="2690" spans="3:3">
      <c r="C2690" s="38"/>
    </row>
    <row r="2691" spans="3:3">
      <c r="C2691" s="38"/>
    </row>
    <row r="2692" spans="3:3">
      <c r="C2692" s="38"/>
    </row>
    <row r="2693" spans="3:3">
      <c r="C2693" s="38"/>
    </row>
    <row r="2694" spans="3:3">
      <c r="C2694" s="38"/>
    </row>
    <row r="2695" spans="3:3">
      <c r="C2695" s="38"/>
    </row>
    <row r="2696" spans="3:3">
      <c r="C2696" s="38"/>
    </row>
    <row r="2697" spans="3:3">
      <c r="C2697" s="38"/>
    </row>
    <row r="2698" spans="3:3">
      <c r="C2698" s="38"/>
    </row>
    <row r="2699" spans="3:3">
      <c r="C2699" s="38"/>
    </row>
    <row r="2700" spans="3:3">
      <c r="C2700" s="38"/>
    </row>
    <row r="2701" spans="3:3">
      <c r="C2701" s="38"/>
    </row>
    <row r="2702" spans="3:3">
      <c r="C2702" s="38"/>
    </row>
    <row r="2703" spans="3:3">
      <c r="C2703" s="38"/>
    </row>
    <row r="2704" spans="3:3">
      <c r="C2704" s="38"/>
    </row>
    <row r="2705" spans="3:3">
      <c r="C2705" s="38"/>
    </row>
    <row r="2706" spans="3:3">
      <c r="C2706" s="38"/>
    </row>
    <row r="2707" spans="3:3">
      <c r="C2707" s="38"/>
    </row>
    <row r="2708" spans="3:3">
      <c r="C2708" s="38"/>
    </row>
    <row r="2709" spans="3:3">
      <c r="C2709" s="38"/>
    </row>
    <row r="2710" spans="3:3">
      <c r="C2710" s="38"/>
    </row>
    <row r="2711" spans="3:3">
      <c r="C2711" s="38"/>
    </row>
    <row r="2712" spans="3:3">
      <c r="C2712" s="38"/>
    </row>
    <row r="2713" spans="3:3">
      <c r="C2713" s="38"/>
    </row>
    <row r="2714" spans="3:3">
      <c r="C2714" s="38"/>
    </row>
    <row r="2715" spans="3:3">
      <c r="C2715" s="38"/>
    </row>
    <row r="2716" spans="3:3">
      <c r="C2716" s="38"/>
    </row>
    <row r="2717" spans="3:3">
      <c r="C2717" s="38"/>
    </row>
    <row r="2718" spans="3:3">
      <c r="C2718" s="38"/>
    </row>
    <row r="2719" spans="3:3">
      <c r="C2719" s="38"/>
    </row>
    <row r="2720" spans="3:3">
      <c r="C2720" s="38"/>
    </row>
    <row r="2721" spans="3:3">
      <c r="C2721" s="38"/>
    </row>
    <row r="2722" spans="3:3">
      <c r="C2722" s="38"/>
    </row>
    <row r="2723" spans="3:3">
      <c r="C2723" s="38"/>
    </row>
    <row r="2724" spans="3:3">
      <c r="C2724" s="38"/>
    </row>
    <row r="2725" spans="3:3">
      <c r="C2725" s="38"/>
    </row>
    <row r="2726" spans="3:3">
      <c r="C2726" s="38"/>
    </row>
    <row r="2727" spans="3:3">
      <c r="C2727" s="38"/>
    </row>
    <row r="2728" spans="3:3">
      <c r="C2728" s="38"/>
    </row>
    <row r="2729" spans="3:3">
      <c r="C2729" s="38"/>
    </row>
    <row r="2730" spans="3:3">
      <c r="C2730" s="38"/>
    </row>
    <row r="2731" spans="3:3">
      <c r="C2731" s="38"/>
    </row>
    <row r="2732" spans="3:3">
      <c r="C2732" s="38"/>
    </row>
    <row r="2733" spans="3:3">
      <c r="C2733" s="38"/>
    </row>
    <row r="2734" spans="3:3">
      <c r="C2734" s="38"/>
    </row>
    <row r="2735" spans="3:3">
      <c r="C2735" s="38"/>
    </row>
    <row r="2736" spans="3:3">
      <c r="C2736" s="38"/>
    </row>
    <row r="2737" spans="3:3">
      <c r="C2737" s="38"/>
    </row>
    <row r="2738" spans="3:3">
      <c r="C2738" s="38"/>
    </row>
    <row r="2739" spans="3:3">
      <c r="C2739" s="38"/>
    </row>
    <row r="2740" spans="3:3">
      <c r="C2740" s="38"/>
    </row>
    <row r="2741" spans="3:3">
      <c r="C2741" s="38"/>
    </row>
    <row r="2742" spans="3:3">
      <c r="C2742" s="38"/>
    </row>
    <row r="2743" spans="3:3">
      <c r="C2743" s="38"/>
    </row>
    <row r="2744" spans="3:3">
      <c r="C2744" s="38"/>
    </row>
    <row r="2745" spans="3:3">
      <c r="C2745" s="38"/>
    </row>
    <row r="2746" spans="3:3">
      <c r="C2746" s="38"/>
    </row>
    <row r="2747" spans="3:3">
      <c r="C2747" s="38"/>
    </row>
    <row r="2748" spans="3:3">
      <c r="C2748" s="38"/>
    </row>
    <row r="2749" spans="3:3">
      <c r="C2749" s="38"/>
    </row>
    <row r="2750" spans="3:3">
      <c r="C2750" s="38"/>
    </row>
    <row r="2751" spans="3:3">
      <c r="C2751" s="38"/>
    </row>
    <row r="2752" spans="3:3">
      <c r="C2752" s="38"/>
    </row>
    <row r="2753" spans="3:3">
      <c r="C2753" s="38"/>
    </row>
    <row r="2754" spans="3:3">
      <c r="C2754" s="38"/>
    </row>
    <row r="2755" spans="3:3">
      <c r="C2755" s="38"/>
    </row>
    <row r="2756" spans="3:3">
      <c r="C2756" s="38"/>
    </row>
    <row r="2757" spans="3:3">
      <c r="C2757" s="38"/>
    </row>
    <row r="2758" spans="3:3">
      <c r="C2758" s="38"/>
    </row>
    <row r="2759" spans="3:3">
      <c r="C2759" s="38"/>
    </row>
    <row r="2760" spans="3:3">
      <c r="C2760" s="38"/>
    </row>
    <row r="2761" spans="3:3">
      <c r="C2761" s="38"/>
    </row>
    <row r="2762" spans="3:3">
      <c r="C2762" s="38"/>
    </row>
    <row r="2763" spans="3:3">
      <c r="C2763" s="38"/>
    </row>
    <row r="2764" spans="3:3">
      <c r="C2764" s="38"/>
    </row>
    <row r="2765" spans="3:3">
      <c r="C2765" s="38"/>
    </row>
    <row r="2766" spans="3:3">
      <c r="C2766" s="38"/>
    </row>
    <row r="2767" spans="3:3">
      <c r="C2767" s="38"/>
    </row>
    <row r="2768" spans="3:3">
      <c r="C2768" s="38"/>
    </row>
    <row r="2769" spans="3:3">
      <c r="C2769" s="38"/>
    </row>
    <row r="2770" spans="3:3">
      <c r="C2770" s="38"/>
    </row>
    <row r="2771" spans="3:3">
      <c r="C2771" s="38"/>
    </row>
    <row r="2772" spans="3:3">
      <c r="C2772" s="38"/>
    </row>
    <row r="2773" spans="3:3">
      <c r="C2773" s="38"/>
    </row>
    <row r="2774" spans="3:3">
      <c r="C2774" s="38"/>
    </row>
    <row r="2775" spans="3:3">
      <c r="C2775" s="38"/>
    </row>
    <row r="2776" spans="3:3">
      <c r="C2776" s="38"/>
    </row>
    <row r="2777" spans="3:3">
      <c r="C2777" s="38"/>
    </row>
    <row r="2778" spans="3:3">
      <c r="C2778" s="38"/>
    </row>
    <row r="2779" spans="3:3">
      <c r="C2779" s="38"/>
    </row>
    <row r="2780" spans="3:3">
      <c r="C2780" s="38"/>
    </row>
    <row r="2781" spans="3:3">
      <c r="C2781" s="38"/>
    </row>
    <row r="2782" spans="3:3">
      <c r="C2782" s="38"/>
    </row>
    <row r="2783" spans="3:3">
      <c r="C2783" s="38"/>
    </row>
    <row r="2784" spans="3:3">
      <c r="C2784" s="38"/>
    </row>
    <row r="2785" spans="3:3">
      <c r="C2785" s="38"/>
    </row>
    <row r="2786" spans="3:3">
      <c r="C2786" s="38"/>
    </row>
    <row r="2787" spans="3:3">
      <c r="C2787" s="38"/>
    </row>
    <row r="2788" spans="3:3">
      <c r="C2788" s="38"/>
    </row>
    <row r="2789" spans="3:3">
      <c r="C2789" s="38"/>
    </row>
    <row r="2790" spans="3:3">
      <c r="C2790" s="38"/>
    </row>
    <row r="2791" spans="3:3">
      <c r="C2791" s="38"/>
    </row>
    <row r="2792" spans="3:3">
      <c r="C2792" s="38"/>
    </row>
    <row r="2793" spans="3:3">
      <c r="C2793" s="38"/>
    </row>
    <row r="2794" spans="3:3">
      <c r="C2794" s="38"/>
    </row>
    <row r="2795" spans="3:3">
      <c r="C2795" s="38"/>
    </row>
    <row r="2796" spans="3:3">
      <c r="C2796" s="38"/>
    </row>
    <row r="2797" spans="3:3">
      <c r="C2797" s="38"/>
    </row>
    <row r="2798" spans="3:3">
      <c r="C2798" s="38"/>
    </row>
    <row r="2799" spans="3:3">
      <c r="C2799" s="38"/>
    </row>
    <row r="2800" spans="3:3">
      <c r="C2800" s="38"/>
    </row>
    <row r="2801" spans="3:3">
      <c r="C2801" s="38"/>
    </row>
    <row r="2802" spans="3:3">
      <c r="C2802" s="38"/>
    </row>
    <row r="2803" spans="3:3">
      <c r="C2803" s="38"/>
    </row>
    <row r="2804" spans="3:3">
      <c r="C2804" s="38"/>
    </row>
    <row r="2805" spans="3:3">
      <c r="C2805" s="38"/>
    </row>
    <row r="2806" spans="3:3">
      <c r="C2806" s="38"/>
    </row>
    <row r="2807" spans="3:3">
      <c r="C2807" s="38"/>
    </row>
    <row r="2808" spans="3:3">
      <c r="C2808" s="38"/>
    </row>
    <row r="2809" spans="3:3">
      <c r="C2809" s="38"/>
    </row>
    <row r="2810" spans="3:3">
      <c r="C2810" s="38"/>
    </row>
    <row r="2811" spans="3:3">
      <c r="C2811" s="38"/>
    </row>
    <row r="2812" spans="3:3">
      <c r="C2812" s="38"/>
    </row>
    <row r="2813" spans="3:3">
      <c r="C2813" s="38"/>
    </row>
    <row r="2814" spans="3:3">
      <c r="C2814" s="38"/>
    </row>
    <row r="2815" spans="3:3">
      <c r="C2815" s="38"/>
    </row>
    <row r="2816" spans="3:3">
      <c r="C2816" s="38"/>
    </row>
    <row r="2817" spans="3:3">
      <c r="C2817" s="38"/>
    </row>
    <row r="2818" spans="3:3">
      <c r="C2818" s="38"/>
    </row>
    <row r="2819" spans="3:3">
      <c r="C2819" s="38"/>
    </row>
    <row r="2820" spans="3:3">
      <c r="C2820" s="38"/>
    </row>
    <row r="2821" spans="3:3">
      <c r="C2821" s="38"/>
    </row>
    <row r="2822" spans="3:3">
      <c r="C2822" s="38"/>
    </row>
    <row r="2823" spans="3:3">
      <c r="C2823" s="38"/>
    </row>
    <row r="2824" spans="3:3">
      <c r="C2824" s="38"/>
    </row>
    <row r="2825" spans="3:3">
      <c r="C2825" s="38"/>
    </row>
    <row r="2826" spans="3:3">
      <c r="C2826" s="38"/>
    </row>
    <row r="2827" spans="3:3">
      <c r="C2827" s="38"/>
    </row>
    <row r="2828" spans="3:3">
      <c r="C2828" s="38"/>
    </row>
    <row r="2829" spans="3:3">
      <c r="C2829" s="38"/>
    </row>
    <row r="2830" spans="3:3">
      <c r="C2830" s="38"/>
    </row>
    <row r="2831" spans="3:3">
      <c r="C2831" s="38"/>
    </row>
    <row r="2832" spans="3:3">
      <c r="C2832" s="38"/>
    </row>
    <row r="2833" spans="3:3">
      <c r="C2833" s="38"/>
    </row>
    <row r="2834" spans="3:3">
      <c r="C2834" s="38"/>
    </row>
    <row r="2835" spans="3:3">
      <c r="C2835" s="38"/>
    </row>
    <row r="2836" spans="3:3">
      <c r="C2836" s="38"/>
    </row>
    <row r="2837" spans="3:3">
      <c r="C2837" s="38"/>
    </row>
    <row r="2838" spans="3:3">
      <c r="C2838" s="38"/>
    </row>
    <row r="2839" spans="3:3">
      <c r="C2839" s="38"/>
    </row>
    <row r="2840" spans="3:3">
      <c r="C2840" s="38"/>
    </row>
    <row r="2841" spans="3:3">
      <c r="C2841" s="38"/>
    </row>
    <row r="2842" spans="3:3">
      <c r="C2842" s="38"/>
    </row>
    <row r="2843" spans="3:3">
      <c r="C2843" s="38"/>
    </row>
    <row r="2844" spans="3:3">
      <c r="C2844" s="38"/>
    </row>
    <row r="2845" spans="3:3">
      <c r="C2845" s="38"/>
    </row>
    <row r="2846" spans="3:3">
      <c r="C2846" s="38"/>
    </row>
    <row r="2847" spans="3:3">
      <c r="C2847" s="38"/>
    </row>
    <row r="2848" spans="3:3">
      <c r="C2848" s="38"/>
    </row>
    <row r="2849" spans="3:3">
      <c r="C2849" s="38"/>
    </row>
    <row r="2850" spans="3:3">
      <c r="C2850" s="38"/>
    </row>
    <row r="2851" spans="3:3">
      <c r="C2851" s="38"/>
    </row>
    <row r="2852" spans="3:3">
      <c r="C2852" s="38"/>
    </row>
    <row r="2853" spans="3:3">
      <c r="C2853" s="38"/>
    </row>
    <row r="2854" spans="3:3">
      <c r="C2854" s="38"/>
    </row>
    <row r="2855" spans="3:3">
      <c r="C2855" s="38"/>
    </row>
    <row r="2856" spans="3:3">
      <c r="C2856" s="38"/>
    </row>
    <row r="2857" spans="3:3">
      <c r="C2857" s="38"/>
    </row>
    <row r="2858" spans="3:3">
      <c r="C2858" s="38"/>
    </row>
    <row r="2859" spans="3:3">
      <c r="C2859" s="38"/>
    </row>
    <row r="2860" spans="3:3">
      <c r="C2860" s="38"/>
    </row>
    <row r="2861" spans="3:3">
      <c r="C2861" s="38"/>
    </row>
    <row r="2862" spans="3:3">
      <c r="C2862" s="38"/>
    </row>
    <row r="2863" spans="3:3">
      <c r="C2863" s="38"/>
    </row>
    <row r="2864" spans="3:3">
      <c r="C2864" s="38"/>
    </row>
    <row r="2865" spans="3:3">
      <c r="C2865" s="38"/>
    </row>
    <row r="2866" spans="3:3">
      <c r="C2866" s="38"/>
    </row>
    <row r="2867" spans="3:3">
      <c r="C2867" s="38"/>
    </row>
    <row r="2868" spans="3:3">
      <c r="C2868" s="38"/>
    </row>
    <row r="2869" spans="3:3">
      <c r="C2869" s="38"/>
    </row>
    <row r="2870" spans="3:3">
      <c r="C2870" s="38"/>
    </row>
    <row r="2871" spans="3:3">
      <c r="C2871" s="38"/>
    </row>
    <row r="2872" spans="3:3">
      <c r="C2872" s="38"/>
    </row>
    <row r="2873" spans="3:3">
      <c r="C2873" s="38"/>
    </row>
    <row r="2874" spans="3:3">
      <c r="C2874" s="38"/>
    </row>
    <row r="2875" spans="3:3">
      <c r="C2875" s="38"/>
    </row>
    <row r="2876" spans="3:3">
      <c r="C2876" s="38"/>
    </row>
    <row r="2877" spans="3:3">
      <c r="C2877" s="38"/>
    </row>
    <row r="2878" spans="3:3">
      <c r="C2878" s="38"/>
    </row>
    <row r="2879" spans="3:3">
      <c r="C2879" s="38"/>
    </row>
    <row r="2880" spans="3:3">
      <c r="C2880" s="38"/>
    </row>
    <row r="2881" spans="3:3">
      <c r="C2881" s="38"/>
    </row>
    <row r="2882" spans="3:3">
      <c r="C2882" s="38"/>
    </row>
    <row r="2883" spans="3:3">
      <c r="C2883" s="38"/>
    </row>
    <row r="2884" spans="3:3">
      <c r="C2884" s="38"/>
    </row>
    <row r="2885" spans="3:3">
      <c r="C2885" s="38"/>
    </row>
    <row r="2886" spans="3:3">
      <c r="C2886" s="38"/>
    </row>
    <row r="2887" spans="3:3">
      <c r="C2887" s="38"/>
    </row>
    <row r="2888" spans="3:3">
      <c r="C2888" s="38"/>
    </row>
    <row r="2889" spans="3:3">
      <c r="C2889" s="38"/>
    </row>
    <row r="2890" spans="3:3">
      <c r="C2890" s="38"/>
    </row>
    <row r="2891" spans="3:3">
      <c r="C2891" s="38"/>
    </row>
    <row r="2892" spans="3:3">
      <c r="C2892" s="38"/>
    </row>
    <row r="2893" spans="3:3">
      <c r="C2893" s="38"/>
    </row>
  </sheetData>
  <customSheetViews>
    <customSheetView guid="{FAA8FFD9-C96B-4A1B-8B9E-B863FD90DDBA}" scale="75" showRuler="0">
      <selection activeCell="N1" sqref="N1:N2"/>
      <colBreaks count="1" manualBreakCount="1">
        <brk id="1" max="1048575" man="1"/>
      </colBreaks>
      <pageMargins left="0" right="0" top="0.75" bottom="0.5" header="0.5" footer="0.5"/>
      <printOptions horizontalCentered="1"/>
      <pageSetup scale="60" fitToHeight="0" orientation="landscape" r:id="rId1"/>
      <headerFooter alignWithMargins="0">
        <oddFooter>&amp;R&amp;"Arial MT,Bold"&amp;14A-2  Divisor</oddFooter>
      </headerFooter>
    </customSheetView>
  </customSheetViews>
  <mergeCells count="3">
    <mergeCell ref="B3:L3"/>
    <mergeCell ref="B4:L4"/>
    <mergeCell ref="C30:O30"/>
  </mergeCells>
  <phoneticPr fontId="0" type="noConversion"/>
  <printOptions horizontalCentered="1"/>
  <pageMargins left="0.5" right="0.5" top="0.5" bottom="0.5" header="0" footer="0"/>
  <pageSetup scale="69" fitToHeight="0" orientation="landscape" r:id="rId2"/>
  <headerFooter alignWithMargins="0">
    <oddFooter>&amp;R&amp;"Arial MT,Bold"&amp;14A-2  Divisor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159"/>
  <sheetViews>
    <sheetView view="pageBreakPreview" zoomScale="75" zoomScaleNormal="75" zoomScaleSheetLayoutView="75" workbookViewId="0">
      <selection activeCell="B56" sqref="B56"/>
    </sheetView>
  </sheetViews>
  <sheetFormatPr defaultColWidth="9.21875" defaultRowHeight="12.75"/>
  <cols>
    <col min="1" max="1" width="4.77734375" style="83" customWidth="1"/>
    <col min="2" max="2" width="6.33203125" style="439" customWidth="1"/>
    <col min="3" max="3" width="35.33203125" style="83" customWidth="1"/>
    <col min="4" max="4" width="15.21875" style="83" customWidth="1"/>
    <col min="5" max="5" width="15.5546875" style="83" customWidth="1"/>
    <col min="6" max="6" width="15.6640625" style="83" customWidth="1"/>
    <col min="7" max="7" width="15.5546875" style="83" customWidth="1"/>
    <col min="8" max="8" width="10.109375" style="83" customWidth="1"/>
    <col min="9" max="9" width="15.5546875" style="83" customWidth="1"/>
    <col min="10" max="10" width="13.33203125" style="83" customWidth="1"/>
    <col min="11" max="11" width="72.6640625" style="83" customWidth="1"/>
    <col min="12" max="16384" width="9.21875" style="83"/>
  </cols>
  <sheetData>
    <row r="1" spans="1:11" ht="20.25">
      <c r="A1" s="1906" t="s">
        <v>1433</v>
      </c>
      <c r="B1" s="43"/>
      <c r="C1" s="42"/>
      <c r="D1" s="42"/>
      <c r="E1" s="42"/>
      <c r="F1" s="42"/>
      <c r="G1" s="42"/>
      <c r="H1" s="42"/>
      <c r="I1" s="42"/>
      <c r="J1" s="42"/>
      <c r="K1" s="1953" t="s">
        <v>160</v>
      </c>
    </row>
    <row r="2" spans="1:11" ht="18">
      <c r="B2" s="2186" t="s">
        <v>67</v>
      </c>
      <c r="C2" s="2187"/>
      <c r="D2" s="2187"/>
      <c r="E2" s="2187"/>
      <c r="F2" s="2187"/>
      <c r="G2" s="2187"/>
      <c r="H2" s="2187"/>
      <c r="I2" s="2187"/>
      <c r="J2" s="2187"/>
    </row>
    <row r="3" spans="1:11" ht="15.75">
      <c r="B3" s="2181" t="s">
        <v>1824</v>
      </c>
      <c r="C3" s="2181"/>
      <c r="D3" s="2181"/>
      <c r="E3" s="2181"/>
      <c r="F3" s="2181"/>
      <c r="G3" s="2181"/>
      <c r="H3" s="2181"/>
      <c r="I3" s="2181"/>
      <c r="J3" s="2181"/>
      <c r="K3" s="1101"/>
    </row>
    <row r="4" spans="1:11" ht="24" customHeight="1">
      <c r="B4" s="2188" t="s">
        <v>1506</v>
      </c>
      <c r="C4" s="2152"/>
      <c r="D4" s="2152"/>
      <c r="E4" s="2152"/>
      <c r="F4" s="2152"/>
      <c r="G4" s="2152"/>
      <c r="H4" s="2152"/>
      <c r="I4" s="2152"/>
      <c r="J4" s="2152"/>
      <c r="K4" s="567" t="s">
        <v>1735</v>
      </c>
    </row>
    <row r="5" spans="1:11" ht="15" customHeight="1">
      <c r="B5" s="1235"/>
      <c r="C5" s="1236"/>
      <c r="D5" s="1236"/>
      <c r="E5" s="1236"/>
      <c r="F5" s="1236"/>
      <c r="G5" s="1236"/>
      <c r="H5" s="1236"/>
      <c r="I5" s="1236"/>
      <c r="J5" s="1236"/>
    </row>
    <row r="6" spans="1:11" ht="18.75" customHeight="1">
      <c r="F6" s="85" t="s">
        <v>1412</v>
      </c>
      <c r="G6" s="55">
        <v>1</v>
      </c>
      <c r="H6" s="55">
        <v>1</v>
      </c>
      <c r="I6" s="992"/>
      <c r="J6" s="84"/>
    </row>
    <row r="7" spans="1:11" ht="15.75">
      <c r="F7" s="85" t="s">
        <v>1413</v>
      </c>
      <c r="G7" s="85" t="s">
        <v>736</v>
      </c>
      <c r="H7" s="85" t="s">
        <v>910</v>
      </c>
      <c r="I7" s="85" t="s">
        <v>822</v>
      </c>
      <c r="J7" s="85" t="s">
        <v>823</v>
      </c>
    </row>
    <row r="8" spans="1:11" ht="26.25">
      <c r="A8" s="1729" t="s">
        <v>1388</v>
      </c>
      <c r="D8" s="1551"/>
      <c r="E8" s="1551"/>
      <c r="F8" s="1552" t="s">
        <v>452</v>
      </c>
      <c r="G8" s="1552" t="s">
        <v>824</v>
      </c>
      <c r="H8" s="1552" t="s">
        <v>824</v>
      </c>
      <c r="I8" s="1552" t="s">
        <v>824</v>
      </c>
      <c r="J8" s="1552" t="s">
        <v>824</v>
      </c>
    </row>
    <row r="9" spans="1:11" ht="16.5" thickBot="1">
      <c r="C9" s="1031" t="s">
        <v>970</v>
      </c>
      <c r="F9" s="1553" t="s">
        <v>1414</v>
      </c>
      <c r="G9" s="1553" t="s">
        <v>1740</v>
      </c>
      <c r="H9" s="1553" t="s">
        <v>1741</v>
      </c>
      <c r="I9" s="1553" t="s">
        <v>1576</v>
      </c>
      <c r="J9" s="1553" t="s">
        <v>1742</v>
      </c>
    </row>
    <row r="10" spans="1:11" ht="15.75">
      <c r="A10" s="440">
        <v>1</v>
      </c>
      <c r="B10" s="213"/>
      <c r="C10" s="214" t="s">
        <v>1507</v>
      </c>
      <c r="D10" s="214"/>
      <c r="E10" s="214"/>
      <c r="F10" s="1554"/>
      <c r="G10" s="513">
        <f>G98</f>
        <v>-125362110</v>
      </c>
      <c r="H10" s="513">
        <f>H98</f>
        <v>0</v>
      </c>
      <c r="I10" s="993">
        <f>I98</f>
        <v>-1617164</v>
      </c>
      <c r="J10" s="513">
        <f>J98</f>
        <v>0</v>
      </c>
    </row>
    <row r="11" spans="1:11" ht="15.75">
      <c r="A11" s="440">
        <f>A10+1</f>
        <v>2</v>
      </c>
      <c r="B11" s="213"/>
      <c r="C11" s="2015" t="s">
        <v>1798</v>
      </c>
      <c r="D11" s="214"/>
      <c r="E11" s="214"/>
      <c r="F11" s="1555"/>
      <c r="G11" s="1355">
        <f>G114</f>
        <v>0</v>
      </c>
      <c r="H11" s="1355">
        <f>H114</f>
        <v>0</v>
      </c>
      <c r="I11" s="1355">
        <f>I114</f>
        <v>-1024816755</v>
      </c>
      <c r="J11" s="1355">
        <f>J114</f>
        <v>0</v>
      </c>
    </row>
    <row r="12" spans="1:11" ht="15.75">
      <c r="A12" s="440">
        <v>3</v>
      </c>
      <c r="B12" s="213"/>
      <c r="C12" s="214" t="s">
        <v>826</v>
      </c>
      <c r="D12" s="214"/>
      <c r="E12" s="214"/>
      <c r="F12" s="1555"/>
      <c r="G12" s="1355">
        <f>G151</f>
        <v>-68830733</v>
      </c>
      <c r="H12" s="1355">
        <f>H151</f>
        <v>0</v>
      </c>
      <c r="I12" s="1355">
        <f>I151</f>
        <v>-8706697</v>
      </c>
      <c r="J12" s="1355">
        <f>J151</f>
        <v>-27468796</v>
      </c>
    </row>
    <row r="13" spans="1:11" ht="15.75">
      <c r="A13" s="440">
        <v>4</v>
      </c>
      <c r="B13" s="213"/>
      <c r="C13" s="214" t="s">
        <v>261</v>
      </c>
      <c r="D13" s="214"/>
      <c r="E13" s="214"/>
      <c r="F13" s="1555"/>
      <c r="G13" s="1356">
        <f>G80</f>
        <v>191746869</v>
      </c>
      <c r="H13" s="1356">
        <f>H80</f>
        <v>0</v>
      </c>
      <c r="I13" s="1356">
        <f>I80</f>
        <v>195352596</v>
      </c>
      <c r="J13" s="1356">
        <f>J80</f>
        <v>50798005</v>
      </c>
      <c r="K13" s="217" t="s">
        <v>49</v>
      </c>
    </row>
    <row r="14" spans="1:11" ht="15.75">
      <c r="A14" s="440">
        <v>5</v>
      </c>
      <c r="B14" s="213"/>
      <c r="C14" s="214" t="s">
        <v>262</v>
      </c>
      <c r="D14" s="214"/>
      <c r="E14" s="214"/>
      <c r="F14" s="1393"/>
      <c r="G14" s="216">
        <f>SUM(G10:G13)</f>
        <v>-2445974</v>
      </c>
      <c r="H14" s="1306">
        <f>SUM(H10:H13)</f>
        <v>0</v>
      </c>
      <c r="I14" s="216">
        <f>SUM(I10:I13)</f>
        <v>-839788020</v>
      </c>
      <c r="J14" s="1306">
        <f>SUM(J10:J13)</f>
        <v>23329209</v>
      </c>
    </row>
    <row r="15" spans="1:11" ht="15.75">
      <c r="A15" s="440">
        <v>6</v>
      </c>
      <c r="B15" s="213"/>
      <c r="C15" s="214" t="s">
        <v>1776</v>
      </c>
      <c r="D15" s="214"/>
      <c r="E15" s="214"/>
      <c r="F15" s="1346"/>
      <c r="G15" s="218"/>
      <c r="H15" s="218"/>
      <c r="I15" s="216"/>
      <c r="J15" s="1392">
        <f>WS</f>
        <v>1.898472513614197E-2</v>
      </c>
    </row>
    <row r="16" spans="1:11" ht="15.75">
      <c r="A16" s="440">
        <v>7</v>
      </c>
      <c r="B16" s="213"/>
      <c r="C16" s="219" t="s">
        <v>1623</v>
      </c>
      <c r="D16" s="219"/>
      <c r="E16" s="219"/>
      <c r="F16" s="1346"/>
      <c r="G16" s="1346"/>
      <c r="H16" s="1347"/>
      <c r="I16" s="1391">
        <f>GP</f>
        <v>4.3009977375187969E-2</v>
      </c>
      <c r="J16" s="1393"/>
    </row>
    <row r="17" spans="1:11" ht="15.75">
      <c r="A17" s="438">
        <f>A16+1</f>
        <v>8</v>
      </c>
      <c r="B17" s="1730"/>
      <c r="C17" s="219" t="s">
        <v>1697</v>
      </c>
      <c r="D17" s="219"/>
      <c r="E17" s="219"/>
      <c r="F17" s="1393"/>
      <c r="G17" s="1393"/>
      <c r="H17" s="1391">
        <f>DA</f>
        <v>1</v>
      </c>
      <c r="I17" s="1347"/>
      <c r="J17" s="1346"/>
    </row>
    <row r="18" spans="1:11" ht="16.5" thickBot="1">
      <c r="A18" s="440">
        <f>A17+1</f>
        <v>9</v>
      </c>
      <c r="B18" s="213"/>
      <c r="C18" s="214" t="s">
        <v>825</v>
      </c>
      <c r="D18" s="214"/>
      <c r="E18" s="214"/>
      <c r="F18" s="671">
        <f>H18+I18+J18</f>
        <v>-35676365.11964529</v>
      </c>
      <c r="G18" s="671">
        <f>+G16*G14</f>
        <v>0</v>
      </c>
      <c r="H18" s="671">
        <f>H14*H17</f>
        <v>0</v>
      </c>
      <c r="I18" s="671">
        <f>+I16*I14</f>
        <v>-36119263.740153901</v>
      </c>
      <c r="J18" s="671">
        <f>+J15*J14</f>
        <v>442898.62050860946</v>
      </c>
    </row>
    <row r="19" spans="1:11" ht="16.5" thickTop="1">
      <c r="F19" s="85" t="s">
        <v>730</v>
      </c>
      <c r="G19" s="85" t="s">
        <v>731</v>
      </c>
      <c r="H19" s="85" t="s">
        <v>732</v>
      </c>
      <c r="I19" s="85" t="s">
        <v>733</v>
      </c>
      <c r="J19" s="85" t="s">
        <v>735</v>
      </c>
      <c r="K19" s="1082" t="s">
        <v>120</v>
      </c>
    </row>
    <row r="20" spans="1:11" ht="15">
      <c r="C20" s="994"/>
      <c r="D20" s="994"/>
      <c r="E20" s="994"/>
      <c r="F20" s="995"/>
      <c r="G20" s="53">
        <f t="shared" ref="G20:H22" si="0">+G6</f>
        <v>1</v>
      </c>
      <c r="H20" s="53">
        <f t="shared" si="0"/>
        <v>1</v>
      </c>
      <c r="I20" s="53"/>
      <c r="J20" s="53"/>
      <c r="K20" s="30"/>
    </row>
    <row r="21" spans="1:11" ht="15.75">
      <c r="C21" s="1258"/>
      <c r="D21" s="1731" t="s">
        <v>566</v>
      </c>
      <c r="E21" s="1732" t="s">
        <v>567</v>
      </c>
      <c r="F21" s="84" t="s">
        <v>1409</v>
      </c>
      <c r="G21" s="85" t="str">
        <f t="shared" si="0"/>
        <v>NonTrans.</v>
      </c>
      <c r="H21" s="85" t="str">
        <f t="shared" si="0"/>
        <v>Trans.</v>
      </c>
      <c r="I21" s="85" t="str">
        <f>+I7</f>
        <v xml:space="preserve">Plant </v>
      </c>
      <c r="J21" s="85" t="str">
        <f>+J7</f>
        <v>Labor</v>
      </c>
      <c r="K21" s="30"/>
    </row>
    <row r="22" spans="1:11" ht="16.5" thickBot="1">
      <c r="C22" s="1733" t="s">
        <v>1693</v>
      </c>
      <c r="D22" s="1734" t="s">
        <v>1410</v>
      </c>
      <c r="E22" s="1735" t="s">
        <v>1411</v>
      </c>
      <c r="F22" s="1030" t="s">
        <v>1534</v>
      </c>
      <c r="G22" s="1030" t="str">
        <f t="shared" si="0"/>
        <v>Related</v>
      </c>
      <c r="H22" s="1030" t="str">
        <f t="shared" si="0"/>
        <v>Related</v>
      </c>
      <c r="I22" s="1030" t="str">
        <f>+I8</f>
        <v>Related</v>
      </c>
      <c r="J22" s="1030" t="str">
        <f>+J8</f>
        <v>Related</v>
      </c>
      <c r="K22" s="1028" t="s">
        <v>121</v>
      </c>
    </row>
    <row r="23" spans="1:11" ht="15">
      <c r="B23" s="1558">
        <v>190200</v>
      </c>
      <c r="C23" s="669" t="s">
        <v>496</v>
      </c>
      <c r="D23" s="1430"/>
      <c r="E23" s="1430"/>
      <c r="F23" s="1430"/>
      <c r="G23" s="1430"/>
      <c r="H23" s="1430"/>
      <c r="I23" s="1430"/>
      <c r="J23" s="1430"/>
      <c r="K23" s="666"/>
    </row>
    <row r="24" spans="1:11" ht="15">
      <c r="A24" s="440">
        <f>A18+1</f>
        <v>10</v>
      </c>
      <c r="B24" s="515"/>
      <c r="C24" s="1431" t="s">
        <v>660</v>
      </c>
      <c r="D24" s="1432">
        <v>0</v>
      </c>
      <c r="E24" s="1432">
        <v>0</v>
      </c>
      <c r="F24" s="1432">
        <f>SUM(D24:E24)/2</f>
        <v>0</v>
      </c>
      <c r="G24" s="1432"/>
      <c r="H24" s="1432"/>
      <c r="I24" s="1432">
        <f>+F24</f>
        <v>0</v>
      </c>
      <c r="J24" s="1432"/>
      <c r="K24" s="666" t="s">
        <v>661</v>
      </c>
    </row>
    <row r="25" spans="1:11" ht="15">
      <c r="A25" s="440">
        <f t="shared" ref="A25:A72" si="1">A24+1</f>
        <v>11</v>
      </c>
      <c r="B25" s="1429"/>
      <c r="C25" s="511" t="s">
        <v>662</v>
      </c>
      <c r="D25" s="1430">
        <v>31889722</v>
      </c>
      <c r="E25" s="2006">
        <v>30354818</v>
      </c>
      <c r="F25" s="1430">
        <f>SUM(D25:E25)/2</f>
        <v>31122270</v>
      </c>
      <c r="G25" s="1430">
        <f>F25</f>
        <v>31122270</v>
      </c>
      <c r="H25" s="1430"/>
      <c r="I25" s="1430"/>
      <c r="J25" s="1430"/>
      <c r="K25" s="666" t="s">
        <v>520</v>
      </c>
    </row>
    <row r="26" spans="1:11" ht="15">
      <c r="A26" s="440">
        <f t="shared" si="1"/>
        <v>12</v>
      </c>
      <c r="B26" s="1429"/>
      <c r="C26" s="511" t="s">
        <v>1209</v>
      </c>
      <c r="D26" s="1430">
        <v>0</v>
      </c>
      <c r="E26" s="2006">
        <v>0</v>
      </c>
      <c r="F26" s="1430">
        <f t="shared" ref="F26:F77" si="2">SUM(D26:E26)/2</f>
        <v>0</v>
      </c>
      <c r="G26" s="1430"/>
      <c r="H26" s="1430"/>
      <c r="I26" s="1430">
        <f>+F26</f>
        <v>0</v>
      </c>
      <c r="J26" s="1430"/>
      <c r="K26" s="666" t="s">
        <v>521</v>
      </c>
    </row>
    <row r="27" spans="1:11" ht="15">
      <c r="A27" s="440">
        <f t="shared" si="1"/>
        <v>13</v>
      </c>
      <c r="B27" s="1429"/>
      <c r="C27" s="511" t="s">
        <v>1616</v>
      </c>
      <c r="D27" s="1430">
        <v>4010947</v>
      </c>
      <c r="E27" s="2006">
        <v>3921022</v>
      </c>
      <c r="F27" s="1430">
        <f t="shared" si="2"/>
        <v>3965984.5</v>
      </c>
      <c r="G27" s="1430">
        <f>F27</f>
        <v>3965984.5</v>
      </c>
      <c r="H27" s="1430"/>
      <c r="I27" s="1430"/>
      <c r="J27" s="1430"/>
      <c r="K27" s="666" t="s">
        <v>522</v>
      </c>
    </row>
    <row r="28" spans="1:11" ht="15">
      <c r="A28" s="440">
        <f t="shared" si="1"/>
        <v>14</v>
      </c>
      <c r="B28" s="1429"/>
      <c r="C28" s="511" t="s">
        <v>523</v>
      </c>
      <c r="D28" s="1430">
        <v>0</v>
      </c>
      <c r="E28" s="2006">
        <v>0</v>
      </c>
      <c r="F28" s="1430">
        <f t="shared" si="2"/>
        <v>0</v>
      </c>
      <c r="G28" s="1430">
        <f>+F28</f>
        <v>0</v>
      </c>
      <c r="H28" s="668"/>
      <c r="I28" s="668"/>
      <c r="K28" s="666" t="s">
        <v>524</v>
      </c>
    </row>
    <row r="29" spans="1:11" ht="15">
      <c r="A29" s="440">
        <f t="shared" si="1"/>
        <v>15</v>
      </c>
      <c r="B29" s="1429"/>
      <c r="C29" s="511" t="s">
        <v>1210</v>
      </c>
      <c r="D29" s="1430">
        <v>3381651</v>
      </c>
      <c r="E29" s="2006">
        <v>3381651</v>
      </c>
      <c r="F29" s="1430">
        <f t="shared" si="2"/>
        <v>3381651</v>
      </c>
      <c r="G29" s="1430">
        <f>F29</f>
        <v>3381651</v>
      </c>
      <c r="H29" s="1430"/>
      <c r="I29" s="1430"/>
      <c r="J29" s="1430"/>
      <c r="K29" s="666" t="s">
        <v>525</v>
      </c>
    </row>
    <row r="30" spans="1:11" s="441" customFormat="1" ht="15">
      <c r="A30" s="440">
        <f t="shared" si="1"/>
        <v>16</v>
      </c>
      <c r="B30" s="1429"/>
      <c r="C30" s="511" t="s">
        <v>1211</v>
      </c>
      <c r="D30" s="1430">
        <v>4730111</v>
      </c>
      <c r="E30" s="2006">
        <v>6125000</v>
      </c>
      <c r="F30" s="1430">
        <f t="shared" si="2"/>
        <v>5427555.5</v>
      </c>
      <c r="G30" s="1430"/>
      <c r="H30" s="1430"/>
      <c r="I30" s="1430"/>
      <c r="J30" s="1430">
        <f>F30</f>
        <v>5427555.5</v>
      </c>
      <c r="K30" s="666" t="s">
        <v>526</v>
      </c>
    </row>
    <row r="31" spans="1:11" ht="15">
      <c r="A31" s="440">
        <f t="shared" si="1"/>
        <v>17</v>
      </c>
      <c r="B31" s="1429"/>
      <c r="C31" s="511" t="s">
        <v>1212</v>
      </c>
      <c r="D31" s="1430">
        <v>12147784</v>
      </c>
      <c r="E31" s="2006">
        <v>11785878</v>
      </c>
      <c r="F31" s="1430">
        <f t="shared" si="2"/>
        <v>11966831</v>
      </c>
      <c r="G31" s="1430"/>
      <c r="H31" s="1430"/>
      <c r="I31" s="1430"/>
      <c r="J31" s="1430">
        <f>F31</f>
        <v>11966831</v>
      </c>
      <c r="K31" s="666" t="s">
        <v>12</v>
      </c>
    </row>
    <row r="32" spans="1:11" ht="15">
      <c r="A32" s="440">
        <f t="shared" si="1"/>
        <v>18</v>
      </c>
      <c r="B32" s="1429"/>
      <c r="C32" s="511" t="s">
        <v>1213</v>
      </c>
      <c r="D32" s="1430">
        <v>536760</v>
      </c>
      <c r="E32" s="2006">
        <v>537677</v>
      </c>
      <c r="F32" s="1430">
        <f t="shared" si="2"/>
        <v>537218.5</v>
      </c>
      <c r="G32" s="1430">
        <f>F32</f>
        <v>537218.5</v>
      </c>
      <c r="H32" s="1430"/>
      <c r="I32" s="1430"/>
      <c r="J32" s="1430"/>
      <c r="K32" s="666" t="s">
        <v>1214</v>
      </c>
    </row>
    <row r="33" spans="1:11" ht="15">
      <c r="A33" s="440">
        <f t="shared" si="1"/>
        <v>19</v>
      </c>
      <c r="B33" s="1429"/>
      <c r="C33" s="511" t="s">
        <v>1215</v>
      </c>
      <c r="D33" s="1430">
        <v>3025368</v>
      </c>
      <c r="E33" s="2006">
        <v>2981364</v>
      </c>
      <c r="F33" s="1430">
        <f t="shared" si="2"/>
        <v>3003366</v>
      </c>
      <c r="G33" s="1430">
        <f>+F33</f>
        <v>3003366</v>
      </c>
      <c r="H33" s="1430"/>
      <c r="I33" s="1430"/>
      <c r="J33" s="1430"/>
      <c r="K33" s="666" t="s">
        <v>13</v>
      </c>
    </row>
    <row r="34" spans="1:11" ht="15">
      <c r="A34" s="440">
        <f t="shared" si="1"/>
        <v>20</v>
      </c>
      <c r="B34" s="1429"/>
      <c r="C34" s="511" t="s">
        <v>1216</v>
      </c>
      <c r="D34" s="1430">
        <v>2663</v>
      </c>
      <c r="E34" s="2006">
        <v>2498</v>
      </c>
      <c r="F34" s="1430">
        <f t="shared" si="2"/>
        <v>2580.5</v>
      </c>
      <c r="G34" s="1430">
        <f>F34</f>
        <v>2580.5</v>
      </c>
      <c r="H34" s="1430"/>
      <c r="I34" s="1430"/>
      <c r="J34" s="1430"/>
      <c r="K34" s="666" t="s">
        <v>14</v>
      </c>
    </row>
    <row r="35" spans="1:11" ht="15">
      <c r="A35" s="440">
        <f t="shared" si="1"/>
        <v>21</v>
      </c>
      <c r="B35" s="1429"/>
      <c r="C35" s="511" t="s">
        <v>1217</v>
      </c>
      <c r="D35" s="1430">
        <v>607541</v>
      </c>
      <c r="E35" s="2006">
        <v>0</v>
      </c>
      <c r="F35" s="1430">
        <f t="shared" si="2"/>
        <v>303770.5</v>
      </c>
      <c r="G35" s="1430">
        <f>+F35</f>
        <v>303770.5</v>
      </c>
      <c r="H35" s="1430"/>
      <c r="I35" s="1430"/>
      <c r="J35" s="1430"/>
      <c r="K35" s="666" t="s">
        <v>15</v>
      </c>
    </row>
    <row r="36" spans="1:11" ht="15">
      <c r="A36" s="440">
        <f t="shared" si="1"/>
        <v>22</v>
      </c>
      <c r="B36" s="1429"/>
      <c r="C36" s="511" t="s">
        <v>1218</v>
      </c>
      <c r="D36" s="1430">
        <v>271437</v>
      </c>
      <c r="E36" s="2006">
        <v>286512</v>
      </c>
      <c r="F36" s="1430">
        <f t="shared" si="2"/>
        <v>278974.5</v>
      </c>
      <c r="G36" s="1430">
        <f>F36</f>
        <v>278974.5</v>
      </c>
      <c r="H36" s="1430"/>
      <c r="I36" s="1430"/>
      <c r="J36" s="1430"/>
      <c r="K36" s="666" t="s">
        <v>16</v>
      </c>
    </row>
    <row r="37" spans="1:11" ht="15">
      <c r="A37" s="440">
        <f t="shared" si="1"/>
        <v>23</v>
      </c>
      <c r="B37" s="1429"/>
      <c r="C37" s="511" t="s">
        <v>1219</v>
      </c>
      <c r="D37" s="1430">
        <v>0</v>
      </c>
      <c r="E37" s="2006">
        <v>919840</v>
      </c>
      <c r="F37" s="1430">
        <f t="shared" si="2"/>
        <v>459920</v>
      </c>
      <c r="G37" s="1430"/>
      <c r="H37" s="1430"/>
      <c r="I37" s="1430">
        <f>+F37</f>
        <v>459920</v>
      </c>
      <c r="J37" s="1430"/>
      <c r="K37" s="666" t="s">
        <v>17</v>
      </c>
    </row>
    <row r="38" spans="1:11" s="441" customFormat="1" ht="15">
      <c r="A38" s="440">
        <f t="shared" si="1"/>
        <v>24</v>
      </c>
      <c r="B38" s="1429"/>
      <c r="C38" s="511" t="s">
        <v>1220</v>
      </c>
      <c r="D38" s="1430">
        <v>2202263</v>
      </c>
      <c r="E38" s="2006">
        <v>2015350</v>
      </c>
      <c r="F38" s="1430">
        <f t="shared" si="2"/>
        <v>2108806.5</v>
      </c>
      <c r="G38" s="1430"/>
      <c r="H38" s="1430"/>
      <c r="I38" s="1430">
        <f>+F38</f>
        <v>2108806.5</v>
      </c>
      <c r="J38" s="1430"/>
      <c r="K38" s="666" t="s">
        <v>17</v>
      </c>
    </row>
    <row r="39" spans="1:11" ht="15">
      <c r="A39" s="440">
        <f t="shared" si="1"/>
        <v>25</v>
      </c>
      <c r="B39" s="1429"/>
      <c r="C39" s="511" t="s">
        <v>1221</v>
      </c>
      <c r="D39" s="1430">
        <v>6871242</v>
      </c>
      <c r="E39" s="2006">
        <v>6865219</v>
      </c>
      <c r="F39" s="1430">
        <f t="shared" si="2"/>
        <v>6868230.5</v>
      </c>
      <c r="G39" s="1430"/>
      <c r="H39" s="1430"/>
      <c r="I39" s="1430"/>
      <c r="J39" s="1430">
        <f>F39</f>
        <v>6868230.5</v>
      </c>
      <c r="K39" s="666" t="s">
        <v>1590</v>
      </c>
    </row>
    <row r="40" spans="1:11" ht="15">
      <c r="A40" s="440">
        <f t="shared" si="1"/>
        <v>26</v>
      </c>
      <c r="B40" s="1429"/>
      <c r="C40" s="511" t="s">
        <v>1222</v>
      </c>
      <c r="D40" s="1430">
        <v>0</v>
      </c>
      <c r="E40" s="2006">
        <v>0</v>
      </c>
      <c r="F40" s="1430">
        <f t="shared" si="2"/>
        <v>0</v>
      </c>
      <c r="G40" s="441"/>
      <c r="H40" s="1430"/>
      <c r="I40" s="1430">
        <f>F40</f>
        <v>0</v>
      </c>
      <c r="J40" s="1430"/>
      <c r="K40" s="666" t="s">
        <v>1591</v>
      </c>
    </row>
    <row r="41" spans="1:11" ht="15">
      <c r="A41" s="440">
        <f t="shared" si="1"/>
        <v>27</v>
      </c>
      <c r="B41" s="1429"/>
      <c r="C41" s="511" t="s">
        <v>1223</v>
      </c>
      <c r="D41" s="1430">
        <v>489423</v>
      </c>
      <c r="E41" s="2006">
        <v>534194</v>
      </c>
      <c r="F41" s="1430">
        <f t="shared" si="2"/>
        <v>511808.5</v>
      </c>
      <c r="G41" s="1430"/>
      <c r="H41" s="1430"/>
      <c r="I41" s="1430">
        <f>+F41</f>
        <v>511808.5</v>
      </c>
      <c r="J41" s="1430"/>
      <c r="K41" s="666" t="s">
        <v>273</v>
      </c>
    </row>
    <row r="42" spans="1:11" ht="15">
      <c r="A42" s="440">
        <f t="shared" si="1"/>
        <v>28</v>
      </c>
      <c r="B42" s="1429"/>
      <c r="C42" s="511" t="s">
        <v>274</v>
      </c>
      <c r="D42" s="1430">
        <v>2326958</v>
      </c>
      <c r="E42" s="2006">
        <v>2450707</v>
      </c>
      <c r="F42" s="1430">
        <f t="shared" si="2"/>
        <v>2388832.5</v>
      </c>
      <c r="G42" s="1430"/>
      <c r="H42" s="1430"/>
      <c r="I42" s="1430"/>
      <c r="J42" s="1430">
        <f>F42</f>
        <v>2388832.5</v>
      </c>
      <c r="K42" s="666" t="s">
        <v>1592</v>
      </c>
    </row>
    <row r="43" spans="1:11" ht="15">
      <c r="A43" s="440">
        <f t="shared" si="1"/>
        <v>29</v>
      </c>
      <c r="B43" s="1429"/>
      <c r="C43" s="511" t="s">
        <v>1259</v>
      </c>
      <c r="D43" s="1430">
        <v>11327221</v>
      </c>
      <c r="E43" s="2006">
        <v>11063651</v>
      </c>
      <c r="F43" s="1430">
        <f t="shared" si="2"/>
        <v>11195436</v>
      </c>
      <c r="G43" s="1430"/>
      <c r="H43" s="1430"/>
      <c r="I43" s="1430">
        <f>+F43</f>
        <v>11195436</v>
      </c>
      <c r="J43" s="1430"/>
      <c r="K43" s="666" t="s">
        <v>1591</v>
      </c>
    </row>
    <row r="44" spans="1:11" ht="15">
      <c r="A44" s="440">
        <f t="shared" si="1"/>
        <v>30</v>
      </c>
      <c r="B44" s="1429"/>
      <c r="C44" s="511" t="s">
        <v>1305</v>
      </c>
      <c r="D44" s="1430">
        <v>7485227</v>
      </c>
      <c r="E44" s="2006">
        <v>7874647</v>
      </c>
      <c r="F44" s="1430">
        <f t="shared" si="2"/>
        <v>7679937</v>
      </c>
      <c r="G44" s="1430"/>
      <c r="H44" s="1430"/>
      <c r="I44" s="1430"/>
      <c r="J44" s="1430">
        <f>F44</f>
        <v>7679937</v>
      </c>
      <c r="K44" s="666" t="s">
        <v>21</v>
      </c>
    </row>
    <row r="45" spans="1:11" ht="15">
      <c r="A45" s="440">
        <f t="shared" si="1"/>
        <v>31</v>
      </c>
      <c r="B45" s="1429"/>
      <c r="C45" s="511" t="s">
        <v>283</v>
      </c>
      <c r="D45" s="1430">
        <v>0</v>
      </c>
      <c r="E45" s="2006">
        <v>0</v>
      </c>
      <c r="F45" s="1430">
        <f t="shared" si="2"/>
        <v>0</v>
      </c>
      <c r="G45" s="1430">
        <f>F45</f>
        <v>0</v>
      </c>
      <c r="H45" s="1430"/>
      <c r="I45" s="1430"/>
      <c r="J45" s="1430"/>
      <c r="K45" s="666" t="s">
        <v>22</v>
      </c>
    </row>
    <row r="46" spans="1:11" ht="15">
      <c r="A46" s="440">
        <f t="shared" si="1"/>
        <v>32</v>
      </c>
      <c r="B46" s="1429"/>
      <c r="C46" s="511" t="s">
        <v>1535</v>
      </c>
      <c r="D46" s="1430">
        <v>0</v>
      </c>
      <c r="E46" s="2006">
        <v>0</v>
      </c>
      <c r="F46" s="1430">
        <f t="shared" si="2"/>
        <v>0</v>
      </c>
      <c r="G46" s="1430">
        <f>F46</f>
        <v>0</v>
      </c>
      <c r="H46" s="1430"/>
      <c r="I46" s="1430"/>
      <c r="J46" s="1430"/>
      <c r="K46" s="666" t="s">
        <v>23</v>
      </c>
    </row>
    <row r="47" spans="1:11" ht="15">
      <c r="A47" s="440">
        <f t="shared" si="1"/>
        <v>33</v>
      </c>
      <c r="B47" s="1429"/>
      <c r="C47" s="511" t="s">
        <v>284</v>
      </c>
      <c r="D47" s="1430">
        <v>1504815</v>
      </c>
      <c r="E47" s="2006">
        <v>1141108</v>
      </c>
      <c r="F47" s="1430">
        <f t="shared" si="2"/>
        <v>1322961.5</v>
      </c>
      <c r="G47" s="1430"/>
      <c r="H47" s="1430"/>
      <c r="I47" s="1430"/>
      <c r="J47" s="1430">
        <f>+F47</f>
        <v>1322961.5</v>
      </c>
      <c r="K47" s="666" t="s">
        <v>24</v>
      </c>
    </row>
    <row r="48" spans="1:11" ht="15" customHeight="1">
      <c r="A48" s="440">
        <f t="shared" si="1"/>
        <v>34</v>
      </c>
      <c r="B48" s="1429"/>
      <c r="C48" s="511" t="s">
        <v>285</v>
      </c>
      <c r="D48" s="668">
        <v>1133480</v>
      </c>
      <c r="E48" s="2062">
        <v>985421</v>
      </c>
      <c r="F48" s="1430">
        <f t="shared" si="2"/>
        <v>1059450.5</v>
      </c>
      <c r="G48" s="668"/>
      <c r="H48" s="668"/>
      <c r="I48" s="668"/>
      <c r="J48" s="668">
        <f>F48</f>
        <v>1059450.5</v>
      </c>
      <c r="K48" s="666" t="s">
        <v>1590</v>
      </c>
    </row>
    <row r="49" spans="1:11" ht="15">
      <c r="A49" s="440">
        <f t="shared" si="1"/>
        <v>35</v>
      </c>
      <c r="B49" s="1429"/>
      <c r="C49" s="511" t="s">
        <v>286</v>
      </c>
      <c r="D49" s="1430">
        <v>19772179</v>
      </c>
      <c r="E49" s="2006">
        <v>16375533</v>
      </c>
      <c r="F49" s="1430">
        <f t="shared" si="2"/>
        <v>18073856</v>
      </c>
      <c r="G49" s="1430"/>
      <c r="H49" s="1430"/>
      <c r="I49" s="1430">
        <f>+F49</f>
        <v>18073856</v>
      </c>
      <c r="J49" s="1430"/>
      <c r="K49" s="666" t="s">
        <v>287</v>
      </c>
    </row>
    <row r="50" spans="1:11" ht="15">
      <c r="A50" s="440">
        <f t="shared" si="1"/>
        <v>36</v>
      </c>
      <c r="B50" s="1429"/>
      <c r="C50" s="1434" t="s">
        <v>660</v>
      </c>
      <c r="D50" s="1430"/>
      <c r="E50" s="2006"/>
      <c r="F50" s="1430">
        <f t="shared" si="2"/>
        <v>0</v>
      </c>
      <c r="G50" s="1430"/>
      <c r="H50" s="1430"/>
      <c r="I50" s="1430"/>
      <c r="J50" s="1430"/>
      <c r="K50" s="666"/>
    </row>
    <row r="51" spans="1:11" ht="15">
      <c r="A51" s="440">
        <f t="shared" si="1"/>
        <v>37</v>
      </c>
      <c r="B51" s="1429"/>
      <c r="C51" s="511" t="s">
        <v>288</v>
      </c>
      <c r="D51" s="1430">
        <v>15244568</v>
      </c>
      <c r="E51" s="2006">
        <v>15632358</v>
      </c>
      <c r="F51" s="1430">
        <f t="shared" si="2"/>
        <v>15438463</v>
      </c>
      <c r="G51" s="1430"/>
      <c r="H51" s="1430"/>
      <c r="I51" s="1430">
        <f>+F51</f>
        <v>15438463</v>
      </c>
      <c r="J51" s="1430"/>
      <c r="K51" s="666" t="s">
        <v>289</v>
      </c>
    </row>
    <row r="52" spans="1:11" ht="15">
      <c r="A52" s="440">
        <f t="shared" si="1"/>
        <v>38</v>
      </c>
      <c r="B52" s="1429"/>
      <c r="C52" s="511" t="s">
        <v>290</v>
      </c>
      <c r="D52" s="1430">
        <v>727451</v>
      </c>
      <c r="E52" s="2006">
        <v>715533</v>
      </c>
      <c r="F52" s="1430">
        <f t="shared" si="2"/>
        <v>721492</v>
      </c>
      <c r="G52" s="1430"/>
      <c r="H52" s="1430"/>
      <c r="I52" s="1430">
        <f>+F52</f>
        <v>721492</v>
      </c>
      <c r="J52" s="1430"/>
      <c r="K52" s="666" t="s">
        <v>291</v>
      </c>
    </row>
    <row r="53" spans="1:11" ht="15">
      <c r="A53" s="440">
        <f t="shared" si="1"/>
        <v>39</v>
      </c>
      <c r="B53" s="1429"/>
      <c r="C53" s="511" t="s">
        <v>292</v>
      </c>
      <c r="D53" s="1430">
        <v>1959443</v>
      </c>
      <c r="E53" s="2006">
        <v>1769556</v>
      </c>
      <c r="F53" s="1430">
        <f t="shared" si="2"/>
        <v>1864499.5</v>
      </c>
      <c r="G53" s="1430"/>
      <c r="H53" s="1430"/>
      <c r="I53" s="1430">
        <f>+F53</f>
        <v>1864499.5</v>
      </c>
      <c r="J53" s="1430"/>
      <c r="K53" s="666" t="s">
        <v>293</v>
      </c>
    </row>
    <row r="54" spans="1:11" ht="15">
      <c r="A54" s="440">
        <f t="shared" si="1"/>
        <v>40</v>
      </c>
      <c r="B54" s="1429"/>
      <c r="C54" s="511" t="s">
        <v>294</v>
      </c>
      <c r="D54" s="1430">
        <v>56564771</v>
      </c>
      <c r="E54" s="2006">
        <v>53401679</v>
      </c>
      <c r="F54" s="1430">
        <f t="shared" si="2"/>
        <v>54983225</v>
      </c>
      <c r="G54" s="1430"/>
      <c r="H54" s="1430"/>
      <c r="I54" s="1430">
        <f>+F54</f>
        <v>54983225</v>
      </c>
      <c r="J54" s="1430"/>
      <c r="K54" s="666" t="s">
        <v>295</v>
      </c>
    </row>
    <row r="55" spans="1:11" ht="15">
      <c r="A55" s="440">
        <f t="shared" si="1"/>
        <v>41</v>
      </c>
      <c r="B55" s="1429"/>
      <c r="C55" s="511" t="s">
        <v>296</v>
      </c>
      <c r="D55" s="1430">
        <v>22102732</v>
      </c>
      <c r="E55" s="2006">
        <v>27032126</v>
      </c>
      <c r="F55" s="1430">
        <f t="shared" si="2"/>
        <v>24567429</v>
      </c>
      <c r="G55" s="1430">
        <f>+F55</f>
        <v>24567429</v>
      </c>
      <c r="H55" s="1430"/>
      <c r="I55" s="1430"/>
      <c r="J55" s="1430"/>
      <c r="K55" s="666" t="s">
        <v>297</v>
      </c>
    </row>
    <row r="56" spans="1:11" ht="15">
      <c r="A56" s="440">
        <f t="shared" si="1"/>
        <v>42</v>
      </c>
      <c r="B56" s="1429"/>
      <c r="C56" s="511" t="s">
        <v>298</v>
      </c>
      <c r="D56" s="1430">
        <v>560524</v>
      </c>
      <c r="E56" s="2006">
        <v>9706903</v>
      </c>
      <c r="F56" s="1430">
        <f t="shared" si="2"/>
        <v>5133713.5</v>
      </c>
      <c r="G56" s="1430"/>
      <c r="H56" s="1430"/>
      <c r="J56" s="1430">
        <f>F56</f>
        <v>5133713.5</v>
      </c>
      <c r="K56" s="666" t="s">
        <v>299</v>
      </c>
    </row>
    <row r="57" spans="1:11" ht="15">
      <c r="A57" s="440">
        <f t="shared" si="1"/>
        <v>43</v>
      </c>
      <c r="B57" s="1429"/>
      <c r="C57" s="511" t="s">
        <v>300</v>
      </c>
      <c r="D57" s="1430">
        <v>194500</v>
      </c>
      <c r="E57" s="2006">
        <v>185531</v>
      </c>
      <c r="F57" s="1430">
        <f t="shared" si="2"/>
        <v>190015.5</v>
      </c>
      <c r="G57" s="1430">
        <f>+F57</f>
        <v>190015.5</v>
      </c>
      <c r="H57" s="1430"/>
      <c r="I57" s="1430"/>
      <c r="J57" s="1430"/>
      <c r="K57" s="666" t="s">
        <v>301</v>
      </c>
    </row>
    <row r="58" spans="1:11" ht="15">
      <c r="A58" s="440">
        <f t="shared" si="1"/>
        <v>44</v>
      </c>
      <c r="B58" s="1429"/>
      <c r="C58" s="511" t="s">
        <v>302</v>
      </c>
      <c r="D58" s="1430">
        <v>1478704</v>
      </c>
      <c r="E58" s="2006">
        <v>1195864</v>
      </c>
      <c r="F58" s="1430">
        <f t="shared" si="2"/>
        <v>1337284</v>
      </c>
      <c r="G58" s="1430"/>
      <c r="H58" s="1430"/>
      <c r="I58" s="1430">
        <f>+F58</f>
        <v>1337284</v>
      </c>
      <c r="J58" s="1430"/>
      <c r="K58" s="666" t="s">
        <v>303</v>
      </c>
    </row>
    <row r="59" spans="1:11" ht="15">
      <c r="A59" s="440">
        <f t="shared" si="1"/>
        <v>45</v>
      </c>
      <c r="B59" s="1429"/>
      <c r="C59" s="511" t="s">
        <v>304</v>
      </c>
      <c r="D59" s="1430">
        <v>8509249</v>
      </c>
      <c r="E59" s="2006">
        <v>9556075</v>
      </c>
      <c r="F59" s="1430">
        <f t="shared" si="2"/>
        <v>9032662</v>
      </c>
      <c r="G59" s="1430"/>
      <c r="H59" s="1430"/>
      <c r="I59" s="1430">
        <f>+F59</f>
        <v>9032662</v>
      </c>
      <c r="J59" s="1430"/>
      <c r="K59" s="666" t="s">
        <v>305</v>
      </c>
    </row>
    <row r="60" spans="1:11" ht="15">
      <c r="A60" s="440">
        <f t="shared" si="1"/>
        <v>46</v>
      </c>
      <c r="B60" s="1429"/>
      <c r="C60" s="511" t="s">
        <v>306</v>
      </c>
      <c r="D60" s="1430">
        <v>100237</v>
      </c>
      <c r="E60" s="2006">
        <v>93836</v>
      </c>
      <c r="F60" s="1430">
        <f t="shared" si="2"/>
        <v>97036.5</v>
      </c>
      <c r="G60" s="1430"/>
      <c r="H60" s="1430"/>
      <c r="I60" s="1430">
        <f>+F60</f>
        <v>97036.5</v>
      </c>
      <c r="J60" s="1430"/>
      <c r="K60" s="666" t="s">
        <v>307</v>
      </c>
    </row>
    <row r="61" spans="1:11" ht="15">
      <c r="A61" s="440">
        <f t="shared" si="1"/>
        <v>47</v>
      </c>
      <c r="B61" s="1429"/>
      <c r="C61" s="511" t="s">
        <v>308</v>
      </c>
      <c r="D61" s="1430">
        <v>0</v>
      </c>
      <c r="E61" s="2006">
        <v>0</v>
      </c>
      <c r="F61" s="1430">
        <f t="shared" si="2"/>
        <v>0</v>
      </c>
      <c r="G61" s="1430"/>
      <c r="H61" s="1430">
        <v>0</v>
      </c>
      <c r="I61" s="1430"/>
      <c r="J61" s="1430"/>
      <c r="K61" s="666" t="s">
        <v>1629</v>
      </c>
    </row>
    <row r="62" spans="1:11" ht="15">
      <c r="A62" s="440" t="s">
        <v>543</v>
      </c>
      <c r="B62" s="1429"/>
      <c r="C62" s="511" t="s">
        <v>545</v>
      </c>
      <c r="D62" s="1430">
        <v>9071726</v>
      </c>
      <c r="E62" s="2006">
        <v>8829260</v>
      </c>
      <c r="F62" s="1430">
        <f t="shared" si="2"/>
        <v>8950493</v>
      </c>
      <c r="G62" s="1430"/>
      <c r="H62" s="1430"/>
      <c r="I62" s="1430"/>
      <c r="J62" s="1430">
        <f>F62</f>
        <v>8950493</v>
      </c>
      <c r="K62" s="666" t="s">
        <v>1630</v>
      </c>
    </row>
    <row r="63" spans="1:11" ht="15">
      <c r="A63" s="440" t="s">
        <v>544</v>
      </c>
      <c r="B63" s="1429"/>
      <c r="C63" s="511" t="s">
        <v>30</v>
      </c>
      <c r="D63" s="1430">
        <v>0</v>
      </c>
      <c r="E63" s="2006">
        <v>0</v>
      </c>
      <c r="F63" s="1430">
        <f t="shared" si="2"/>
        <v>0</v>
      </c>
      <c r="G63" s="1430"/>
      <c r="H63" s="1430"/>
      <c r="I63" s="1430"/>
      <c r="J63" s="1430">
        <f>+F63</f>
        <v>0</v>
      </c>
      <c r="K63" s="666" t="s">
        <v>1183</v>
      </c>
    </row>
    <row r="64" spans="1:11" ht="15">
      <c r="A64" s="440" t="s">
        <v>1778</v>
      </c>
      <c r="B64" s="1429"/>
      <c r="C64" s="511" t="s">
        <v>1779</v>
      </c>
      <c r="D64" s="1430">
        <v>529149</v>
      </c>
      <c r="E64" s="2006">
        <v>535986</v>
      </c>
      <c r="F64" s="1430">
        <f t="shared" si="2"/>
        <v>532567.5</v>
      </c>
      <c r="G64" s="1430">
        <f>F64</f>
        <v>532567.5</v>
      </c>
      <c r="H64" s="1430"/>
      <c r="I64" s="1430"/>
      <c r="J64" s="1430"/>
      <c r="K64" s="666" t="s">
        <v>1709</v>
      </c>
    </row>
    <row r="65" spans="1:11" ht="15">
      <c r="A65" s="440" t="s">
        <v>1788</v>
      </c>
      <c r="B65" s="1429"/>
      <c r="C65" s="511" t="s">
        <v>1789</v>
      </c>
      <c r="D65" s="1430">
        <v>4557072</v>
      </c>
      <c r="E65" s="2006">
        <v>4445085</v>
      </c>
      <c r="F65" s="1430">
        <f t="shared" si="2"/>
        <v>4501078.5</v>
      </c>
      <c r="G65" s="1430"/>
      <c r="H65" s="1430"/>
      <c r="I65" s="1430">
        <f>+F65</f>
        <v>4501078.5</v>
      </c>
      <c r="J65" s="1430"/>
      <c r="K65" s="666" t="s">
        <v>1790</v>
      </c>
    </row>
    <row r="66" spans="1:11" ht="15">
      <c r="A66" s="440" t="s">
        <v>1838</v>
      </c>
      <c r="B66" s="1429"/>
      <c r="C66" s="511" t="s">
        <v>1839</v>
      </c>
      <c r="D66" s="1430"/>
      <c r="E66" s="2006">
        <v>3597015</v>
      </c>
      <c r="F66" s="1430">
        <f t="shared" si="2"/>
        <v>1798507.5</v>
      </c>
      <c r="G66" s="1430"/>
      <c r="H66" s="1430"/>
      <c r="I66" s="1430">
        <f>F66</f>
        <v>1798507.5</v>
      </c>
      <c r="J66" s="1430"/>
      <c r="K66" s="2090" t="s">
        <v>1846</v>
      </c>
    </row>
    <row r="67" spans="1:11" ht="15">
      <c r="A67" s="440" t="s">
        <v>1840</v>
      </c>
      <c r="B67" s="1429"/>
      <c r="C67" s="511" t="s">
        <v>1841</v>
      </c>
      <c r="D67" s="1430"/>
      <c r="E67" s="2006">
        <v>320283</v>
      </c>
      <c r="F67" s="1430">
        <f t="shared" si="2"/>
        <v>160141.5</v>
      </c>
      <c r="G67" s="1430">
        <f>F67</f>
        <v>160141.5</v>
      </c>
      <c r="H67" s="1430"/>
      <c r="I67" s="1430"/>
      <c r="J67" s="1430"/>
      <c r="K67" s="2090" t="s">
        <v>1847</v>
      </c>
    </row>
    <row r="68" spans="1:11" ht="15">
      <c r="A68" s="440">
        <f>A61+1</f>
        <v>48</v>
      </c>
      <c r="B68" s="1429"/>
      <c r="C68" s="1349"/>
      <c r="D68" s="1433"/>
      <c r="E68" s="2007"/>
      <c r="F68" s="1433">
        <f t="shared" si="2"/>
        <v>0</v>
      </c>
      <c r="G68" s="1433"/>
      <c r="H68" s="1433"/>
      <c r="I68" s="1433"/>
      <c r="J68" s="1433"/>
      <c r="K68" s="1353"/>
    </row>
    <row r="69" spans="1:11" ht="15">
      <c r="A69" s="438">
        <f>A68+1</f>
        <v>49</v>
      </c>
      <c r="B69" s="1559">
        <v>190400</v>
      </c>
      <c r="C69" s="516" t="s">
        <v>309</v>
      </c>
      <c r="D69" s="668">
        <v>214947</v>
      </c>
      <c r="E69" s="2062">
        <v>102414</v>
      </c>
      <c r="F69" s="1430">
        <f t="shared" si="2"/>
        <v>158680.5</v>
      </c>
      <c r="G69" s="667">
        <f t="shared" ref="G69:G75" si="3">F69</f>
        <v>158680.5</v>
      </c>
      <c r="H69" s="667"/>
      <c r="I69" s="667"/>
      <c r="J69" s="667"/>
      <c r="K69" s="666" t="s">
        <v>310</v>
      </c>
    </row>
    <row r="70" spans="1:11" ht="15">
      <c r="A70" s="440">
        <f t="shared" si="1"/>
        <v>50</v>
      </c>
      <c r="B70" s="1560">
        <v>190500</v>
      </c>
      <c r="C70" s="516" t="s">
        <v>25</v>
      </c>
      <c r="D70" s="1430">
        <v>116803001</v>
      </c>
      <c r="E70" s="2006">
        <v>126342680</v>
      </c>
      <c r="F70" s="1430">
        <f t="shared" si="2"/>
        <v>121572840.5</v>
      </c>
      <c r="G70" s="1436">
        <f t="shared" si="3"/>
        <v>121572840.5</v>
      </c>
      <c r="H70" s="1436"/>
      <c r="I70" s="1436"/>
      <c r="J70" s="1436"/>
      <c r="K70" s="666" t="s">
        <v>26</v>
      </c>
    </row>
    <row r="71" spans="1:11" ht="15">
      <c r="A71" s="440">
        <f t="shared" si="1"/>
        <v>51</v>
      </c>
      <c r="B71" s="1560">
        <v>190601</v>
      </c>
      <c r="C71" s="516" t="s">
        <v>311</v>
      </c>
      <c r="D71" s="1437">
        <v>89630067</v>
      </c>
      <c r="E71" s="2006">
        <v>88011144</v>
      </c>
      <c r="F71" s="1430">
        <f t="shared" si="2"/>
        <v>88820605.5</v>
      </c>
      <c r="G71" s="1438">
        <f t="shared" si="3"/>
        <v>88820605.5</v>
      </c>
      <c r="H71" s="1438"/>
      <c r="I71" s="1438"/>
      <c r="J71" s="1436"/>
      <c r="K71" s="666" t="s">
        <v>312</v>
      </c>
    </row>
    <row r="72" spans="1:11" ht="15">
      <c r="A72" s="440">
        <f t="shared" si="1"/>
        <v>52</v>
      </c>
      <c r="B72" s="1560">
        <v>190602</v>
      </c>
      <c r="C72" s="516" t="s">
        <v>313</v>
      </c>
      <c r="D72" s="1437">
        <v>329555</v>
      </c>
      <c r="E72" s="2006">
        <v>205972</v>
      </c>
      <c r="F72" s="1430">
        <f t="shared" si="2"/>
        <v>267763.5</v>
      </c>
      <c r="G72" s="1438">
        <f t="shared" si="3"/>
        <v>267763.5</v>
      </c>
      <c r="H72" s="1438"/>
      <c r="I72" s="1438"/>
      <c r="J72" s="1436"/>
      <c r="K72" s="666" t="s">
        <v>312</v>
      </c>
    </row>
    <row r="73" spans="1:11" ht="15">
      <c r="A73" s="440">
        <f>A72+1</f>
        <v>53</v>
      </c>
      <c r="B73" s="1560">
        <v>190603</v>
      </c>
      <c r="C73" s="516" t="s">
        <v>314</v>
      </c>
      <c r="D73" s="1437">
        <v>0</v>
      </c>
      <c r="E73" s="2006">
        <v>0</v>
      </c>
      <c r="F73" s="1430">
        <f t="shared" si="2"/>
        <v>0</v>
      </c>
      <c r="G73" s="1438">
        <f t="shared" si="3"/>
        <v>0</v>
      </c>
      <c r="H73" s="1438"/>
      <c r="I73" s="1438"/>
      <c r="J73" s="1436"/>
      <c r="K73" s="666"/>
    </row>
    <row r="74" spans="1:11" ht="15">
      <c r="A74" s="440" t="s">
        <v>546</v>
      </c>
      <c r="B74" s="1560">
        <v>190300</v>
      </c>
      <c r="C74" s="516" t="s">
        <v>547</v>
      </c>
      <c r="D74" s="1437">
        <v>1535745</v>
      </c>
      <c r="E74" s="2006">
        <v>2144254</v>
      </c>
      <c r="F74" s="1430">
        <f t="shared" si="2"/>
        <v>1839999.5</v>
      </c>
      <c r="G74" s="1438">
        <f t="shared" si="3"/>
        <v>1839999.5</v>
      </c>
      <c r="H74" s="1438"/>
      <c r="I74" s="1438"/>
      <c r="J74" s="1436"/>
      <c r="K74" s="666" t="s">
        <v>1808</v>
      </c>
    </row>
    <row r="75" spans="1:11" ht="15">
      <c r="A75" s="440" t="s">
        <v>548</v>
      </c>
      <c r="B75" s="1560">
        <v>190301</v>
      </c>
      <c r="C75" s="516" t="s">
        <v>549</v>
      </c>
      <c r="D75" s="1437">
        <v>107762</v>
      </c>
      <c r="E75" s="2006">
        <v>150997</v>
      </c>
      <c r="F75" s="1430">
        <f t="shared" si="2"/>
        <v>129379.5</v>
      </c>
      <c r="G75" s="1438">
        <f t="shared" si="3"/>
        <v>129379.5</v>
      </c>
      <c r="H75" s="1438"/>
      <c r="I75" s="1438"/>
      <c r="J75" s="1436"/>
      <c r="K75" s="666" t="s">
        <v>1808</v>
      </c>
    </row>
    <row r="76" spans="1:11" ht="15">
      <c r="A76" s="440" t="s">
        <v>1806</v>
      </c>
      <c r="B76" s="1560">
        <v>190300</v>
      </c>
      <c r="C76" s="516" t="s">
        <v>1810</v>
      </c>
      <c r="D76" s="1437">
        <v>68698957</v>
      </c>
      <c r="E76" s="2006">
        <v>63790796</v>
      </c>
      <c r="F76" s="1430">
        <f t="shared" si="2"/>
        <v>66244876.5</v>
      </c>
      <c r="G76" s="1438"/>
      <c r="H76" s="1438"/>
      <c r="I76" s="1438">
        <f>F76</f>
        <v>66244876.5</v>
      </c>
      <c r="J76" s="1436"/>
      <c r="K76" s="666" t="s">
        <v>1809</v>
      </c>
    </row>
    <row r="77" spans="1:11" ht="15">
      <c r="A77" s="440" t="s">
        <v>1807</v>
      </c>
      <c r="B77" s="1560">
        <v>190301</v>
      </c>
      <c r="C77" s="516" t="s">
        <v>1811</v>
      </c>
      <c r="D77" s="1439">
        <v>7655027</v>
      </c>
      <c r="E77" s="2063">
        <v>6312262</v>
      </c>
      <c r="F77" s="1441">
        <f t="shared" si="2"/>
        <v>6983644.5</v>
      </c>
      <c r="G77" s="1440"/>
      <c r="H77" s="1440"/>
      <c r="I77" s="1440">
        <f>F77</f>
        <v>6983644.5</v>
      </c>
      <c r="J77" s="670"/>
      <c r="K77" s="666" t="s">
        <v>1809</v>
      </c>
    </row>
    <row r="78" spans="1:11" ht="15.75">
      <c r="A78" s="440">
        <f>A73+1</f>
        <v>54</v>
      </c>
      <c r="B78" s="442" t="s">
        <v>1492</v>
      </c>
      <c r="C78" s="441"/>
      <c r="D78" s="1357">
        <f t="shared" ref="D78:I78" si="4">SUM(D24:D77)</f>
        <v>520291979</v>
      </c>
      <c r="E78" s="1357">
        <f t="shared" si="4"/>
        <v>533679699</v>
      </c>
      <c r="F78" s="1357">
        <f t="shared" si="4"/>
        <v>526985839</v>
      </c>
      <c r="G78" s="1357">
        <f t="shared" si="4"/>
        <v>280835238</v>
      </c>
      <c r="H78" s="1357">
        <f t="shared" si="4"/>
        <v>0</v>
      </c>
      <c r="I78" s="1357">
        <f t="shared" si="4"/>
        <v>195352596</v>
      </c>
      <c r="J78" s="1357">
        <f>SUM(J24:J77)</f>
        <v>50798005</v>
      </c>
    </row>
    <row r="79" spans="1:11" ht="15.75">
      <c r="A79" s="440">
        <f>A78+1</f>
        <v>55</v>
      </c>
      <c r="B79" s="443" t="s">
        <v>1705</v>
      </c>
      <c r="D79" s="1357">
        <f>D71+D72+D73</f>
        <v>89959622</v>
      </c>
      <c r="E79" s="1357">
        <f>E71+E72+E73</f>
        <v>88217116</v>
      </c>
      <c r="F79" s="1357">
        <f>SUM(D79:E79)/2</f>
        <v>89088369</v>
      </c>
      <c r="G79" s="1357">
        <f>F79</f>
        <v>89088369</v>
      </c>
      <c r="H79" s="1357"/>
      <c r="I79" s="1357"/>
      <c r="J79" s="1357"/>
    </row>
    <row r="80" spans="1:11" ht="15.75">
      <c r="A80" s="440">
        <f>A79+1</f>
        <v>56</v>
      </c>
      <c r="B80" s="443" t="s">
        <v>54</v>
      </c>
      <c r="D80" s="1442">
        <f>D78-D79</f>
        <v>430332357</v>
      </c>
      <c r="E80" s="1442">
        <f t="shared" ref="E80:J80" si="5">E78-E79</f>
        <v>445462583</v>
      </c>
      <c r="F80" s="1442">
        <f t="shared" si="5"/>
        <v>437897470</v>
      </c>
      <c r="G80" s="2089">
        <f t="shared" si="5"/>
        <v>191746869</v>
      </c>
      <c r="H80" s="2089">
        <f t="shared" si="5"/>
        <v>0</v>
      </c>
      <c r="I80" s="2089">
        <f t="shared" si="5"/>
        <v>195352596</v>
      </c>
      <c r="J80" s="2089">
        <f t="shared" si="5"/>
        <v>50798005</v>
      </c>
    </row>
    <row r="81" spans="1:13" ht="20.25">
      <c r="A81" s="1907" t="str">
        <f>+A1</f>
        <v>Worksheet A-3 - ADIT</v>
      </c>
      <c r="B81" s="86"/>
      <c r="C81" s="444"/>
      <c r="D81" s="444"/>
      <c r="E81" s="2088"/>
      <c r="F81" s="221"/>
      <c r="G81" s="221"/>
      <c r="H81" s="221"/>
      <c r="I81" s="225"/>
      <c r="J81" s="225"/>
      <c r="K81" s="1953" t="s">
        <v>161</v>
      </c>
    </row>
    <row r="82" spans="1:13" ht="18">
      <c r="B82" s="2188" t="str">
        <f>B2</f>
        <v>Kansas City Power &amp; Light Company</v>
      </c>
      <c r="C82" s="2188"/>
      <c r="D82" s="2188"/>
      <c r="E82" s="2188"/>
      <c r="F82" s="2188"/>
      <c r="G82" s="2188"/>
      <c r="H82" s="2188"/>
      <c r="I82" s="2188"/>
      <c r="J82" s="2188"/>
    </row>
    <row r="83" spans="1:13" ht="18">
      <c r="B83" s="2188" t="s">
        <v>1506</v>
      </c>
      <c r="C83" s="2188"/>
      <c r="D83" s="2188"/>
      <c r="E83" s="2188"/>
      <c r="F83" s="2188"/>
      <c r="G83" s="2188"/>
      <c r="H83" s="2188"/>
      <c r="I83" s="2188"/>
      <c r="J83" s="2188"/>
      <c r="K83" s="567" t="s">
        <v>1738</v>
      </c>
    </row>
    <row r="84" spans="1:13" ht="15.75">
      <c r="B84" s="2181" t="str">
        <f>B3</f>
        <v>For the 12 months ended - December 31, 2012</v>
      </c>
      <c r="C84" s="2181"/>
      <c r="D84" s="2181"/>
      <c r="E84" s="2181"/>
      <c r="F84" s="2181"/>
      <c r="G84" s="2181"/>
      <c r="H84" s="2181"/>
      <c r="I84" s="2181"/>
      <c r="J84" s="2181"/>
      <c r="K84" s="1101"/>
    </row>
    <row r="85" spans="1:13" ht="15">
      <c r="B85" s="224"/>
      <c r="F85" s="518" t="str">
        <f>F19</f>
        <v>(A)</v>
      </c>
      <c r="G85" s="518" t="str">
        <f>G19</f>
        <v>(B)</v>
      </c>
      <c r="H85" s="518" t="str">
        <f>H19</f>
        <v>(C)</v>
      </c>
      <c r="I85" s="518" t="str">
        <f>I19</f>
        <v>(D)</v>
      </c>
      <c r="J85" s="518" t="str">
        <f>J19</f>
        <v>(E)</v>
      </c>
      <c r="K85" s="1082" t="s">
        <v>120</v>
      </c>
    </row>
    <row r="86" spans="1:13" ht="15">
      <c r="B86" s="224"/>
      <c r="C86" s="221"/>
      <c r="D86" s="221"/>
      <c r="E86" s="221"/>
      <c r="F86" s="221"/>
      <c r="G86" s="51">
        <v>1</v>
      </c>
      <c r="H86" s="53">
        <f>H20</f>
        <v>1</v>
      </c>
      <c r="I86" s="50"/>
      <c r="J86" s="50"/>
      <c r="K86" s="30"/>
    </row>
    <row r="87" spans="1:13" ht="15.75">
      <c r="B87" s="224"/>
      <c r="C87" s="445"/>
      <c r="D87" s="1731" t="s">
        <v>566</v>
      </c>
      <c r="E87" s="1732" t="s">
        <v>567</v>
      </c>
      <c r="F87" s="84" t="s">
        <v>1409</v>
      </c>
      <c r="G87" s="50" t="s">
        <v>736</v>
      </c>
      <c r="H87" s="85" t="str">
        <f>H21</f>
        <v>Trans.</v>
      </c>
      <c r="I87" s="518" t="str">
        <f>I21</f>
        <v xml:space="preserve">Plant </v>
      </c>
      <c r="J87" s="518" t="str">
        <f>J21</f>
        <v>Labor</v>
      </c>
      <c r="K87" s="30"/>
    </row>
    <row r="88" spans="1:13" ht="16.5" thickBot="1">
      <c r="B88" s="224"/>
      <c r="C88" s="1028" t="s">
        <v>1694</v>
      </c>
      <c r="D88" s="1734" t="s">
        <v>1410</v>
      </c>
      <c r="E88" s="1735" t="s">
        <v>1411</v>
      </c>
      <c r="F88" s="1030" t="s">
        <v>1534</v>
      </c>
      <c r="G88" s="1028" t="s">
        <v>824</v>
      </c>
      <c r="H88" s="1028" t="s">
        <v>824</v>
      </c>
      <c r="I88" s="1029" t="str">
        <f>I22</f>
        <v>Related</v>
      </c>
      <c r="J88" s="1029" t="str">
        <f>J22</f>
        <v>Related</v>
      </c>
      <c r="K88" s="1028" t="s">
        <v>121</v>
      </c>
    </row>
    <row r="89" spans="1:13" ht="15">
      <c r="B89" s="1435"/>
      <c r="C89" s="52" t="s">
        <v>1707</v>
      </c>
      <c r="D89" s="52"/>
      <c r="E89" s="52"/>
      <c r="F89" s="666"/>
      <c r="G89" s="1443"/>
      <c r="H89" s="1443"/>
      <c r="I89" s="1444"/>
      <c r="J89" s="1444"/>
    </row>
    <row r="90" spans="1:13" ht="15.75" customHeight="1">
      <c r="A90" s="440">
        <v>1</v>
      </c>
      <c r="B90" s="1561">
        <v>255520</v>
      </c>
      <c r="C90" s="666" t="s">
        <v>315</v>
      </c>
      <c r="D90" s="1357">
        <v>-18735718</v>
      </c>
      <c r="E90" s="2064">
        <v>-17979331</v>
      </c>
      <c r="F90" s="1357">
        <f>ROUND((SUM(D90:E90)/2),0)</f>
        <v>-18357525</v>
      </c>
      <c r="G90" s="1357">
        <f>F90</f>
        <v>-18357525</v>
      </c>
      <c r="H90" s="1357"/>
      <c r="I90" s="1432"/>
      <c r="J90" s="1432"/>
      <c r="K90" s="666" t="s">
        <v>27</v>
      </c>
      <c r="L90" s="220"/>
      <c r="M90" s="220"/>
    </row>
    <row r="91" spans="1:13" ht="15.75" customHeight="1">
      <c r="A91" s="440">
        <f t="shared" ref="A91:A98" si="6">A90+1</f>
        <v>2</v>
      </c>
      <c r="B91" s="1561">
        <v>255634</v>
      </c>
      <c r="C91" s="666" t="s">
        <v>316</v>
      </c>
      <c r="D91" s="667">
        <v>-1889239</v>
      </c>
      <c r="E91" s="2065">
        <v>-1345088</v>
      </c>
      <c r="F91" s="668">
        <f t="shared" ref="F91:F93" si="7">ROUND((SUM(D91:E91)/2),0)</f>
        <v>-1617164</v>
      </c>
      <c r="G91" s="667"/>
      <c r="H91" s="667"/>
      <c r="I91" s="1436">
        <f>+F91</f>
        <v>-1617164</v>
      </c>
      <c r="J91" s="1436"/>
      <c r="K91" s="666" t="s">
        <v>317</v>
      </c>
      <c r="L91" s="220"/>
      <c r="M91" s="220"/>
    </row>
    <row r="92" spans="1:13" ht="15.75" customHeight="1">
      <c r="A92" s="440">
        <f t="shared" si="6"/>
        <v>3</v>
      </c>
      <c r="B92" s="1558">
        <v>255600</v>
      </c>
      <c r="C92" s="666" t="s">
        <v>318</v>
      </c>
      <c r="D92" s="667">
        <v>-764006</v>
      </c>
      <c r="E92" s="2065">
        <v>-733162</v>
      </c>
      <c r="F92" s="668">
        <f t="shared" si="7"/>
        <v>-748584</v>
      </c>
      <c r="G92" s="667">
        <f>F92</f>
        <v>-748584</v>
      </c>
      <c r="H92" s="667"/>
      <c r="I92" s="1436"/>
      <c r="J92" s="1436"/>
      <c r="K92" s="666" t="s">
        <v>27</v>
      </c>
      <c r="L92" s="220"/>
      <c r="M92" s="220"/>
    </row>
    <row r="93" spans="1:13" ht="15.75" customHeight="1">
      <c r="A93" s="440">
        <f t="shared" si="6"/>
        <v>4</v>
      </c>
      <c r="B93" s="1561">
        <v>255700</v>
      </c>
      <c r="C93" s="666" t="s">
        <v>319</v>
      </c>
      <c r="D93" s="667">
        <v>-106490666</v>
      </c>
      <c r="E93" s="2065">
        <f>-(92232726+13788610)</f>
        <v>-106021336</v>
      </c>
      <c r="F93" s="668">
        <f t="shared" si="7"/>
        <v>-106256001</v>
      </c>
      <c r="G93" s="667">
        <f>F93</f>
        <v>-106256001</v>
      </c>
      <c r="H93" s="667"/>
      <c r="I93" s="667"/>
      <c r="J93" s="667"/>
      <c r="K93" s="666" t="s">
        <v>28</v>
      </c>
      <c r="L93" s="220"/>
      <c r="M93" s="220"/>
    </row>
    <row r="94" spans="1:13" ht="15">
      <c r="A94" s="440">
        <f t="shared" si="6"/>
        <v>5</v>
      </c>
      <c r="B94" s="1350"/>
      <c r="C94" s="1350"/>
      <c r="D94" s="1351"/>
      <c r="E94" s="1351"/>
      <c r="F94" s="1736">
        <f>SUM(D94:E94)/2</f>
        <v>0</v>
      </c>
      <c r="G94" s="1352"/>
      <c r="H94" s="1352"/>
      <c r="I94" s="1352"/>
      <c r="J94" s="1352"/>
      <c r="K94" s="1350"/>
      <c r="L94" s="220"/>
      <c r="M94" s="220"/>
    </row>
    <row r="95" spans="1:13" ht="15.75">
      <c r="A95" s="440">
        <f t="shared" si="6"/>
        <v>6</v>
      </c>
      <c r="B95" s="443" t="s">
        <v>1795</v>
      </c>
      <c r="C95" s="441"/>
      <c r="D95" s="1079">
        <f t="shared" ref="D95:J95" si="8">SUM(D90:D94)</f>
        <v>-127879629</v>
      </c>
      <c r="E95" s="1079">
        <f t="shared" si="8"/>
        <v>-126078917</v>
      </c>
      <c r="F95" s="1079">
        <f t="shared" si="8"/>
        <v>-126979274</v>
      </c>
      <c r="G95" s="1079">
        <f t="shared" si="8"/>
        <v>-125362110</v>
      </c>
      <c r="H95" s="1079">
        <f t="shared" si="8"/>
        <v>0</v>
      </c>
      <c r="I95" s="1079">
        <f t="shared" si="8"/>
        <v>-1617164</v>
      </c>
      <c r="J95" s="1079">
        <f t="shared" si="8"/>
        <v>0</v>
      </c>
      <c r="K95" s="220"/>
    </row>
    <row r="96" spans="1:13" ht="15.75">
      <c r="A96" s="440">
        <f t="shared" si="6"/>
        <v>7</v>
      </c>
      <c r="B96" s="443" t="s">
        <v>1705</v>
      </c>
      <c r="C96" s="441"/>
      <c r="D96" s="514">
        <v>0</v>
      </c>
      <c r="E96" s="514">
        <v>0</v>
      </c>
      <c r="F96" s="514">
        <v>0</v>
      </c>
      <c r="G96" s="514">
        <v>0</v>
      </c>
      <c r="H96" s="514">
        <v>0</v>
      </c>
      <c r="I96" s="514">
        <v>0</v>
      </c>
      <c r="J96" s="740"/>
      <c r="K96" s="221"/>
    </row>
    <row r="97" spans="1:11" ht="15.75">
      <c r="A97" s="440">
        <f t="shared" si="6"/>
        <v>8</v>
      </c>
      <c r="B97" s="443" t="s">
        <v>1706</v>
      </c>
      <c r="C97" s="441"/>
      <c r="D97" s="672">
        <v>0</v>
      </c>
      <c r="E97" s="672">
        <v>0</v>
      </c>
      <c r="F97" s="672">
        <v>0</v>
      </c>
      <c r="G97" s="672">
        <v>0</v>
      </c>
      <c r="H97" s="672">
        <v>0</v>
      </c>
      <c r="I97" s="672">
        <v>0</v>
      </c>
      <c r="J97" s="672"/>
      <c r="K97" s="221"/>
    </row>
    <row r="98" spans="1:11" ht="15.75">
      <c r="A98" s="440">
        <f t="shared" si="6"/>
        <v>9</v>
      </c>
      <c r="B98" s="443" t="s">
        <v>54</v>
      </c>
      <c r="C98" s="441"/>
      <c r="D98" s="1081">
        <f t="shared" ref="D98:J98" si="9">D95-D96-D97</f>
        <v>-127879629</v>
      </c>
      <c r="E98" s="1081">
        <f t="shared" si="9"/>
        <v>-126078917</v>
      </c>
      <c r="F98" s="1081">
        <f t="shared" si="9"/>
        <v>-126979274</v>
      </c>
      <c r="G98" s="1081">
        <f t="shared" si="9"/>
        <v>-125362110</v>
      </c>
      <c r="H98" s="1081">
        <f t="shared" si="9"/>
        <v>0</v>
      </c>
      <c r="I98" s="1081">
        <f t="shared" si="9"/>
        <v>-1617164</v>
      </c>
      <c r="J98" s="1081">
        <f t="shared" si="9"/>
        <v>0</v>
      </c>
      <c r="K98" s="221"/>
    </row>
    <row r="99" spans="1:11" ht="15.75">
      <c r="B99" s="996"/>
      <c r="C99" s="444"/>
      <c r="D99" s="444"/>
      <c r="E99" s="444"/>
      <c r="F99" s="220"/>
      <c r="G99" s="220"/>
      <c r="H99" s="220"/>
      <c r="I99" s="225"/>
      <c r="J99" s="225"/>
      <c r="K99" s="221"/>
    </row>
    <row r="100" spans="1:11" ht="15">
      <c r="B100" s="996"/>
      <c r="C100" s="220"/>
      <c r="D100" s="220"/>
      <c r="E100" s="220"/>
      <c r="F100" s="220"/>
      <c r="G100" s="51">
        <v>1</v>
      </c>
      <c r="H100" s="51">
        <f>H86</f>
        <v>1</v>
      </c>
      <c r="I100" s="50"/>
      <c r="J100" s="50"/>
      <c r="K100" s="30"/>
    </row>
    <row r="101" spans="1:11" ht="15.75">
      <c r="B101" s="996"/>
      <c r="C101" s="445"/>
      <c r="D101" s="1731" t="s">
        <v>566</v>
      </c>
      <c r="E101" s="1732" t="s">
        <v>567</v>
      </c>
      <c r="F101" s="84" t="s">
        <v>1409</v>
      </c>
      <c r="G101" s="50" t="s">
        <v>736</v>
      </c>
      <c r="H101" s="518" t="str">
        <f>H87</f>
        <v>Trans.</v>
      </c>
      <c r="I101" s="50" t="str">
        <f>I21</f>
        <v xml:space="preserve">Plant </v>
      </c>
      <c r="J101" s="50" t="str">
        <f>J21</f>
        <v>Labor</v>
      </c>
      <c r="K101" s="30"/>
    </row>
    <row r="102" spans="1:11" ht="16.5" thickBot="1">
      <c r="B102" s="996"/>
      <c r="C102" s="1737" t="s">
        <v>1695</v>
      </c>
      <c r="D102" s="1734" t="s">
        <v>1410</v>
      </c>
      <c r="E102" s="1735" t="s">
        <v>1411</v>
      </c>
      <c r="F102" s="1030" t="s">
        <v>1534</v>
      </c>
      <c r="G102" s="1028" t="s">
        <v>824</v>
      </c>
      <c r="H102" s="1028" t="s">
        <v>824</v>
      </c>
      <c r="I102" s="1028" t="str">
        <f>I22</f>
        <v>Related</v>
      </c>
      <c r="J102" s="1028" t="str">
        <f>J22</f>
        <v>Related</v>
      </c>
      <c r="K102" s="1028" t="s">
        <v>121</v>
      </c>
    </row>
    <row r="103" spans="1:11" ht="15.75">
      <c r="B103" s="996"/>
      <c r="C103" s="997" t="s">
        <v>1792</v>
      </c>
      <c r="D103" s="2013"/>
      <c r="E103" s="2013"/>
      <c r="F103" s="1552"/>
      <c r="G103" s="2014"/>
      <c r="H103" s="2014"/>
      <c r="I103" s="2014"/>
      <c r="J103" s="2014"/>
      <c r="K103" s="2014"/>
    </row>
    <row r="104" spans="1:11" ht="15.75">
      <c r="A104" s="440" t="s">
        <v>1812</v>
      </c>
      <c r="B104" s="1561">
        <v>281000</v>
      </c>
      <c r="C104" s="666" t="s">
        <v>1597</v>
      </c>
      <c r="D104" s="2013">
        <v>-32565573</v>
      </c>
      <c r="E104" s="2064">
        <v>-35999569</v>
      </c>
      <c r="F104" s="1357">
        <f>ROUND((SUM(D104:E104)/2),0)</f>
        <v>-34282571</v>
      </c>
      <c r="G104" s="2014"/>
      <c r="H104" s="2014"/>
      <c r="I104" s="1357">
        <f>+F104</f>
        <v>-34282571</v>
      </c>
      <c r="J104" s="2014"/>
      <c r="K104" s="666" t="s">
        <v>1793</v>
      </c>
    </row>
    <row r="105" spans="1:11" ht="15">
      <c r="A105" s="440"/>
      <c r="B105" s="1348"/>
      <c r="C105" s="1353"/>
      <c r="D105" s="2016"/>
      <c r="E105" s="2016"/>
      <c r="F105" s="2016">
        <f>SUM(D105:E105)/2</f>
        <v>0</v>
      </c>
      <c r="G105" s="2017"/>
      <c r="H105" s="2017"/>
      <c r="I105" s="2017"/>
      <c r="J105" s="2017"/>
      <c r="K105" s="1350"/>
    </row>
    <row r="106" spans="1:11" ht="15">
      <c r="B106" s="1435"/>
      <c r="C106" s="997" t="s">
        <v>1707</v>
      </c>
      <c r="D106" s="997"/>
      <c r="E106" s="997"/>
      <c r="F106" s="666"/>
      <c r="G106" s="1443"/>
      <c r="H106" s="1443"/>
      <c r="I106" s="1444"/>
      <c r="J106" s="1444"/>
    </row>
    <row r="107" spans="1:11" s="441" customFormat="1" ht="15">
      <c r="A107" s="440">
        <f>A98+1</f>
        <v>10</v>
      </c>
      <c r="B107" s="1561">
        <v>282611</v>
      </c>
      <c r="C107" s="666" t="s">
        <v>1597</v>
      </c>
      <c r="D107" s="1357">
        <v>-837117990</v>
      </c>
      <c r="E107" s="2064">
        <v>-904619566</v>
      </c>
      <c r="F107" s="1357">
        <f>ROUND((SUM(D107:E107)/2),0)</f>
        <v>-870868778</v>
      </c>
      <c r="G107" s="1357"/>
      <c r="H107" s="1357"/>
      <c r="I107" s="1357">
        <f>+F107</f>
        <v>-870868778</v>
      </c>
      <c r="J107" s="1432"/>
      <c r="K107" s="666" t="s">
        <v>29</v>
      </c>
    </row>
    <row r="108" spans="1:11" s="441" customFormat="1" ht="15">
      <c r="A108" s="440">
        <f t="shared" ref="A108:A114" si="10">A107+1</f>
        <v>11</v>
      </c>
      <c r="B108" s="1561">
        <v>282611</v>
      </c>
      <c r="C108" s="666" t="s">
        <v>320</v>
      </c>
      <c r="D108" s="667">
        <v>-111999251</v>
      </c>
      <c r="E108" s="2065">
        <v>-127331561</v>
      </c>
      <c r="F108" s="668">
        <f t="shared" ref="F108:F109" si="11">ROUND((SUM(D108:E108)/2),0)</f>
        <v>-119665406</v>
      </c>
      <c r="G108" s="667"/>
      <c r="H108" s="667"/>
      <c r="I108" s="667">
        <f>+F108</f>
        <v>-119665406</v>
      </c>
      <c r="J108" s="1436"/>
      <c r="K108" s="666" t="s">
        <v>661</v>
      </c>
    </row>
    <row r="109" spans="1:11" s="441" customFormat="1" ht="15">
      <c r="A109" s="440">
        <f t="shared" si="10"/>
        <v>12</v>
      </c>
      <c r="B109" s="1558">
        <v>282601</v>
      </c>
      <c r="C109" s="666" t="s">
        <v>1615</v>
      </c>
      <c r="D109" s="667">
        <v>-123036016</v>
      </c>
      <c r="E109" s="2065">
        <v>-119243456</v>
      </c>
      <c r="F109" s="668">
        <f t="shared" si="11"/>
        <v>-121139736</v>
      </c>
      <c r="G109" s="667">
        <f>F109</f>
        <v>-121139736</v>
      </c>
      <c r="H109" s="667"/>
      <c r="I109" s="667"/>
      <c r="J109" s="667"/>
      <c r="K109" s="666" t="s">
        <v>312</v>
      </c>
    </row>
    <row r="110" spans="1:11" s="441" customFormat="1" ht="15">
      <c r="A110" s="438">
        <f t="shared" si="10"/>
        <v>13</v>
      </c>
      <c r="B110" s="1348"/>
      <c r="C110" s="1353"/>
      <c r="D110" s="1351"/>
      <c r="E110" s="1351"/>
      <c r="F110" s="1351">
        <f>SUM(D110:E110)/2</f>
        <v>0</v>
      </c>
      <c r="G110" s="1352"/>
      <c r="H110" s="1352"/>
      <c r="I110" s="1352"/>
      <c r="J110" s="1352"/>
      <c r="K110" s="1350"/>
    </row>
    <row r="111" spans="1:11" ht="15.75">
      <c r="A111" s="438">
        <f t="shared" si="10"/>
        <v>14</v>
      </c>
      <c r="B111" s="446" t="s">
        <v>1797</v>
      </c>
      <c r="C111" s="441"/>
      <c r="D111" s="513">
        <v>-1104718830</v>
      </c>
      <c r="E111" s="513">
        <f t="shared" ref="E111:J111" si="12">SUM(E104:E110)</f>
        <v>-1187194152</v>
      </c>
      <c r="F111" s="513">
        <f t="shared" si="12"/>
        <v>-1145956491</v>
      </c>
      <c r="G111" s="513">
        <f t="shared" si="12"/>
        <v>-121139736</v>
      </c>
      <c r="H111" s="513">
        <f t="shared" si="12"/>
        <v>0</v>
      </c>
      <c r="I111" s="513">
        <f t="shared" si="12"/>
        <v>-1024816755</v>
      </c>
      <c r="J111" s="513">
        <f t="shared" si="12"/>
        <v>0</v>
      </c>
      <c r="K111" s="221"/>
    </row>
    <row r="112" spans="1:11" ht="15.75">
      <c r="A112" s="438">
        <f t="shared" si="10"/>
        <v>15</v>
      </c>
      <c r="B112" s="447" t="s">
        <v>1705</v>
      </c>
      <c r="D112" s="223">
        <f>D109</f>
        <v>-123036016</v>
      </c>
      <c r="E112" s="223">
        <f>E109</f>
        <v>-119243456</v>
      </c>
      <c r="F112" s="668">
        <f>ROUND((SUM(D112:E112)/2),0)</f>
        <v>-121139736</v>
      </c>
      <c r="G112" s="223">
        <f>F112</f>
        <v>-121139736</v>
      </c>
      <c r="H112" s="223"/>
      <c r="I112" s="222"/>
      <c r="J112" s="222"/>
      <c r="K112" s="221"/>
    </row>
    <row r="113" spans="1:11" ht="15.75">
      <c r="A113" s="438">
        <f t="shared" si="10"/>
        <v>16</v>
      </c>
      <c r="B113" s="443" t="s">
        <v>1706</v>
      </c>
      <c r="D113" s="517">
        <v>0</v>
      </c>
      <c r="E113" s="517">
        <v>0</v>
      </c>
      <c r="F113" s="517">
        <v>0</v>
      </c>
      <c r="G113" s="517">
        <v>0</v>
      </c>
      <c r="H113" s="517">
        <v>0</v>
      </c>
      <c r="I113" s="672">
        <v>0</v>
      </c>
      <c r="J113" s="672"/>
      <c r="K113" s="221"/>
    </row>
    <row r="114" spans="1:11" ht="15.75">
      <c r="A114" s="438">
        <f t="shared" si="10"/>
        <v>17</v>
      </c>
      <c r="B114" s="447" t="s">
        <v>54</v>
      </c>
      <c r="D114" s="1080">
        <f t="shared" ref="D114:J114" si="13">D111-D112-D113</f>
        <v>-981682814</v>
      </c>
      <c r="E114" s="1080">
        <f t="shared" si="13"/>
        <v>-1067950696</v>
      </c>
      <c r="F114" s="1080">
        <f t="shared" si="13"/>
        <v>-1024816755</v>
      </c>
      <c r="G114" s="1080">
        <f t="shared" si="13"/>
        <v>0</v>
      </c>
      <c r="H114" s="1080">
        <f t="shared" si="13"/>
        <v>0</v>
      </c>
      <c r="I114" s="1080">
        <f t="shared" si="13"/>
        <v>-1024816755</v>
      </c>
      <c r="J114" s="1080">
        <f t="shared" si="13"/>
        <v>0</v>
      </c>
      <c r="K114" s="221"/>
    </row>
    <row r="115" spans="1:11" ht="15.75">
      <c r="B115" s="447"/>
      <c r="F115" s="223"/>
      <c r="G115" s="222"/>
      <c r="H115" s="222"/>
      <c r="I115" s="222"/>
      <c r="J115" s="222"/>
      <c r="K115" s="221"/>
    </row>
    <row r="116" spans="1:11" ht="15">
      <c r="B116" s="224"/>
      <c r="C116" s="221"/>
      <c r="D116" s="221"/>
      <c r="E116" s="221"/>
      <c r="F116" s="221"/>
      <c r="G116" s="51">
        <v>1</v>
      </c>
      <c r="H116" s="51">
        <f>H100</f>
        <v>1</v>
      </c>
      <c r="I116" s="50"/>
      <c r="J116" s="50"/>
      <c r="K116" s="30"/>
    </row>
    <row r="117" spans="1:11" ht="15.75">
      <c r="B117" s="224"/>
      <c r="C117" s="220"/>
      <c r="D117" s="1731" t="s">
        <v>566</v>
      </c>
      <c r="E117" s="1732" t="s">
        <v>567</v>
      </c>
      <c r="F117" s="84" t="s">
        <v>1409</v>
      </c>
      <c r="G117" s="50" t="s">
        <v>736</v>
      </c>
      <c r="H117" s="518" t="str">
        <f>H101</f>
        <v>Trans.</v>
      </c>
      <c r="I117" s="50" t="str">
        <f>I101</f>
        <v xml:space="preserve">Plant </v>
      </c>
      <c r="J117" s="50" t="str">
        <f>J101</f>
        <v>Labor</v>
      </c>
      <c r="K117" s="30"/>
    </row>
    <row r="118" spans="1:11" ht="16.5" thickBot="1">
      <c r="B118" s="224"/>
      <c r="C118" s="1028" t="s">
        <v>1696</v>
      </c>
      <c r="D118" s="1734" t="s">
        <v>1410</v>
      </c>
      <c r="E118" s="1735" t="s">
        <v>1411</v>
      </c>
      <c r="F118" s="1030" t="s">
        <v>1534</v>
      </c>
      <c r="G118" s="1028" t="s">
        <v>824</v>
      </c>
      <c r="H118" s="1028" t="s">
        <v>824</v>
      </c>
      <c r="I118" s="1028" t="str">
        <f>I102</f>
        <v>Related</v>
      </c>
      <c r="J118" s="1028" t="str">
        <f>J102</f>
        <v>Related</v>
      </c>
      <c r="K118" s="1028" t="s">
        <v>121</v>
      </c>
    </row>
    <row r="119" spans="1:11" ht="15">
      <c r="B119" s="1435"/>
      <c r="C119" s="52" t="s">
        <v>1384</v>
      </c>
      <c r="D119" s="52"/>
      <c r="E119" s="52"/>
      <c r="F119" s="1443"/>
      <c r="G119" s="1443"/>
      <c r="H119" s="1443"/>
      <c r="I119" s="666"/>
      <c r="J119" s="666"/>
    </row>
    <row r="120" spans="1:11" ht="15">
      <c r="B120" s="1562" t="s">
        <v>131</v>
      </c>
      <c r="C120" s="997" t="s">
        <v>132</v>
      </c>
      <c r="D120" s="997"/>
      <c r="E120" s="997"/>
      <c r="F120" s="666"/>
      <c r="G120" s="666"/>
      <c r="H120" s="666"/>
      <c r="I120" s="666"/>
      <c r="J120" s="666"/>
    </row>
    <row r="121" spans="1:11" s="441" customFormat="1" ht="15">
      <c r="A121" s="440">
        <f>A114+1</f>
        <v>18</v>
      </c>
      <c r="B121" s="1561"/>
      <c r="C121" s="511" t="s">
        <v>30</v>
      </c>
      <c r="D121" s="1357">
        <v>-351085</v>
      </c>
      <c r="E121" s="2064">
        <v>0</v>
      </c>
      <c r="F121" s="1357">
        <f>ROUND((SUM(D121:E121)/2),0)</f>
        <v>-175543</v>
      </c>
      <c r="G121" s="1357"/>
      <c r="H121" s="1357"/>
      <c r="I121" s="1357"/>
      <c r="J121" s="1357">
        <f>+F121</f>
        <v>-175543</v>
      </c>
      <c r="K121" s="666" t="s">
        <v>31</v>
      </c>
    </row>
    <row r="122" spans="1:11" ht="15">
      <c r="A122" s="440">
        <f t="shared" ref="A122:A145" si="14">A121+1</f>
        <v>19</v>
      </c>
      <c r="B122" s="1561"/>
      <c r="C122" s="511" t="s">
        <v>1780</v>
      </c>
      <c r="D122" s="668">
        <v>-3551411</v>
      </c>
      <c r="E122" s="2062">
        <v>-3140111</v>
      </c>
      <c r="F122" s="668">
        <f>ROUND((SUM(D122:E122)/2),0)</f>
        <v>-3345761</v>
      </c>
      <c r="G122" s="667"/>
      <c r="H122" s="441"/>
      <c r="I122" s="667">
        <f>+F122</f>
        <v>-3345761</v>
      </c>
      <c r="J122" s="667"/>
      <c r="K122" s="666" t="s">
        <v>1781</v>
      </c>
    </row>
    <row r="123" spans="1:11" ht="15">
      <c r="A123" s="440">
        <f t="shared" si="14"/>
        <v>20</v>
      </c>
      <c r="B123" s="1561"/>
      <c r="C123" s="511" t="s">
        <v>1782</v>
      </c>
      <c r="D123" s="668">
        <v>-4936208</v>
      </c>
      <c r="E123" s="2062">
        <v>-7005528</v>
      </c>
      <c r="F123" s="668">
        <f t="shared" ref="F123:F141" si="15">ROUND((SUM(D123:E123)/2),0)</f>
        <v>-5970868</v>
      </c>
      <c r="G123" s="667"/>
      <c r="H123" s="667"/>
      <c r="I123" s="667"/>
      <c r="J123" s="667">
        <f>F123</f>
        <v>-5970868</v>
      </c>
      <c r="K123" s="666" t="s">
        <v>1783</v>
      </c>
    </row>
    <row r="124" spans="1:11" ht="15">
      <c r="A124" s="440">
        <f t="shared" si="14"/>
        <v>21</v>
      </c>
      <c r="B124" s="1561"/>
      <c r="C124" s="511" t="s">
        <v>1616</v>
      </c>
      <c r="D124" s="668">
        <v>-51706081</v>
      </c>
      <c r="E124" s="2062">
        <v>-52301557</v>
      </c>
      <c r="F124" s="668">
        <f t="shared" si="15"/>
        <v>-52003819</v>
      </c>
      <c r="G124" s="667">
        <f>F124</f>
        <v>-52003819</v>
      </c>
      <c r="H124" s="667"/>
      <c r="I124" s="667"/>
      <c r="J124" s="667"/>
      <c r="K124" s="666" t="s">
        <v>522</v>
      </c>
    </row>
    <row r="125" spans="1:11" ht="15">
      <c r="A125" s="440">
        <f t="shared" si="14"/>
        <v>22</v>
      </c>
      <c r="B125" s="1561"/>
      <c r="C125" s="511" t="s">
        <v>1784</v>
      </c>
      <c r="D125" s="668">
        <v>-23848461</v>
      </c>
      <c r="E125" s="2062">
        <v>-15224255</v>
      </c>
      <c r="F125" s="668">
        <f t="shared" si="15"/>
        <v>-19536358</v>
      </c>
      <c r="G125" s="667"/>
      <c r="H125" s="667"/>
      <c r="I125" s="667"/>
      <c r="J125" s="667">
        <f>F125</f>
        <v>-19536358</v>
      </c>
      <c r="K125" s="666" t="s">
        <v>384</v>
      </c>
    </row>
    <row r="126" spans="1:11" ht="15" customHeight="1">
      <c r="A126" s="440">
        <f t="shared" si="14"/>
        <v>23</v>
      </c>
      <c r="B126" s="1561"/>
      <c r="C126" s="511" t="s">
        <v>1785</v>
      </c>
      <c r="D126" s="668">
        <v>-289766</v>
      </c>
      <c r="E126" s="2062">
        <v>-261541</v>
      </c>
      <c r="F126" s="668">
        <f t="shared" si="15"/>
        <v>-275654</v>
      </c>
      <c r="G126" s="667">
        <f>F126</f>
        <v>-275654</v>
      </c>
      <c r="H126" s="668"/>
      <c r="I126" s="668"/>
      <c r="J126" s="668"/>
      <c r="K126" s="666" t="s">
        <v>1786</v>
      </c>
    </row>
    <row r="127" spans="1:11" ht="15">
      <c r="A127" s="440">
        <f t="shared" si="14"/>
        <v>24</v>
      </c>
      <c r="B127" s="1561"/>
      <c r="C127" s="511" t="s">
        <v>846</v>
      </c>
      <c r="D127" s="668">
        <v>0</v>
      </c>
      <c r="E127" s="2062">
        <v>0</v>
      </c>
      <c r="F127" s="668">
        <f t="shared" si="15"/>
        <v>0</v>
      </c>
      <c r="G127" s="667">
        <f>F127</f>
        <v>0</v>
      </c>
      <c r="H127" s="668"/>
      <c r="I127" s="668"/>
      <c r="J127" s="668"/>
      <c r="K127" s="666" t="s">
        <v>32</v>
      </c>
    </row>
    <row r="128" spans="1:11" ht="15">
      <c r="A128" s="440">
        <f t="shared" si="14"/>
        <v>25</v>
      </c>
      <c r="B128" s="1561"/>
      <c r="C128" s="511" t="s">
        <v>847</v>
      </c>
      <c r="D128" s="668">
        <v>-249856</v>
      </c>
      <c r="E128" s="2062">
        <v>-249856</v>
      </c>
      <c r="F128" s="668">
        <f t="shared" si="15"/>
        <v>-249856</v>
      </c>
      <c r="G128" s="667">
        <f>F128</f>
        <v>-249856</v>
      </c>
      <c r="H128" s="668"/>
      <c r="I128" s="668"/>
      <c r="J128" s="668"/>
      <c r="K128" s="666" t="s">
        <v>385</v>
      </c>
    </row>
    <row r="129" spans="1:11" ht="15">
      <c r="A129" s="440">
        <f t="shared" si="14"/>
        <v>26</v>
      </c>
      <c r="B129" s="1561"/>
      <c r="C129" s="511" t="s">
        <v>708</v>
      </c>
      <c r="D129" s="668">
        <v>0</v>
      </c>
      <c r="E129" s="2062">
        <v>0</v>
      </c>
      <c r="F129" s="668">
        <f t="shared" si="15"/>
        <v>0</v>
      </c>
      <c r="G129" s="667">
        <f>F129</f>
        <v>0</v>
      </c>
      <c r="H129" s="668"/>
      <c r="I129" s="668"/>
      <c r="J129" s="668"/>
      <c r="K129" s="666" t="s">
        <v>1202</v>
      </c>
    </row>
    <row r="130" spans="1:11" ht="15">
      <c r="A130" s="440">
        <f t="shared" si="14"/>
        <v>27</v>
      </c>
      <c r="B130" s="1561"/>
      <c r="C130" s="511" t="s">
        <v>1203</v>
      </c>
      <c r="D130" s="668">
        <v>-690913</v>
      </c>
      <c r="E130" s="2062">
        <v>0</v>
      </c>
      <c r="F130" s="668">
        <f t="shared" si="15"/>
        <v>-345457</v>
      </c>
      <c r="G130" s="667"/>
      <c r="H130" s="667"/>
      <c r="I130" s="667">
        <f>+F130</f>
        <v>-345457</v>
      </c>
      <c r="J130" s="668"/>
      <c r="K130" s="666" t="s">
        <v>237</v>
      </c>
    </row>
    <row r="131" spans="1:11" ht="15">
      <c r="A131" s="440">
        <f t="shared" si="14"/>
        <v>28</v>
      </c>
      <c r="B131" s="1563"/>
      <c r="C131" s="511" t="s">
        <v>33</v>
      </c>
      <c r="D131" s="667">
        <v>-559</v>
      </c>
      <c r="E131" s="2065">
        <v>-73</v>
      </c>
      <c r="F131" s="668">
        <f t="shared" si="15"/>
        <v>-316</v>
      </c>
      <c r="G131" s="667"/>
      <c r="H131" s="667"/>
      <c r="I131" s="667">
        <f>+F131</f>
        <v>-316</v>
      </c>
      <c r="J131" s="667"/>
      <c r="K131" s="666" t="s">
        <v>34</v>
      </c>
    </row>
    <row r="132" spans="1:11" ht="15">
      <c r="A132" s="440">
        <f t="shared" si="14"/>
        <v>29</v>
      </c>
      <c r="B132" s="1561"/>
      <c r="C132" s="511" t="s">
        <v>238</v>
      </c>
      <c r="D132" s="668">
        <v>-3580650</v>
      </c>
      <c r="E132" s="2062">
        <v>-5465930</v>
      </c>
      <c r="F132" s="668">
        <f t="shared" si="15"/>
        <v>-4523290</v>
      </c>
      <c r="G132" s="667"/>
      <c r="H132" s="667"/>
      <c r="I132" s="667">
        <f>+F132</f>
        <v>-4523290</v>
      </c>
      <c r="J132" s="667"/>
      <c r="K132" s="666" t="s">
        <v>239</v>
      </c>
    </row>
    <row r="133" spans="1:11" ht="15">
      <c r="A133" s="440">
        <f t="shared" si="14"/>
        <v>30</v>
      </c>
      <c r="B133" s="1561"/>
      <c r="C133" s="512" t="s">
        <v>240</v>
      </c>
      <c r="D133" s="668">
        <v>0</v>
      </c>
      <c r="E133" s="2062">
        <v>0</v>
      </c>
      <c r="F133" s="668">
        <f t="shared" si="15"/>
        <v>0</v>
      </c>
      <c r="G133" s="667">
        <f>+F133</f>
        <v>0</v>
      </c>
      <c r="H133" s="667"/>
      <c r="I133" s="667"/>
      <c r="K133" s="666" t="s">
        <v>35</v>
      </c>
    </row>
    <row r="134" spans="1:11" ht="15">
      <c r="A134" s="440">
        <f t="shared" si="14"/>
        <v>31</v>
      </c>
      <c r="B134" s="1561"/>
      <c r="C134" s="512" t="s">
        <v>241</v>
      </c>
      <c r="D134" s="668">
        <v>0</v>
      </c>
      <c r="E134" s="2062">
        <v>0</v>
      </c>
      <c r="F134" s="668">
        <f t="shared" si="15"/>
        <v>0</v>
      </c>
      <c r="G134" s="667">
        <f>+F134</f>
        <v>0</v>
      </c>
      <c r="H134" s="667"/>
      <c r="I134" s="667"/>
      <c r="K134" s="666" t="s">
        <v>36</v>
      </c>
    </row>
    <row r="135" spans="1:11" ht="15">
      <c r="A135" s="440">
        <f t="shared" si="14"/>
        <v>32</v>
      </c>
      <c r="B135" s="1561"/>
      <c r="C135" s="512" t="s">
        <v>242</v>
      </c>
      <c r="D135" s="668">
        <v>0</v>
      </c>
      <c r="E135" s="2062">
        <v>0</v>
      </c>
      <c r="F135" s="668">
        <f t="shared" si="15"/>
        <v>0</v>
      </c>
      <c r="G135" s="667">
        <f>+F135</f>
        <v>0</v>
      </c>
      <c r="H135" s="667"/>
      <c r="I135" s="667"/>
      <c r="K135" s="666" t="s">
        <v>37</v>
      </c>
    </row>
    <row r="136" spans="1:11" ht="15">
      <c r="A136" s="440" t="s">
        <v>865</v>
      </c>
      <c r="B136" s="1561"/>
      <c r="C136" s="512" t="s">
        <v>1184</v>
      </c>
      <c r="D136" s="668">
        <v>-6384962</v>
      </c>
      <c r="E136" s="2062">
        <v>-6188625</v>
      </c>
      <c r="F136" s="668">
        <f t="shared" si="15"/>
        <v>-6286794</v>
      </c>
      <c r="G136" s="667">
        <f>F136</f>
        <v>-6286794</v>
      </c>
      <c r="H136" s="667"/>
      <c r="I136" s="667"/>
      <c r="K136" s="666" t="s">
        <v>1185</v>
      </c>
    </row>
    <row r="137" spans="1:11" ht="15">
      <c r="A137" s="440" t="s">
        <v>866</v>
      </c>
      <c r="B137" s="1561"/>
      <c r="C137" s="512" t="s">
        <v>274</v>
      </c>
      <c r="D137" s="668">
        <v>0</v>
      </c>
      <c r="E137" s="2062">
        <v>0</v>
      </c>
      <c r="F137" s="668">
        <f t="shared" si="15"/>
        <v>0</v>
      </c>
      <c r="G137" s="667"/>
      <c r="H137" s="667"/>
      <c r="I137" s="667"/>
      <c r="J137" s="667">
        <f>+F137</f>
        <v>0</v>
      </c>
      <c r="K137" s="666" t="s">
        <v>1186</v>
      </c>
    </row>
    <row r="138" spans="1:11" ht="15">
      <c r="A138" s="440" t="s">
        <v>321</v>
      </c>
      <c r="B138" s="1561"/>
      <c r="C138" s="512" t="s">
        <v>322</v>
      </c>
      <c r="D138" s="668">
        <v>-61814</v>
      </c>
      <c r="E138" s="2062">
        <v>-277135</v>
      </c>
      <c r="F138" s="668">
        <f t="shared" si="15"/>
        <v>-169475</v>
      </c>
      <c r="G138" s="667">
        <f>F138</f>
        <v>-169475</v>
      </c>
      <c r="H138" s="667"/>
      <c r="I138" s="667"/>
      <c r="J138" s="667"/>
      <c r="K138" s="666" t="s">
        <v>222</v>
      </c>
    </row>
    <row r="139" spans="1:11" ht="15">
      <c r="A139" s="440" t="s">
        <v>1794</v>
      </c>
      <c r="B139" s="1561"/>
      <c r="C139" s="512" t="s">
        <v>1791</v>
      </c>
      <c r="D139" s="668">
        <v>-489605</v>
      </c>
      <c r="E139" s="2062">
        <v>-3082448</v>
      </c>
      <c r="F139" s="668">
        <f t="shared" si="15"/>
        <v>-1786027</v>
      </c>
      <c r="G139" s="667"/>
      <c r="H139" s="667"/>
      <c r="I139" s="667"/>
      <c r="J139" s="667">
        <f>F139</f>
        <v>-1786027</v>
      </c>
      <c r="K139" s="666" t="s">
        <v>1796</v>
      </c>
    </row>
    <row r="140" spans="1:11" ht="15">
      <c r="A140" s="440" t="s">
        <v>1842</v>
      </c>
      <c r="B140" s="1561"/>
      <c r="C140" s="512" t="s">
        <v>1843</v>
      </c>
      <c r="D140" s="668"/>
      <c r="E140" s="2062">
        <v>-2271869</v>
      </c>
      <c r="F140" s="668">
        <f t="shared" si="15"/>
        <v>-1135935</v>
      </c>
      <c r="G140" s="667">
        <f>F140</f>
        <v>-1135935</v>
      </c>
      <c r="H140" s="667"/>
      <c r="I140" s="667"/>
      <c r="J140" s="667"/>
      <c r="K140" s="666" t="s">
        <v>1202</v>
      </c>
    </row>
    <row r="141" spans="1:11" ht="15">
      <c r="A141" s="440" t="s">
        <v>1844</v>
      </c>
      <c r="B141" s="1561"/>
      <c r="C141" s="512" t="s">
        <v>1845</v>
      </c>
      <c r="D141" s="668"/>
      <c r="E141" s="2062">
        <v>-12702</v>
      </c>
      <c r="F141" s="668">
        <f t="shared" si="15"/>
        <v>-6351</v>
      </c>
      <c r="G141" s="667">
        <f>F141</f>
        <v>-6351</v>
      </c>
      <c r="H141" s="667"/>
      <c r="I141" s="667"/>
      <c r="J141" s="667"/>
      <c r="K141" s="666" t="s">
        <v>1848</v>
      </c>
    </row>
    <row r="142" spans="1:11" ht="15">
      <c r="A142" s="440"/>
      <c r="B142" s="1564"/>
      <c r="C142" s="1354"/>
      <c r="D142" s="1351"/>
      <c r="E142" s="1351"/>
      <c r="F142" s="1351">
        <f>SUM(D142:E142)/2</f>
        <v>0</v>
      </c>
      <c r="G142" s="1352"/>
      <c r="H142" s="1352"/>
      <c r="I142" s="1352"/>
      <c r="J142" s="1352"/>
      <c r="K142" s="1350"/>
    </row>
    <row r="143" spans="1:11" ht="15">
      <c r="A143" s="440">
        <f>A135+1</f>
        <v>33</v>
      </c>
      <c r="B143" s="1561">
        <v>283100</v>
      </c>
      <c r="C143" s="512" t="s">
        <v>243</v>
      </c>
      <c r="D143" s="668">
        <v>-11018640</v>
      </c>
      <c r="E143" s="2062">
        <v>-6387058</v>
      </c>
      <c r="F143" s="668">
        <f t="shared" ref="F143:F145" si="16">ROUND((SUM(D143:E143)/2),0)</f>
        <v>-8702849</v>
      </c>
      <c r="G143" s="667">
        <f>F143</f>
        <v>-8702849</v>
      </c>
      <c r="H143" s="667"/>
      <c r="I143" s="667"/>
      <c r="J143" s="667"/>
      <c r="K143" s="666" t="s">
        <v>1187</v>
      </c>
    </row>
    <row r="144" spans="1:11" ht="15">
      <c r="A144" s="440">
        <f t="shared" si="14"/>
        <v>34</v>
      </c>
      <c r="B144" s="1561">
        <v>283601</v>
      </c>
      <c r="C144" s="512" t="s">
        <v>311</v>
      </c>
      <c r="D144" s="668">
        <v>-86546326</v>
      </c>
      <c r="E144" s="2062">
        <v>-83659269</v>
      </c>
      <c r="F144" s="668">
        <f t="shared" si="16"/>
        <v>-85102798</v>
      </c>
      <c r="G144" s="667">
        <f>F144</f>
        <v>-85102798</v>
      </c>
      <c r="H144" s="667"/>
      <c r="I144" s="667"/>
      <c r="J144" s="667"/>
      <c r="K144" s="666" t="s">
        <v>312</v>
      </c>
    </row>
    <row r="145" spans="1:11" ht="15">
      <c r="A145" s="440">
        <f t="shared" si="14"/>
        <v>35</v>
      </c>
      <c r="B145" s="1561" t="s">
        <v>912</v>
      </c>
      <c r="C145" s="512" t="s">
        <v>913</v>
      </c>
      <c r="D145" s="668">
        <v>-442636</v>
      </c>
      <c r="E145" s="2062">
        <v>-541109</v>
      </c>
      <c r="F145" s="668">
        <f t="shared" si="16"/>
        <v>-491873</v>
      </c>
      <c r="G145" s="667"/>
      <c r="H145" s="667"/>
      <c r="I145" s="667">
        <f>F145</f>
        <v>-491873</v>
      </c>
      <c r="J145" s="667"/>
      <c r="K145" s="665" t="s">
        <v>1188</v>
      </c>
    </row>
    <row r="146" spans="1:11" ht="15">
      <c r="A146" s="440">
        <v>35</v>
      </c>
      <c r="B146" s="1561">
        <v>283400</v>
      </c>
      <c r="C146" s="512" t="s">
        <v>309</v>
      </c>
      <c r="D146" s="668">
        <v>0</v>
      </c>
      <c r="E146" s="2062">
        <v>0</v>
      </c>
      <c r="F146" s="668">
        <f t="shared" ref="F146" si="17">SUM(D146:E146)/2</f>
        <v>0</v>
      </c>
      <c r="G146" s="667">
        <f>+F146</f>
        <v>0</v>
      </c>
      <c r="H146" s="667"/>
      <c r="I146" s="667"/>
      <c r="J146" s="667"/>
      <c r="K146" s="665" t="s">
        <v>310</v>
      </c>
    </row>
    <row r="147" spans="1:11" ht="15">
      <c r="A147" s="440" t="s">
        <v>867</v>
      </c>
      <c r="B147" s="1564"/>
      <c r="C147" s="1354"/>
      <c r="D147" s="1351"/>
      <c r="E147" s="1351"/>
      <c r="F147" s="1351">
        <f>SUM(D147:E147)/2</f>
        <v>0</v>
      </c>
      <c r="G147" s="1352"/>
      <c r="H147" s="1352"/>
      <c r="I147" s="1352"/>
      <c r="J147" s="1352"/>
      <c r="K147" s="1350"/>
    </row>
    <row r="148" spans="1:11" ht="15.75">
      <c r="A148" s="440">
        <v>36</v>
      </c>
      <c r="B148" s="448" t="s">
        <v>1493</v>
      </c>
      <c r="C148" s="441"/>
      <c r="D148" s="993">
        <f t="shared" ref="D148:J148" si="18">SUM(D121:D146)</f>
        <v>-194148973</v>
      </c>
      <c r="E148" s="993">
        <f t="shared" si="18"/>
        <v>-186069066</v>
      </c>
      <c r="F148" s="993">
        <f t="shared" si="18"/>
        <v>-190109024</v>
      </c>
      <c r="G148" s="993">
        <f t="shared" si="18"/>
        <v>-153933531</v>
      </c>
      <c r="H148" s="993">
        <f t="shared" si="18"/>
        <v>0</v>
      </c>
      <c r="I148" s="993">
        <f t="shared" si="18"/>
        <v>-8706697</v>
      </c>
      <c r="J148" s="993">
        <f t="shared" si="18"/>
        <v>-27468796</v>
      </c>
      <c r="K148" s="215"/>
    </row>
    <row r="149" spans="1:11" ht="15.75">
      <c r="A149" s="1738">
        <f>A148+1</f>
        <v>37</v>
      </c>
      <c r="B149" s="448" t="s">
        <v>1705</v>
      </c>
      <c r="D149" s="226">
        <f>D144</f>
        <v>-86546326</v>
      </c>
      <c r="E149" s="226">
        <f>E144</f>
        <v>-83659269</v>
      </c>
      <c r="F149" s="226">
        <f>F144</f>
        <v>-85102798</v>
      </c>
      <c r="G149" s="226">
        <f>G144</f>
        <v>-85102798</v>
      </c>
      <c r="H149" s="226"/>
      <c r="I149" s="227"/>
      <c r="J149" s="227"/>
      <c r="K149" s="215"/>
    </row>
    <row r="150" spans="1:11" ht="15.75">
      <c r="A150" s="1738">
        <f>A149+1</f>
        <v>38</v>
      </c>
      <c r="B150" s="443" t="s">
        <v>1706</v>
      </c>
      <c r="D150" s="517"/>
      <c r="E150" s="517"/>
      <c r="F150" s="517"/>
      <c r="G150" s="517">
        <v>0</v>
      </c>
      <c r="H150" s="517">
        <v>0</v>
      </c>
      <c r="I150" s="672">
        <v>0</v>
      </c>
      <c r="J150" s="672"/>
      <c r="K150" s="221"/>
    </row>
    <row r="151" spans="1:11" ht="15.75">
      <c r="A151" s="1738">
        <f>A150+1</f>
        <v>39</v>
      </c>
      <c r="B151" s="448" t="s">
        <v>54</v>
      </c>
      <c r="D151" s="1358">
        <f t="shared" ref="D151:J151" si="19">D148-D149-D150</f>
        <v>-107602647</v>
      </c>
      <c r="E151" s="1358">
        <f t="shared" si="19"/>
        <v>-102409797</v>
      </c>
      <c r="F151" s="1358">
        <f t="shared" si="19"/>
        <v>-105006226</v>
      </c>
      <c r="G151" s="1358">
        <f t="shared" si="19"/>
        <v>-68830733</v>
      </c>
      <c r="H151" s="1358">
        <f t="shared" si="19"/>
        <v>0</v>
      </c>
      <c r="I151" s="1358">
        <f t="shared" si="19"/>
        <v>-8706697</v>
      </c>
      <c r="J151" s="1358">
        <f t="shared" si="19"/>
        <v>-27468796</v>
      </c>
      <c r="K151" s="215"/>
    </row>
    <row r="152" spans="1:11">
      <c r="C152" s="449"/>
      <c r="D152" s="449"/>
      <c r="E152" s="449"/>
      <c r="F152" s="441"/>
      <c r="G152" s="441"/>
      <c r="H152" s="441"/>
      <c r="I152" s="450"/>
      <c r="J152" s="450"/>
    </row>
    <row r="153" spans="1:11">
      <c r="B153" s="1739" t="s">
        <v>1539</v>
      </c>
      <c r="C153" s="449"/>
      <c r="D153" s="449"/>
      <c r="E153" s="449"/>
      <c r="F153" s="441"/>
      <c r="G153" s="1740"/>
      <c r="H153" s="441"/>
      <c r="I153" s="438"/>
      <c r="J153" s="438"/>
      <c r="K153" s="441"/>
    </row>
    <row r="154" spans="1:11" ht="29.25" customHeight="1">
      <c r="B154" s="1920">
        <v>1</v>
      </c>
      <c r="C154" s="2184" t="s">
        <v>971</v>
      </c>
      <c r="D154" s="2184"/>
      <c r="E154" s="2184"/>
      <c r="F154" s="2185"/>
      <c r="G154" s="2185"/>
      <c r="H154" s="2185"/>
      <c r="I154" s="2185"/>
      <c r="J154" s="2185"/>
      <c r="K154" s="2185"/>
    </row>
    <row r="155" spans="1:11" ht="49.5" customHeight="1">
      <c r="B155" s="1920">
        <v>2</v>
      </c>
      <c r="C155" s="2182" t="s">
        <v>1491</v>
      </c>
      <c r="D155" s="2183"/>
      <c r="E155" s="2183"/>
      <c r="F155" s="2183"/>
      <c r="G155" s="2183"/>
      <c r="H155" s="2183"/>
      <c r="I155" s="2183"/>
      <c r="J155" s="2183"/>
      <c r="K155" s="2183"/>
    </row>
    <row r="156" spans="1:11">
      <c r="C156" s="451"/>
      <c r="D156" s="451"/>
      <c r="E156" s="451"/>
    </row>
    <row r="157" spans="1:11">
      <c r="C157" s="2179"/>
      <c r="D157" s="2179"/>
      <c r="E157" s="2179"/>
      <c r="F157" s="2180"/>
      <c r="G157" s="2180"/>
      <c r="H157" s="2180"/>
      <c r="I157" s="2180"/>
      <c r="J157" s="2180"/>
    </row>
    <row r="158" spans="1:11">
      <c r="C158" s="2180"/>
      <c r="D158" s="2180"/>
      <c r="E158" s="2180"/>
      <c r="F158" s="2180"/>
      <c r="G158" s="2180"/>
      <c r="H158" s="2180"/>
      <c r="I158" s="2180"/>
      <c r="J158" s="2180"/>
    </row>
    <row r="159" spans="1:11">
      <c r="C159" s="451"/>
      <c r="D159" s="451"/>
      <c r="E159" s="451"/>
    </row>
  </sheetData>
  <customSheetViews>
    <customSheetView guid="{FAA8FFD9-C96B-4A1B-8B9E-B863FD90DDBA}" scale="75" showRuler="0">
      <selection activeCell="I60" sqref="I60:I61"/>
      <rowBreaks count="1" manualBreakCount="1">
        <brk id="58" max="8" man="1"/>
      </rowBreaks>
      <pageMargins left="0.38" right="0.3" top="0.75" bottom="0" header="0.5" footer="0.24"/>
      <printOptions gridLines="1"/>
      <pageSetup scale="43" fitToHeight="5" orientation="landscape" r:id="rId1"/>
      <headerFooter alignWithMargins="0">
        <oddFooter>&amp;R&amp;"Arial MT,Bold"&amp;14A-3&amp;"Arial MT,Regular"&amp;12
&amp;10ADIT</oddFooter>
      </headerFooter>
    </customSheetView>
  </customSheetViews>
  <mergeCells count="9">
    <mergeCell ref="C157:J158"/>
    <mergeCell ref="B84:J84"/>
    <mergeCell ref="C155:K155"/>
    <mergeCell ref="C154:K154"/>
    <mergeCell ref="B2:J2"/>
    <mergeCell ref="B4:J4"/>
    <mergeCell ref="B3:J3"/>
    <mergeCell ref="B83:J83"/>
    <mergeCell ref="B82:J82"/>
  </mergeCells>
  <phoneticPr fontId="10" type="noConversion"/>
  <printOptions horizontalCentered="1" gridLines="1"/>
  <pageMargins left="0.5" right="0.5" top="0.25" bottom="0.5" header="0" footer="0"/>
  <pageSetup scale="45" fitToWidth="2" fitToHeight="2" orientation="landscape" r:id="rId2"/>
  <headerFooter alignWithMargins="0">
    <oddFooter>&amp;R&amp;"Arial MT,Bold"&amp;14A-3&amp;"Arial MT,Regular"&amp;12
&amp;10ADIT</oddFooter>
  </headerFooter>
  <rowBreaks count="1" manualBreakCount="1">
    <brk id="8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40</vt:i4>
      </vt:variant>
    </vt:vector>
  </HeadingPairs>
  <TitlesOfParts>
    <vt:vector size="68" baseType="lpstr">
      <vt:lpstr>Table of Contents</vt:lpstr>
      <vt:lpstr>Notes to Development</vt:lpstr>
      <vt:lpstr>Summary</vt:lpstr>
      <vt:lpstr>Actual Net Rev Req</vt:lpstr>
      <vt:lpstr>Actual Gross Rev Req</vt:lpstr>
      <vt:lpstr>Actual Sch 1 Rev Req</vt:lpstr>
      <vt:lpstr>A-1 (Act. Rev Credit) </vt:lpstr>
      <vt:lpstr>A-2 (Act. Divisor) </vt:lpstr>
      <vt:lpstr>A-3 ( Act. ADIT)</vt:lpstr>
      <vt:lpstr>A-4 (Act. Excluded Assets) </vt:lpstr>
      <vt:lpstr>A-5 (Act Depreciation Rate)</vt:lpstr>
      <vt:lpstr>A-6 (Act Taxes Other)</vt:lpstr>
      <vt:lpstr>A-7 (Act. RTO Directed Proj)</vt:lpstr>
      <vt:lpstr>A-8 (Act. Sponsor) </vt:lpstr>
      <vt:lpstr>A-9 (Act. Incentive Projects)</vt:lpstr>
      <vt:lpstr>A-10 (Act. A&amp;G)</vt:lpstr>
      <vt:lpstr>A-11 (Act 13 Mo &amp; BOY-EOY Aver)</vt:lpstr>
      <vt:lpstr>TU (True-Up)</vt:lpstr>
      <vt:lpstr>RTO Project Smry</vt:lpstr>
      <vt:lpstr>Spon Project Smry</vt:lpstr>
      <vt:lpstr>Projected Net Rev Req</vt:lpstr>
      <vt:lpstr>Projected Gross Rev Req</vt:lpstr>
      <vt:lpstr>Projected Schedule 1 Rev Req</vt:lpstr>
      <vt:lpstr>P-1 (Trans Plant)</vt:lpstr>
      <vt:lpstr>P-2 (Exp. &amp; Rev. Credits)</vt:lpstr>
      <vt:lpstr>P-3 (Trans. Network Load)</vt:lpstr>
      <vt:lpstr>P-4 (Proj. RTO Directed)</vt:lpstr>
      <vt:lpstr>P-5 (Sponsored Projects) </vt:lpstr>
      <vt:lpstr>DA</vt:lpstr>
      <vt:lpstr>GP</vt:lpstr>
      <vt:lpstr>NP</vt:lpstr>
      <vt:lpstr>'A-1 (Act. Rev Credit) '!Print_Area</vt:lpstr>
      <vt:lpstr>'A-10 (Act. A&amp;G)'!Print_Area</vt:lpstr>
      <vt:lpstr>'A-2 (Act. Divisor) '!Print_Area</vt:lpstr>
      <vt:lpstr>'A-3 ( Act. ADIT)'!Print_Area</vt:lpstr>
      <vt:lpstr>'A-4 (Act. Excluded Assets) '!Print_Area</vt:lpstr>
      <vt:lpstr>'A-5 (Act Depreciation Rate)'!Print_Area</vt:lpstr>
      <vt:lpstr>'A-6 (Act Taxes Other)'!Print_Area</vt:lpstr>
      <vt:lpstr>'A-7 (Act. RTO Directed Proj)'!Print_Area</vt:lpstr>
      <vt:lpstr>'A-8 (Act. Sponsor) '!Print_Area</vt:lpstr>
      <vt:lpstr>'A-9 (Act. Incentive Projects)'!Print_Area</vt:lpstr>
      <vt:lpstr>'Actual Gross Rev Req'!Print_Area</vt:lpstr>
      <vt:lpstr>'Actual Net Rev Req'!Print_Area</vt:lpstr>
      <vt:lpstr>'Actual Sch 1 Rev Req'!Print_Area</vt:lpstr>
      <vt:lpstr>'Notes to Development'!Print_Area</vt:lpstr>
      <vt:lpstr>'P-1 (Trans Plant)'!Print_Area</vt:lpstr>
      <vt:lpstr>'P-3 (Trans. Network Load)'!Print_Area</vt:lpstr>
      <vt:lpstr>'P-4 (Proj. RTO Directed)'!Print_Area</vt:lpstr>
      <vt:lpstr>'P-5 (Sponsored Projects) '!Print_Area</vt:lpstr>
      <vt:lpstr>'Projected Gross Rev Req'!Print_Area</vt:lpstr>
      <vt:lpstr>'Projected Net Rev Req'!Print_Area</vt:lpstr>
      <vt:lpstr>'Projected Schedule 1 Rev Req'!Print_Area</vt:lpstr>
      <vt:lpstr>'RTO Project Smry'!Print_Area</vt:lpstr>
      <vt:lpstr>'Spon Project Smry'!Print_Area</vt:lpstr>
      <vt:lpstr>Summary!Print_Area</vt:lpstr>
      <vt:lpstr>'Table of Contents'!Print_Area</vt:lpstr>
      <vt:lpstr>'TU (True-Up)'!Print_Area</vt:lpstr>
      <vt:lpstr>'A-7 (Act. RTO Directed Proj)'!Print_Titles</vt:lpstr>
      <vt:lpstr>'A-9 (Act. Incentive Projects)'!Print_Titles</vt:lpstr>
      <vt:lpstr>'Notes to Development'!Print_Titles</vt:lpstr>
      <vt:lpstr>'P-1 (Trans Plant)'!Print_Titles</vt:lpstr>
      <vt:lpstr>'P-4 (Proj. RTO Directed)'!Print_Titles</vt:lpstr>
      <vt:lpstr>'RTO Project Smry'!Print_Titles</vt:lpstr>
      <vt:lpstr>'Spon Project Smry'!Print_Titles</vt:lpstr>
      <vt:lpstr>PTitle</vt:lpstr>
      <vt:lpstr>tp</vt:lpstr>
      <vt:lpstr>WCLTD</vt:lpstr>
      <vt:lpstr>WS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2010 Formula Rate Template</dc:title>
  <dc:subject>original Filing</dc:subject>
  <dc:creator>Hewitt Doug</dc:creator>
  <cp:lastModifiedBy>Hewitt Doug</cp:lastModifiedBy>
  <cp:lastPrinted>2014-02-10T14:54:58Z</cp:lastPrinted>
  <dcterms:created xsi:type="dcterms:W3CDTF">1997-04-03T19:40:56Z</dcterms:created>
  <dcterms:modified xsi:type="dcterms:W3CDTF">2014-02-11T19:11:38Z</dcterms:modified>
</cp:coreProperties>
</file>