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fileSharing readOnlyRecommended="1"/>
  <workbookPr filterPrivacy="1" codeName="ThisWorkbook" defaultThemeVersion="124226"/>
  <bookViews>
    <workbookView xWindow="0" yWindow="0" windowWidth="19005" windowHeight="12240" tabRatio="905"/>
  </bookViews>
  <sheets>
    <sheet name="Title Page" sheetId="28" r:id="rId1"/>
    <sheet name="List of Worksheets" sheetId="27" r:id="rId2"/>
    <sheet name="Schedule 7, 8 and 9 Rates" sheetId="26" r:id="rId3"/>
    <sheet name="Calc of PTP" sheetId="33" r:id="rId4"/>
    <sheet name="Calc of NT Rev Req" sheetId="32" r:id="rId5"/>
    <sheet name="Revenue Credits" sheetId="31" r:id="rId6"/>
    <sheet name="Rate Calculation" sheetId="1" r:id="rId7"/>
    <sheet name="Schedule 1" sheetId="2" r:id="rId8"/>
    <sheet name="Schedule 2" sheetId="3" r:id="rId9"/>
    <sheet name="Schedule 3" sheetId="4" r:id="rId10"/>
    <sheet name="Schedule 4" sheetId="5" r:id="rId11"/>
    <sheet name="Schedule 5" sheetId="7" r:id="rId12"/>
    <sheet name="Schedule 6" sheetId="9" r:id="rId13"/>
    <sheet name="Schedule 7" sheetId="14" r:id="rId14"/>
    <sheet name="Schedule 8" sheetId="16" r:id="rId15"/>
    <sheet name="Schedule 9" sheetId="43" r:id="rId16"/>
    <sheet name="Schedule 10" sheetId="38" r:id="rId17"/>
    <sheet name="Schedule 11" sheetId="37" r:id="rId18"/>
    <sheet name="Schedule 12" sheetId="40" r:id="rId19"/>
    <sheet name="Schedule 13" sheetId="41" r:id="rId20"/>
    <sheet name="Workpapers Title Page" sheetId="39" r:id="rId21"/>
    <sheet name="Schedule 1 Workpaper" sheetId="15" r:id="rId22"/>
    <sheet name="Schedule 2 Workpaper page 1" sheetId="17" r:id="rId23"/>
    <sheet name="Schedule 2 Workpaper page 2" sheetId="18" r:id="rId24"/>
    <sheet name="Schedule 2 Workpaper page 3" sheetId="29" r:id="rId25"/>
    <sheet name="Schedule 2 Workpaper page 4" sheetId="35" r:id="rId26"/>
    <sheet name="Schedule 2 Workpaper page 5" sheetId="48" r:id="rId27"/>
    <sheet name="Schedule 4 Workpaper page 1" sheetId="19" r:id="rId28"/>
    <sheet name="Schedule 4 Workpaper page 2" sheetId="47" r:id="rId29"/>
    <sheet name="Schedule 4 Workpaper page 3" sheetId="21" r:id="rId30"/>
    <sheet name="Schedule 4 Workpaper page 4" sheetId="23" r:id="rId31"/>
    <sheet name="Schedule 4 Workpaper page 5" sheetId="20" r:id="rId32"/>
    <sheet name="Schedule 4 Workpaper page 6" sheetId="6" r:id="rId33"/>
    <sheet name="Schedule 4 Workpaper page 7" sheetId="30" r:id="rId34"/>
    <sheet name="Schedule 5 Workpaper " sheetId="8" r:id="rId35"/>
    <sheet name="Schedule 6 Workpaper page 1" sheetId="10" r:id="rId36"/>
    <sheet name="Schedule 6 Workpaper page 2" sheetId="11" r:id="rId37"/>
    <sheet name="Schedule 6 Workpaper page 3" sheetId="12" r:id="rId38"/>
    <sheet name="Schedule 7 Workpaper" sheetId="42" r:id="rId39"/>
    <sheet name="Schedule 8 Workpaper" sheetId="45" r:id="rId40"/>
  </sheets>
  <definedNames>
    <definedName name="_xlnm._FilterDatabase" localSheetId="28" hidden="1">'Schedule 4 Workpaper page 2'!$A$5:$I$538</definedName>
    <definedName name="LKUP_Func">#REF!</definedName>
    <definedName name="_xlnm.Print_Area" localSheetId="6">'Rate Calculation'!$A$1:$E$64</definedName>
    <definedName name="_xlnm.Print_Area" localSheetId="7">'Schedule 1'!$A$1:$G$89</definedName>
    <definedName name="_xlnm.Print_Area" localSheetId="21">'Schedule 1 Workpaper'!$A$1:$F$14</definedName>
    <definedName name="_xlnm.Print_Area" localSheetId="16">'Schedule 10'!$A$1:$G$64</definedName>
    <definedName name="_xlnm.Print_Area" localSheetId="18">'Schedule 12'!$A$1:$F$60</definedName>
    <definedName name="_xlnm.Print_Area" localSheetId="19">'Schedule 13'!$A$1:$B$39</definedName>
    <definedName name="_xlnm.Print_Area" localSheetId="8">'Schedule 2'!$A$1:$F$77</definedName>
    <definedName name="_xlnm.Print_Area" localSheetId="22">'Schedule 2 Workpaper page 1'!$A$1:$E$64</definedName>
    <definedName name="_xlnm.Print_Area" localSheetId="25">'Schedule 2 Workpaper page 4'!$A$1:$H$175</definedName>
    <definedName name="_xlnm.Print_Area" localSheetId="9">'Schedule 3'!$A$1:$F$55</definedName>
    <definedName name="_xlnm.Print_Area" localSheetId="10">'Schedule 4'!$A$1:$E$31</definedName>
    <definedName name="_xlnm.Print_Area" localSheetId="27">'Schedule 4 Workpaper page 1'!$A$1:$H$38</definedName>
    <definedName name="_xlnm.Print_Area" localSheetId="28">'Schedule 4 Workpaper page 2'!$A$1:$I$538</definedName>
    <definedName name="_xlnm.Print_Area" localSheetId="29">'Schedule 4 Workpaper page 3'!$A$1:$L$91</definedName>
    <definedName name="_xlnm.Print_Area" localSheetId="30">'Schedule 4 Workpaper page 4'!$A$1:$E$20</definedName>
    <definedName name="_xlnm.Print_Area" localSheetId="33">'Schedule 4 Workpaper page 7'!$A$1:$E$15</definedName>
    <definedName name="_xlnm.Print_Area" localSheetId="11">'Schedule 5'!$A$1:$M$69</definedName>
    <definedName name="_xlnm.Print_Area" localSheetId="34">'Schedule 5 Workpaper '!$A$1:$H$57</definedName>
    <definedName name="_xlnm.Print_Area" localSheetId="37">'Schedule 6 Workpaper page 3'!$A$1:$G$18</definedName>
    <definedName name="_xlnm.Print_Area" localSheetId="13">'Schedule 7'!$A$1:$G$91</definedName>
    <definedName name="_xlnm.Print_Area" localSheetId="38">'Schedule 7 Workpaper'!$A$1:$T$92</definedName>
    <definedName name="_xlnm.Print_Area" localSheetId="2">'Schedule 7, 8 and 9 Rates'!$A$1:$K$25</definedName>
    <definedName name="_xlnm.Print_Area" localSheetId="14">'Schedule 8'!$A$1:$G$25</definedName>
    <definedName name="_xlnm.Print_Area" localSheetId="39">'Schedule 8 Workpaper'!$A$1:$S$18</definedName>
    <definedName name="_xlnm.Print_Area" localSheetId="15">'Schedule 9'!$A$1:$J$57</definedName>
    <definedName name="_xlnm.Print_Area" localSheetId="0">'Title Page'!$A$1:$I$43</definedName>
    <definedName name="_xlnm.Print_Titles" localSheetId="25">'Schedule 2 Workpaper page 4'!$1:$2</definedName>
    <definedName name="_xlnm.Print_Titles" localSheetId="28">'Schedule 4 Workpaper page 2'!$1:$5</definedName>
    <definedName name="_xlnm.Print_Titles" localSheetId="13">'Schedule 7'!$1:$7</definedName>
    <definedName name="_xlnm.Print_Titles" localSheetId="38">'Schedule 7 Workpaper'!$A:$B,'Schedule 7 Workpaper'!$1:$7</definedName>
  </definedNames>
  <calcPr calcId="171027"/>
</workbook>
</file>

<file path=xl/calcChain.xml><?xml version="1.0" encoding="utf-8"?>
<calcChain xmlns="http://schemas.openxmlformats.org/spreadsheetml/2006/main">
  <c r="E29" i="6" l="1"/>
  <c r="E7" i="1" l="1"/>
  <c r="F10" i="2" l="1"/>
  <c r="F13" i="40" l="1"/>
  <c r="G24" i="7"/>
  <c r="H34" i="8" l="1"/>
  <c r="F73" i="21"/>
  <c r="G520" i="47"/>
  <c r="E60" i="17"/>
  <c r="F46" i="3"/>
  <c r="F10" i="15"/>
  <c r="A24" i="6" l="1"/>
  <c r="A25" i="6" s="1"/>
  <c r="A26" i="6" s="1"/>
  <c r="A27" i="6" s="1"/>
  <c r="A28" i="6" s="1"/>
  <c r="E82" i="21"/>
  <c r="E89" i="21" l="1"/>
  <c r="A9" i="30" l="1"/>
  <c r="A10" i="30" s="1"/>
  <c r="A518" i="47" l="1"/>
  <c r="A519" i="47"/>
  <c r="A520" i="47"/>
  <c r="A521" i="47" s="1"/>
  <c r="A522" i="47" s="1"/>
  <c r="A523" i="47" s="1"/>
  <c r="A524" i="47" s="1"/>
  <c r="A525" i="47" s="1"/>
  <c r="A526" i="47" s="1"/>
  <c r="A527" i="47" s="1"/>
  <c r="A528" i="47" s="1"/>
  <c r="A529" i="47" s="1"/>
  <c r="A530" i="47" s="1"/>
  <c r="A531" i="47" s="1"/>
  <c r="A532" i="47" s="1"/>
  <c r="A533" i="47" s="1"/>
  <c r="A534" i="47" s="1"/>
  <c r="A535" i="47" s="1"/>
  <c r="F73" i="2" l="1"/>
  <c r="F27" i="2"/>
  <c r="F20" i="2"/>
  <c r="E40" i="1"/>
  <c r="E15" i="1"/>
  <c r="F38" i="4"/>
  <c r="F53" i="3"/>
  <c r="F20" i="3"/>
  <c r="E76" i="42" l="1"/>
  <c r="A12" i="37"/>
  <c r="A14" i="37" s="1"/>
  <c r="A15" i="37" s="1"/>
  <c r="A16" i="37" s="1"/>
  <c r="A17" i="37" l="1"/>
  <c r="A20" i="37" s="1"/>
  <c r="A23" i="37" s="1"/>
  <c r="A9" i="14"/>
  <c r="B9" i="14"/>
  <c r="C9" i="14"/>
  <c r="D9" i="14"/>
  <c r="E9" i="14"/>
  <c r="F9" i="14"/>
  <c r="G9" i="14"/>
  <c r="A10" i="14"/>
  <c r="B10" i="14"/>
  <c r="C10" i="14"/>
  <c r="D10" i="14"/>
  <c r="E10" i="14"/>
  <c r="F10" i="14"/>
  <c r="G10" i="14"/>
  <c r="A11" i="14"/>
  <c r="B11" i="14"/>
  <c r="C11" i="14"/>
  <c r="D11" i="14"/>
  <c r="E11" i="14"/>
  <c r="F11" i="14"/>
  <c r="G11" i="14"/>
  <c r="A12" i="14"/>
  <c r="B12" i="14"/>
  <c r="C12" i="14"/>
  <c r="D12" i="14"/>
  <c r="E12" i="14"/>
  <c r="F12" i="14"/>
  <c r="G12" i="14"/>
  <c r="A13" i="14"/>
  <c r="B13" i="14"/>
  <c r="C13" i="14"/>
  <c r="D13" i="14"/>
  <c r="E13" i="14"/>
  <c r="F13" i="14"/>
  <c r="G13" i="14"/>
  <c r="A14" i="14"/>
  <c r="B14" i="14"/>
  <c r="C14" i="14"/>
  <c r="D14" i="14"/>
  <c r="E14" i="14"/>
  <c r="F14" i="14"/>
  <c r="G14" i="14"/>
  <c r="A15" i="14"/>
  <c r="B15" i="14"/>
  <c r="C15" i="14"/>
  <c r="D15" i="14"/>
  <c r="E15" i="14"/>
  <c r="F15" i="14"/>
  <c r="G15" i="14"/>
  <c r="A16" i="14"/>
  <c r="B16" i="14"/>
  <c r="C16" i="14"/>
  <c r="D16" i="14"/>
  <c r="E16" i="14"/>
  <c r="F16" i="14"/>
  <c r="G16" i="14"/>
  <c r="A17" i="14"/>
  <c r="B17" i="14"/>
  <c r="C17" i="14"/>
  <c r="D17" i="14"/>
  <c r="E17" i="14"/>
  <c r="F17" i="14"/>
  <c r="G17" i="14"/>
  <c r="A18" i="14"/>
  <c r="B18" i="14"/>
  <c r="C18" i="14"/>
  <c r="D18" i="14"/>
  <c r="E18" i="14"/>
  <c r="F18" i="14"/>
  <c r="G18" i="14"/>
  <c r="A19" i="14"/>
  <c r="B19" i="14"/>
  <c r="C19" i="14"/>
  <c r="D19" i="14"/>
  <c r="E19" i="14"/>
  <c r="F19" i="14"/>
  <c r="G19" i="14"/>
  <c r="A20" i="14"/>
  <c r="B20" i="14"/>
  <c r="C20" i="14"/>
  <c r="D20" i="14"/>
  <c r="E20" i="14"/>
  <c r="F20" i="14"/>
  <c r="G20" i="14"/>
  <c r="A21" i="14"/>
  <c r="B21" i="14"/>
  <c r="C21" i="14"/>
  <c r="D21" i="14"/>
  <c r="E21" i="14"/>
  <c r="F21" i="14"/>
  <c r="G21" i="14"/>
  <c r="A22" i="14"/>
  <c r="B22" i="14"/>
  <c r="C22" i="14"/>
  <c r="D22" i="14"/>
  <c r="E22" i="14"/>
  <c r="F22" i="14"/>
  <c r="G22" i="14"/>
  <c r="A23" i="14"/>
  <c r="B23" i="14"/>
  <c r="C23" i="14"/>
  <c r="D23" i="14"/>
  <c r="E23" i="14"/>
  <c r="F23" i="14"/>
  <c r="G23" i="14"/>
  <c r="A24" i="14"/>
  <c r="B24" i="14"/>
  <c r="C24" i="14"/>
  <c r="D24" i="14"/>
  <c r="E24" i="14"/>
  <c r="F24" i="14"/>
  <c r="G24" i="14"/>
  <c r="A25" i="14"/>
  <c r="B25" i="14"/>
  <c r="C25" i="14"/>
  <c r="D25" i="14"/>
  <c r="E25" i="14"/>
  <c r="F25" i="14"/>
  <c r="G25" i="14"/>
  <c r="A26" i="14"/>
  <c r="B26" i="14"/>
  <c r="C26" i="14"/>
  <c r="D26" i="14"/>
  <c r="E26" i="14"/>
  <c r="F26" i="14"/>
  <c r="G26" i="14"/>
  <c r="A27" i="14"/>
  <c r="B27" i="14"/>
  <c r="C27" i="14"/>
  <c r="D27" i="14"/>
  <c r="E27" i="14"/>
  <c r="F27" i="14"/>
  <c r="G27" i="14"/>
  <c r="A28" i="14"/>
  <c r="B28" i="14"/>
  <c r="C28" i="14"/>
  <c r="D28" i="14"/>
  <c r="E28" i="14"/>
  <c r="F28" i="14"/>
  <c r="G28" i="14"/>
  <c r="A29" i="14"/>
  <c r="B29" i="14"/>
  <c r="C29" i="14"/>
  <c r="D29" i="14"/>
  <c r="E29" i="14"/>
  <c r="F29" i="14"/>
  <c r="G29" i="14"/>
  <c r="A30" i="14"/>
  <c r="B30" i="14"/>
  <c r="C30" i="14"/>
  <c r="D30" i="14"/>
  <c r="E30" i="14"/>
  <c r="F30" i="14"/>
  <c r="G30" i="14"/>
  <c r="A31" i="14"/>
  <c r="B31" i="14"/>
  <c r="C31" i="14"/>
  <c r="D31" i="14"/>
  <c r="E31" i="14"/>
  <c r="F31" i="14"/>
  <c r="G31" i="14"/>
  <c r="A32" i="14"/>
  <c r="B32" i="14"/>
  <c r="C32" i="14"/>
  <c r="D32" i="14"/>
  <c r="E32" i="14"/>
  <c r="F32" i="14"/>
  <c r="G32" i="14"/>
  <c r="A33" i="14"/>
  <c r="B33" i="14"/>
  <c r="C33" i="14"/>
  <c r="D33" i="14"/>
  <c r="E33" i="14"/>
  <c r="F33" i="14"/>
  <c r="G33" i="14"/>
  <c r="A34" i="14"/>
  <c r="B34" i="14"/>
  <c r="C34" i="14"/>
  <c r="D34" i="14"/>
  <c r="E34" i="14"/>
  <c r="F34" i="14"/>
  <c r="G34" i="14"/>
  <c r="A35" i="14"/>
  <c r="B35" i="14"/>
  <c r="C35" i="14"/>
  <c r="D35" i="14"/>
  <c r="E35" i="14"/>
  <c r="F35" i="14"/>
  <c r="G35" i="14"/>
  <c r="A36" i="14"/>
  <c r="B36" i="14"/>
  <c r="C36" i="14"/>
  <c r="D36" i="14"/>
  <c r="E36" i="14"/>
  <c r="F36" i="14"/>
  <c r="G36" i="14"/>
  <c r="A37" i="14"/>
  <c r="B37" i="14"/>
  <c r="C37" i="14"/>
  <c r="D37" i="14"/>
  <c r="E37" i="14"/>
  <c r="F37" i="14"/>
  <c r="G37" i="14"/>
  <c r="A38" i="14"/>
  <c r="B38" i="14"/>
  <c r="C38" i="14"/>
  <c r="D38" i="14"/>
  <c r="E38" i="14"/>
  <c r="F38" i="14"/>
  <c r="G38" i="14"/>
  <c r="A39" i="14"/>
  <c r="B39" i="14"/>
  <c r="C39" i="14"/>
  <c r="D39" i="14"/>
  <c r="E39" i="14"/>
  <c r="F39" i="14"/>
  <c r="G39" i="14"/>
  <c r="A40" i="14"/>
  <c r="B40" i="14"/>
  <c r="C40" i="14"/>
  <c r="D40" i="14"/>
  <c r="E40" i="14"/>
  <c r="F40" i="14"/>
  <c r="G40" i="14"/>
  <c r="A41" i="14"/>
  <c r="B41" i="14"/>
  <c r="C41" i="14"/>
  <c r="D41" i="14"/>
  <c r="E41" i="14"/>
  <c r="F41" i="14"/>
  <c r="G41" i="14"/>
  <c r="A42" i="14"/>
  <c r="B42" i="14"/>
  <c r="C42" i="14"/>
  <c r="D42" i="14"/>
  <c r="E42" i="14"/>
  <c r="F42" i="14"/>
  <c r="G42" i="14"/>
  <c r="A43" i="14"/>
  <c r="B43" i="14"/>
  <c r="C43" i="14"/>
  <c r="D43" i="14"/>
  <c r="E43" i="14"/>
  <c r="F43" i="14"/>
  <c r="G43" i="14"/>
  <c r="A44" i="14"/>
  <c r="B44" i="14"/>
  <c r="C44" i="14"/>
  <c r="D44" i="14"/>
  <c r="E44" i="14"/>
  <c r="F44" i="14"/>
  <c r="G44" i="14"/>
  <c r="A45" i="14"/>
  <c r="B45" i="14"/>
  <c r="C45" i="14"/>
  <c r="D45" i="14"/>
  <c r="E45" i="14"/>
  <c r="F45" i="14"/>
  <c r="G45" i="14"/>
  <c r="A46" i="14"/>
  <c r="B46" i="14"/>
  <c r="C46" i="14"/>
  <c r="D46" i="14"/>
  <c r="E46" i="14"/>
  <c r="F46" i="14"/>
  <c r="G46" i="14"/>
  <c r="A47" i="14"/>
  <c r="B47" i="14"/>
  <c r="C47" i="14"/>
  <c r="D47" i="14"/>
  <c r="E47" i="14"/>
  <c r="F47" i="14"/>
  <c r="G47" i="14"/>
  <c r="A48" i="14"/>
  <c r="B48" i="14"/>
  <c r="C48" i="14"/>
  <c r="D48" i="14"/>
  <c r="E48" i="14"/>
  <c r="F48" i="14"/>
  <c r="G48" i="14"/>
  <c r="A49" i="14"/>
  <c r="B49" i="14"/>
  <c r="C49" i="14"/>
  <c r="D49" i="14"/>
  <c r="E49" i="14"/>
  <c r="F49" i="14"/>
  <c r="G49" i="14"/>
  <c r="A50" i="14"/>
  <c r="B50" i="14"/>
  <c r="C50" i="14"/>
  <c r="D50" i="14"/>
  <c r="E50" i="14"/>
  <c r="F50" i="14"/>
  <c r="G50" i="14"/>
  <c r="A51" i="14"/>
  <c r="B51" i="14"/>
  <c r="C51" i="14"/>
  <c r="D51" i="14"/>
  <c r="E51" i="14"/>
  <c r="F51" i="14"/>
  <c r="G51" i="14"/>
  <c r="A52" i="14"/>
  <c r="B52" i="14"/>
  <c r="C52" i="14"/>
  <c r="D52" i="14"/>
  <c r="E52" i="14"/>
  <c r="F52" i="14"/>
  <c r="G52" i="14"/>
  <c r="A53" i="14"/>
  <c r="B53" i="14"/>
  <c r="C53" i="14"/>
  <c r="D53" i="14"/>
  <c r="E53" i="14"/>
  <c r="F53" i="14"/>
  <c r="G53" i="14"/>
  <c r="A54" i="14"/>
  <c r="B54" i="14"/>
  <c r="C54" i="14"/>
  <c r="D54" i="14"/>
  <c r="E54" i="14"/>
  <c r="F54" i="14"/>
  <c r="G54" i="14"/>
  <c r="A55" i="14"/>
  <c r="B55" i="14"/>
  <c r="C55" i="14"/>
  <c r="D55" i="14"/>
  <c r="E55" i="14"/>
  <c r="F55" i="14"/>
  <c r="G55" i="14"/>
  <c r="A56" i="14"/>
  <c r="B56" i="14"/>
  <c r="C56" i="14"/>
  <c r="D56" i="14"/>
  <c r="E56" i="14"/>
  <c r="F56" i="14"/>
  <c r="G56" i="14"/>
  <c r="A57" i="14"/>
  <c r="B57" i="14"/>
  <c r="C57" i="14"/>
  <c r="D57" i="14"/>
  <c r="E57" i="14"/>
  <c r="F57" i="14"/>
  <c r="G57" i="14"/>
  <c r="A58" i="14"/>
  <c r="B58" i="14"/>
  <c r="C58" i="14"/>
  <c r="D58" i="14"/>
  <c r="E58" i="14"/>
  <c r="F58" i="14"/>
  <c r="G58" i="14"/>
  <c r="A59" i="14"/>
  <c r="B59" i="14"/>
  <c r="C59" i="14"/>
  <c r="D59" i="14"/>
  <c r="E59" i="14"/>
  <c r="F59" i="14"/>
  <c r="G59" i="14"/>
  <c r="A60" i="14"/>
  <c r="B60" i="14"/>
  <c r="C60" i="14"/>
  <c r="D60" i="14"/>
  <c r="E60" i="14"/>
  <c r="F60" i="14"/>
  <c r="G60" i="14"/>
  <c r="A61" i="14"/>
  <c r="B61" i="14"/>
  <c r="C61" i="14"/>
  <c r="D61" i="14"/>
  <c r="E61" i="14"/>
  <c r="F61" i="14"/>
  <c r="G61" i="14"/>
  <c r="A62" i="14"/>
  <c r="B62" i="14"/>
  <c r="C62" i="14"/>
  <c r="D62" i="14"/>
  <c r="E62" i="14"/>
  <c r="F62" i="14"/>
  <c r="G62" i="14"/>
  <c r="A63" i="14"/>
  <c r="B63" i="14"/>
  <c r="C63" i="14"/>
  <c r="D63" i="14"/>
  <c r="E63" i="14"/>
  <c r="F63" i="14"/>
  <c r="G63" i="14"/>
  <c r="A64" i="14"/>
  <c r="B64" i="14"/>
  <c r="C64" i="14"/>
  <c r="D64" i="14"/>
  <c r="E64" i="14"/>
  <c r="F64" i="14"/>
  <c r="G64" i="14"/>
  <c r="A65" i="14"/>
  <c r="B65" i="14"/>
  <c r="C65" i="14"/>
  <c r="D65" i="14"/>
  <c r="E65" i="14"/>
  <c r="F65" i="14"/>
  <c r="G65" i="14"/>
  <c r="A66" i="14"/>
  <c r="B66" i="14"/>
  <c r="C66" i="14"/>
  <c r="D66" i="14"/>
  <c r="E66" i="14"/>
  <c r="F66" i="14"/>
  <c r="G66" i="14"/>
  <c r="A67" i="14"/>
  <c r="B67" i="14"/>
  <c r="C67" i="14"/>
  <c r="D67" i="14"/>
  <c r="E67" i="14"/>
  <c r="F67" i="14"/>
  <c r="G67" i="14"/>
  <c r="A68" i="14"/>
  <c r="B68" i="14"/>
  <c r="C68" i="14"/>
  <c r="D68" i="14"/>
  <c r="E68" i="14"/>
  <c r="F68" i="14"/>
  <c r="G68" i="14"/>
  <c r="A69" i="14"/>
  <c r="B69" i="14"/>
  <c r="C69" i="14"/>
  <c r="D69" i="14"/>
  <c r="E69" i="14"/>
  <c r="F69" i="14"/>
  <c r="G69" i="14"/>
  <c r="A70" i="14"/>
  <c r="B70" i="14"/>
  <c r="C70" i="14"/>
  <c r="D70" i="14"/>
  <c r="E70" i="14"/>
  <c r="F70" i="14"/>
  <c r="G70" i="14"/>
  <c r="A71" i="14"/>
  <c r="B71" i="14"/>
  <c r="C71" i="14"/>
  <c r="D71" i="14"/>
  <c r="E71" i="14"/>
  <c r="F71" i="14"/>
  <c r="G71" i="14"/>
  <c r="A72" i="14"/>
  <c r="B72" i="14"/>
  <c r="C72" i="14"/>
  <c r="D72" i="14"/>
  <c r="E72" i="14"/>
  <c r="F72" i="14"/>
  <c r="G72" i="14"/>
  <c r="A73" i="14"/>
  <c r="B73" i="14"/>
  <c r="C73" i="14"/>
  <c r="D73" i="14"/>
  <c r="E73" i="14"/>
  <c r="F73" i="14"/>
  <c r="G73" i="14"/>
  <c r="A74" i="14"/>
  <c r="B74" i="14"/>
  <c r="C74" i="14"/>
  <c r="D74" i="14"/>
  <c r="E74" i="14"/>
  <c r="F74" i="14"/>
  <c r="G74" i="14"/>
  <c r="A75" i="14"/>
  <c r="B75" i="14"/>
  <c r="C75" i="14"/>
  <c r="D75" i="14"/>
  <c r="E75" i="14"/>
  <c r="F75" i="14"/>
  <c r="G75" i="14"/>
  <c r="A76" i="14"/>
  <c r="B76" i="14"/>
  <c r="C76" i="14"/>
  <c r="D76" i="14"/>
  <c r="E76" i="14"/>
  <c r="A77" i="14"/>
  <c r="B77" i="14"/>
  <c r="C77" i="14"/>
  <c r="D77" i="14"/>
  <c r="E77" i="14"/>
  <c r="F77" i="14"/>
  <c r="G77" i="14"/>
  <c r="A78" i="14"/>
  <c r="B78" i="14"/>
  <c r="C78" i="14"/>
  <c r="D78" i="14"/>
  <c r="E78" i="14"/>
  <c r="F78" i="14"/>
  <c r="G78" i="14"/>
  <c r="A79" i="14"/>
  <c r="B79" i="14"/>
  <c r="C79" i="14"/>
  <c r="D79" i="14"/>
  <c r="E79" i="14"/>
  <c r="F79" i="14"/>
  <c r="G79" i="14"/>
  <c r="A80" i="14"/>
  <c r="B80" i="14"/>
  <c r="C80" i="14"/>
  <c r="D80" i="14"/>
  <c r="E80" i="14"/>
  <c r="F80" i="14"/>
  <c r="G80" i="14"/>
  <c r="A81" i="14"/>
  <c r="B81" i="14"/>
  <c r="C81" i="14"/>
  <c r="D81" i="14"/>
  <c r="E81" i="14"/>
  <c r="F81" i="14"/>
  <c r="G81" i="14"/>
  <c r="A82" i="14"/>
  <c r="B82" i="14"/>
  <c r="C82" i="14"/>
  <c r="D82" i="14"/>
  <c r="E82" i="14"/>
  <c r="F82" i="14"/>
  <c r="G82" i="14"/>
  <c r="A83" i="14"/>
  <c r="B83" i="14"/>
  <c r="C83" i="14"/>
  <c r="D83" i="14"/>
  <c r="E83" i="14"/>
  <c r="F83" i="14"/>
  <c r="G83" i="14"/>
  <c r="A84" i="14"/>
  <c r="B84" i="14"/>
  <c r="C84" i="14"/>
  <c r="D84" i="14"/>
  <c r="E84" i="14"/>
  <c r="F84" i="14"/>
  <c r="G84" i="14"/>
  <c r="A85" i="14"/>
  <c r="B85" i="14"/>
  <c r="C85" i="14"/>
  <c r="D85" i="14"/>
  <c r="E85" i="14"/>
  <c r="F85" i="14"/>
  <c r="G85" i="14"/>
  <c r="A86" i="14"/>
  <c r="B86" i="14"/>
  <c r="C86" i="14"/>
  <c r="D86" i="14"/>
  <c r="E86" i="14"/>
  <c r="F86" i="14"/>
  <c r="G86" i="14"/>
  <c r="A87" i="14"/>
  <c r="B87" i="14"/>
  <c r="C87" i="14"/>
  <c r="D87" i="14"/>
  <c r="E87" i="14"/>
  <c r="F87" i="14"/>
  <c r="G87" i="14"/>
  <c r="A88" i="14"/>
  <c r="B88" i="14"/>
  <c r="C88" i="14"/>
  <c r="D88" i="14"/>
  <c r="E88" i="14"/>
  <c r="F88" i="14"/>
  <c r="G88" i="14"/>
  <c r="A89" i="14"/>
  <c r="B89" i="14"/>
  <c r="C89" i="14"/>
  <c r="D89" i="14"/>
  <c r="E89" i="14"/>
  <c r="F89" i="14"/>
  <c r="G89" i="14"/>
  <c r="D8" i="14"/>
  <c r="F11" i="40"/>
  <c r="F12" i="40"/>
  <c r="E40" i="42" l="1"/>
  <c r="V40" i="42"/>
  <c r="T40" i="42"/>
  <c r="M40" i="42"/>
  <c r="K40" i="42"/>
  <c r="G40" i="42"/>
  <c r="E25" i="42"/>
  <c r="E26" i="42"/>
  <c r="N40" i="42" l="1"/>
  <c r="P40" i="42"/>
  <c r="Q40" i="42" s="1"/>
  <c r="H40" i="42"/>
  <c r="W40" i="42"/>
  <c r="X40" i="42" s="1"/>
  <c r="R9" i="42"/>
  <c r="R10" i="42"/>
  <c r="R11" i="42"/>
  <c r="R12" i="42"/>
  <c r="R13" i="42"/>
  <c r="R14" i="42"/>
  <c r="R15" i="42"/>
  <c r="R16" i="42"/>
  <c r="R17" i="42"/>
  <c r="R18" i="42"/>
  <c r="R19" i="42"/>
  <c r="R20" i="42"/>
  <c r="R21" i="42"/>
  <c r="R22" i="42"/>
  <c r="R27" i="42"/>
  <c r="R28" i="42"/>
  <c r="R29" i="42"/>
  <c r="R30" i="42"/>
  <c r="R31" i="42"/>
  <c r="R32" i="42"/>
  <c r="R33" i="42"/>
  <c r="R34" i="42"/>
  <c r="R35" i="42"/>
  <c r="R36" i="42"/>
  <c r="R37" i="42"/>
  <c r="R38" i="42"/>
  <c r="R39" i="42"/>
  <c r="R41" i="42"/>
  <c r="R42" i="42"/>
  <c r="R43" i="42"/>
  <c r="R44" i="42"/>
  <c r="R45" i="42"/>
  <c r="R46" i="42"/>
  <c r="R47" i="42"/>
  <c r="R48" i="42"/>
  <c r="R49" i="42"/>
  <c r="R50" i="42"/>
  <c r="R51" i="42"/>
  <c r="R52" i="42"/>
  <c r="R53" i="42"/>
  <c r="R54" i="42"/>
  <c r="R55" i="42"/>
  <c r="R56" i="42"/>
  <c r="R57" i="42"/>
  <c r="R58" i="42"/>
  <c r="R59" i="42"/>
  <c r="R60" i="42"/>
  <c r="R61" i="42"/>
  <c r="R62" i="42"/>
  <c r="R63" i="42"/>
  <c r="R64" i="42"/>
  <c r="R65" i="42"/>
  <c r="R66" i="42"/>
  <c r="R67" i="42"/>
  <c r="R68" i="42"/>
  <c r="R69" i="42"/>
  <c r="R70" i="42"/>
  <c r="R71" i="42"/>
  <c r="R72" i="42"/>
  <c r="R73" i="42"/>
  <c r="R74" i="42"/>
  <c r="R75" i="42"/>
  <c r="R8" i="42"/>
  <c r="P10" i="42"/>
  <c r="P11" i="42"/>
  <c r="P12" i="42"/>
  <c r="P13" i="42"/>
  <c r="P14" i="42"/>
  <c r="P15" i="42"/>
  <c r="P16" i="42"/>
  <c r="P17" i="42"/>
  <c r="P18" i="42"/>
  <c r="P19" i="42"/>
  <c r="P20" i="42"/>
  <c r="P21" i="42"/>
  <c r="P22" i="42"/>
  <c r="P23" i="42"/>
  <c r="P24" i="42"/>
  <c r="P25" i="42"/>
  <c r="P26" i="42"/>
  <c r="P27" i="42"/>
  <c r="P28" i="42"/>
  <c r="P29" i="42"/>
  <c r="P30" i="42"/>
  <c r="P31" i="42"/>
  <c r="P32" i="42"/>
  <c r="P33" i="42"/>
  <c r="P34" i="42"/>
  <c r="P35" i="42"/>
  <c r="P36" i="42"/>
  <c r="P37" i="42"/>
  <c r="P38" i="42"/>
  <c r="P39" i="42"/>
  <c r="P41" i="42"/>
  <c r="P42" i="42"/>
  <c r="P43" i="42"/>
  <c r="P44" i="42"/>
  <c r="P45" i="42"/>
  <c r="P46" i="42"/>
  <c r="P47" i="42"/>
  <c r="P48" i="42"/>
  <c r="P49" i="42"/>
  <c r="P50" i="42"/>
  <c r="P51" i="42"/>
  <c r="P52" i="42"/>
  <c r="P53" i="42"/>
  <c r="P54" i="42"/>
  <c r="P55" i="42"/>
  <c r="P56" i="42"/>
  <c r="P57" i="42"/>
  <c r="P58" i="42"/>
  <c r="P59" i="42"/>
  <c r="P60" i="42"/>
  <c r="P61" i="42"/>
  <c r="P62" i="42"/>
  <c r="P63" i="42"/>
  <c r="P64" i="42"/>
  <c r="P65" i="42"/>
  <c r="P66" i="42"/>
  <c r="P67" i="42"/>
  <c r="P68" i="42"/>
  <c r="P69" i="42"/>
  <c r="P70" i="42"/>
  <c r="P71" i="42"/>
  <c r="P72" i="42"/>
  <c r="P73" i="42"/>
  <c r="P74" i="42"/>
  <c r="P75" i="42"/>
  <c r="P76" i="42"/>
  <c r="P77" i="42"/>
  <c r="P78" i="42"/>
  <c r="P79" i="42"/>
  <c r="P80" i="42"/>
  <c r="P81" i="42"/>
  <c r="P82" i="42"/>
  <c r="P83" i="42"/>
  <c r="P84" i="42"/>
  <c r="P85" i="42"/>
  <c r="P86" i="42"/>
  <c r="P87" i="42"/>
  <c r="P88" i="42"/>
  <c r="P89" i="42"/>
  <c r="P8" i="42"/>
  <c r="P9" i="42"/>
  <c r="R40" i="42" l="1"/>
  <c r="S40" i="42" s="1"/>
  <c r="N9" i="42" l="1"/>
  <c r="N10" i="42"/>
  <c r="N11" i="42"/>
  <c r="N12" i="42"/>
  <c r="N13" i="42"/>
  <c r="N14" i="42"/>
  <c r="N15" i="42"/>
  <c r="N16" i="42"/>
  <c r="N17" i="42"/>
  <c r="N18" i="42"/>
  <c r="N19" i="42"/>
  <c r="N20" i="42"/>
  <c r="N21" i="42"/>
  <c r="N22" i="42"/>
  <c r="N23" i="42"/>
  <c r="N24" i="42"/>
  <c r="N25" i="42"/>
  <c r="N26" i="42"/>
  <c r="N27" i="42"/>
  <c r="N28" i="42"/>
  <c r="N29" i="42"/>
  <c r="N30" i="42"/>
  <c r="N31" i="42"/>
  <c r="N32" i="42"/>
  <c r="N33" i="42"/>
  <c r="N34" i="42"/>
  <c r="N35" i="42"/>
  <c r="N36" i="42"/>
  <c r="N37" i="42"/>
  <c r="N38" i="42"/>
  <c r="N39" i="42"/>
  <c r="N41" i="42"/>
  <c r="N42" i="42"/>
  <c r="N43" i="42"/>
  <c r="N44" i="42"/>
  <c r="N45" i="42"/>
  <c r="N46" i="42"/>
  <c r="N47" i="42"/>
  <c r="N48" i="42"/>
  <c r="N49" i="42"/>
  <c r="N50" i="42"/>
  <c r="N51" i="42"/>
  <c r="N52" i="42"/>
  <c r="N53" i="42"/>
  <c r="N54" i="42"/>
  <c r="N55" i="42"/>
  <c r="N56" i="42"/>
  <c r="N57" i="42"/>
  <c r="N58" i="42"/>
  <c r="N59" i="42"/>
  <c r="N60" i="42"/>
  <c r="N61" i="42"/>
  <c r="N62" i="42"/>
  <c r="N63" i="42"/>
  <c r="N64" i="42"/>
  <c r="N65" i="42"/>
  <c r="N66" i="42"/>
  <c r="N67" i="42"/>
  <c r="N68" i="42"/>
  <c r="N69" i="42"/>
  <c r="N70" i="42"/>
  <c r="N71" i="42"/>
  <c r="N72" i="42"/>
  <c r="N73" i="42"/>
  <c r="N74" i="42"/>
  <c r="N75" i="42"/>
  <c r="N76" i="42"/>
  <c r="N77" i="42"/>
  <c r="N78" i="42"/>
  <c r="N79" i="42"/>
  <c r="N80" i="42"/>
  <c r="N81" i="42"/>
  <c r="N82" i="42"/>
  <c r="N83" i="42"/>
  <c r="N84" i="42"/>
  <c r="N85" i="42"/>
  <c r="N86" i="42"/>
  <c r="N87" i="42"/>
  <c r="N88" i="42"/>
  <c r="N89" i="42"/>
  <c r="N8" i="42"/>
  <c r="M9" i="42"/>
  <c r="M10" i="42"/>
  <c r="M11" i="42"/>
  <c r="M12" i="42"/>
  <c r="M13" i="42"/>
  <c r="M14" i="42"/>
  <c r="M15" i="42"/>
  <c r="M16" i="42"/>
  <c r="M17" i="42"/>
  <c r="M18" i="42"/>
  <c r="M19" i="42"/>
  <c r="M20" i="42"/>
  <c r="M21" i="42"/>
  <c r="M22" i="42"/>
  <c r="M23" i="42"/>
  <c r="M24" i="42"/>
  <c r="M25" i="42"/>
  <c r="M26" i="42"/>
  <c r="M27" i="42"/>
  <c r="M28" i="42"/>
  <c r="M29" i="42"/>
  <c r="M30" i="42"/>
  <c r="M31" i="42"/>
  <c r="M32" i="42"/>
  <c r="M33" i="42"/>
  <c r="M34" i="42"/>
  <c r="M35" i="42"/>
  <c r="M36" i="42"/>
  <c r="M37" i="42"/>
  <c r="M38" i="42"/>
  <c r="M39" i="42"/>
  <c r="M41" i="42"/>
  <c r="M42" i="42"/>
  <c r="M43" i="42"/>
  <c r="M44" i="42"/>
  <c r="M45" i="42"/>
  <c r="M46" i="42"/>
  <c r="M47" i="42"/>
  <c r="M48" i="42"/>
  <c r="M49" i="42"/>
  <c r="M50" i="42"/>
  <c r="M51" i="42"/>
  <c r="M52" i="42"/>
  <c r="M53" i="42"/>
  <c r="M54" i="42"/>
  <c r="M55" i="42"/>
  <c r="M56" i="42"/>
  <c r="M57" i="42"/>
  <c r="M58" i="42"/>
  <c r="M59" i="42"/>
  <c r="M60" i="42"/>
  <c r="M61" i="42"/>
  <c r="M62" i="42"/>
  <c r="M63" i="42"/>
  <c r="M64" i="42"/>
  <c r="M65" i="42"/>
  <c r="M66" i="42"/>
  <c r="M67" i="42"/>
  <c r="M68" i="42"/>
  <c r="M69" i="42"/>
  <c r="M70" i="42"/>
  <c r="M71" i="42"/>
  <c r="M72" i="42"/>
  <c r="M73" i="42"/>
  <c r="M74" i="42"/>
  <c r="M75" i="42"/>
  <c r="M76" i="42"/>
  <c r="M77" i="42"/>
  <c r="M78" i="42"/>
  <c r="M79" i="42"/>
  <c r="M80" i="42"/>
  <c r="M81" i="42"/>
  <c r="M82" i="42"/>
  <c r="M83" i="42"/>
  <c r="M84" i="42"/>
  <c r="M85" i="42"/>
  <c r="M86" i="42"/>
  <c r="M87" i="42"/>
  <c r="M88" i="42"/>
  <c r="M89" i="42"/>
  <c r="M8" i="42"/>
  <c r="P10" i="45"/>
  <c r="P11" i="45"/>
  <c r="P12" i="45"/>
  <c r="P13" i="45"/>
  <c r="P14" i="45"/>
  <c r="P15" i="45"/>
  <c r="P16" i="45"/>
  <c r="P9" i="45"/>
  <c r="Q9" i="45" s="1"/>
  <c r="Q10" i="45"/>
  <c r="Q11" i="45"/>
  <c r="Q12" i="45"/>
  <c r="Q13" i="45"/>
  <c r="Q14" i="45"/>
  <c r="Q15" i="45"/>
  <c r="Q16" i="45"/>
  <c r="S10" i="45"/>
  <c r="S11" i="45"/>
  <c r="S12" i="45"/>
  <c r="S13" i="45"/>
  <c r="S14" i="45"/>
  <c r="S15" i="45"/>
  <c r="S16" i="45"/>
  <c r="S9" i="45"/>
  <c r="N16" i="45"/>
  <c r="N15" i="45"/>
  <c r="N14" i="45"/>
  <c r="N13" i="45"/>
  <c r="N12" i="45"/>
  <c r="N11" i="45"/>
  <c r="N91" i="42" l="1"/>
  <c r="O10" i="45"/>
  <c r="O11" i="45"/>
  <c r="O12" i="45"/>
  <c r="O13" i="45"/>
  <c r="O14" i="45"/>
  <c r="O15" i="45"/>
  <c r="O16" i="45"/>
  <c r="O9" i="45"/>
  <c r="E51" i="17" l="1"/>
  <c r="E52" i="17"/>
  <c r="E17" i="5" l="1"/>
  <c r="D13" i="19"/>
  <c r="C73" i="21"/>
  <c r="G29" i="6"/>
  <c r="K19" i="6" l="1"/>
  <c r="K16" i="6"/>
  <c r="K12" i="6"/>
  <c r="K21" i="6"/>
  <c r="P18" i="45" l="1"/>
  <c r="D8" i="48"/>
  <c r="E36" i="32" l="1"/>
  <c r="N32" i="10" l="1"/>
  <c r="O32" i="10" s="1"/>
  <c r="L32" i="10"/>
  <c r="M32" i="10" s="1"/>
  <c r="N31" i="10"/>
  <c r="O31" i="10" s="1"/>
  <c r="L31" i="10"/>
  <c r="M31" i="10" s="1"/>
  <c r="N30" i="10"/>
  <c r="O30" i="10" s="1"/>
  <c r="L30" i="10"/>
  <c r="M30" i="10" s="1"/>
  <c r="N26" i="10"/>
  <c r="O26" i="10" s="1"/>
  <c r="M26" i="10"/>
  <c r="L26" i="10"/>
  <c r="N25" i="10"/>
  <c r="O25" i="10" s="1"/>
  <c r="M25" i="10"/>
  <c r="L25" i="10"/>
  <c r="N24" i="10"/>
  <c r="O24" i="10" s="1"/>
  <c r="M24" i="10"/>
  <c r="L24" i="10"/>
  <c r="N23" i="10"/>
  <c r="O23" i="10" s="1"/>
  <c r="M23" i="10"/>
  <c r="L23" i="10"/>
  <c r="N22" i="10"/>
  <c r="O22" i="10" s="1"/>
  <c r="M22" i="10"/>
  <c r="L22" i="10"/>
  <c r="N21" i="10"/>
  <c r="O21" i="10" s="1"/>
  <c r="M21" i="10"/>
  <c r="L21" i="10"/>
  <c r="N20" i="10"/>
  <c r="O20" i="10" s="1"/>
  <c r="M20" i="10"/>
  <c r="L20" i="10"/>
  <c r="N19" i="10"/>
  <c r="O19" i="10" s="1"/>
  <c r="M19" i="10"/>
  <c r="L19" i="10"/>
  <c r="N18" i="10"/>
  <c r="O18" i="10" s="1"/>
  <c r="M18" i="10"/>
  <c r="L18" i="10"/>
  <c r="N17" i="10"/>
  <c r="O17" i="10" s="1"/>
  <c r="M17" i="10"/>
  <c r="L17" i="10"/>
  <c r="N16" i="10"/>
  <c r="O16" i="10" s="1"/>
  <c r="M16" i="10"/>
  <c r="L16" i="10"/>
  <c r="N15" i="10"/>
  <c r="O15" i="10" s="1"/>
  <c r="M15" i="10"/>
  <c r="L15" i="10"/>
  <c r="N14" i="10"/>
  <c r="O14" i="10" s="1"/>
  <c r="M14" i="10"/>
  <c r="L14" i="10"/>
  <c r="N13" i="10"/>
  <c r="O13" i="10" s="1"/>
  <c r="M13" i="10"/>
  <c r="L13" i="10"/>
  <c r="N12" i="10"/>
  <c r="O12" i="10" s="1"/>
  <c r="M12" i="10"/>
  <c r="L12" i="10"/>
  <c r="N11" i="10"/>
  <c r="O11" i="10" s="1"/>
  <c r="M11" i="10"/>
  <c r="L11" i="10"/>
  <c r="I26" i="10"/>
  <c r="I25" i="10"/>
  <c r="I24" i="10"/>
  <c r="I23" i="10"/>
  <c r="I22" i="10"/>
  <c r="I21" i="10"/>
  <c r="I20" i="10"/>
  <c r="I19" i="10"/>
  <c r="I18" i="10"/>
  <c r="I17" i="10"/>
  <c r="I16" i="10"/>
  <c r="I15" i="10"/>
  <c r="I14" i="10"/>
  <c r="I13" i="10"/>
  <c r="I12" i="10"/>
  <c r="I11" i="10"/>
  <c r="E12" i="7" l="1"/>
  <c r="E13" i="7"/>
  <c r="E14" i="7"/>
  <c r="E15" i="7"/>
  <c r="E16" i="7"/>
  <c r="E17" i="7"/>
  <c r="E18" i="7"/>
  <c r="E19" i="7"/>
  <c r="E20" i="7"/>
  <c r="E21" i="7"/>
  <c r="E22" i="7"/>
  <c r="E11" i="7"/>
  <c r="G8" i="42" l="1"/>
  <c r="H8" i="42" l="1"/>
  <c r="E23" i="8"/>
  <c r="B23" i="8"/>
  <c r="E48" i="17"/>
  <c r="B8" i="14" l="1"/>
  <c r="C8" i="14"/>
  <c r="V25" i="42"/>
  <c r="T25" i="42"/>
  <c r="K25" i="42"/>
  <c r="G25" i="42"/>
  <c r="H25" i="42" l="1"/>
  <c r="Q25" i="42"/>
  <c r="E64" i="42"/>
  <c r="V64" i="42"/>
  <c r="G64" i="42"/>
  <c r="V75" i="42"/>
  <c r="T75" i="42"/>
  <c r="K75" i="42"/>
  <c r="G75" i="42"/>
  <c r="R25" i="42" l="1"/>
  <c r="S25" i="42"/>
  <c r="T64" i="42"/>
  <c r="W25" i="42"/>
  <c r="X25" i="42" s="1"/>
  <c r="H64" i="42"/>
  <c r="Q75" i="42"/>
  <c r="H75" i="42"/>
  <c r="W64" i="42" l="1"/>
  <c r="X64" i="42" s="1"/>
  <c r="K64" i="42"/>
  <c r="W75" i="42"/>
  <c r="X75" i="42" s="1"/>
  <c r="Q64" i="42" l="1"/>
  <c r="S75" i="42"/>
  <c r="S64" i="42" l="1"/>
  <c r="D19" i="19" l="1"/>
  <c r="K66" i="7" l="1"/>
  <c r="L54" i="7"/>
  <c r="L55" i="7"/>
  <c r="L56" i="7"/>
  <c r="L57" i="7"/>
  <c r="L58" i="7"/>
  <c r="L59" i="7"/>
  <c r="L60" i="7"/>
  <c r="L61" i="7"/>
  <c r="L62" i="7"/>
  <c r="L63" i="7"/>
  <c r="L64" i="7"/>
  <c r="L53" i="7"/>
  <c r="U10" i="45" l="1"/>
  <c r="U11" i="45"/>
  <c r="U12" i="45"/>
  <c r="U13" i="45"/>
  <c r="U14" i="45"/>
  <c r="U15" i="45"/>
  <c r="U16" i="45"/>
  <c r="U9" i="45"/>
  <c r="D73" i="21" l="1"/>
  <c r="E73" i="21"/>
  <c r="G73" i="21"/>
  <c r="H73" i="21"/>
  <c r="I73" i="21"/>
  <c r="J73" i="21"/>
  <c r="K73" i="21"/>
  <c r="G9" i="20" l="1"/>
  <c r="E88" i="21"/>
  <c r="E90" i="21" s="1"/>
  <c r="E80" i="21" s="1"/>
  <c r="E75" i="21"/>
  <c r="F31" i="19"/>
  <c r="A12" i="10" l="1"/>
  <c r="A13" i="10" s="1"/>
  <c r="A14" i="10" s="1"/>
  <c r="A15" i="10" s="1"/>
  <c r="A16" i="10" s="1"/>
  <c r="A17" i="10" s="1"/>
  <c r="A18" i="10" s="1"/>
  <c r="A19" i="10" s="1"/>
  <c r="A20" i="10" s="1"/>
  <c r="A21" i="10" s="1"/>
  <c r="A22" i="10" s="1"/>
  <c r="A23" i="10" s="1"/>
  <c r="A24" i="10" s="1"/>
  <c r="A25" i="10" s="1"/>
  <c r="A26" i="10" s="1"/>
  <c r="E24" i="35" l="1"/>
  <c r="E22" i="35"/>
  <c r="E20" i="35"/>
  <c r="E18" i="35"/>
  <c r="F149" i="35"/>
  <c r="F138" i="35"/>
  <c r="F151" i="35" l="1"/>
  <c r="V38" i="42"/>
  <c r="T38" i="42"/>
  <c r="G38" i="42"/>
  <c r="V26" i="42"/>
  <c r="T26" i="42"/>
  <c r="G26" i="42"/>
  <c r="V15" i="42"/>
  <c r="T15" i="42"/>
  <c r="G15" i="42"/>
  <c r="V9" i="42"/>
  <c r="G9" i="42"/>
  <c r="T9" i="42"/>
  <c r="H26" i="42" l="1"/>
  <c r="J38" i="42"/>
  <c r="H38" i="42"/>
  <c r="H15" i="42"/>
  <c r="H9" i="42"/>
  <c r="K9" i="42"/>
  <c r="Q9" i="42" l="1"/>
  <c r="K38" i="42"/>
  <c r="Q38" i="42"/>
  <c r="W38" i="42"/>
  <c r="X38" i="42" s="1"/>
  <c r="Q26" i="42"/>
  <c r="K26" i="42"/>
  <c r="R26" i="42" s="1"/>
  <c r="W26" i="42"/>
  <c r="X26" i="42" s="1"/>
  <c r="K15" i="42"/>
  <c r="Q15" i="42"/>
  <c r="W9" i="42"/>
  <c r="X9" i="42" s="1"/>
  <c r="S9" i="42" l="1"/>
  <c r="S38" i="42"/>
  <c r="W15" i="42"/>
  <c r="X15" i="42" s="1"/>
  <c r="S15" i="42" l="1"/>
  <c r="S26" i="42"/>
  <c r="V10" i="42"/>
  <c r="V11" i="42"/>
  <c r="V12" i="42"/>
  <c r="V13" i="42"/>
  <c r="V14" i="42"/>
  <c r="V16" i="42"/>
  <c r="V17" i="42"/>
  <c r="V18" i="42"/>
  <c r="V19" i="42"/>
  <c r="V20" i="42"/>
  <c r="V21" i="42"/>
  <c r="V22" i="42"/>
  <c r="V23" i="42"/>
  <c r="V24" i="42"/>
  <c r="V27" i="42"/>
  <c r="V28" i="42"/>
  <c r="V29" i="42"/>
  <c r="V30" i="42"/>
  <c r="V31" i="42"/>
  <c r="V32" i="42"/>
  <c r="V33" i="42"/>
  <c r="V34" i="42"/>
  <c r="V35" i="42"/>
  <c r="V36" i="42"/>
  <c r="V37" i="42"/>
  <c r="V39" i="42"/>
  <c r="V41" i="42"/>
  <c r="V42" i="42"/>
  <c r="V43" i="42"/>
  <c r="V44" i="42"/>
  <c r="V45" i="42"/>
  <c r="V46" i="42"/>
  <c r="V47" i="42"/>
  <c r="V48" i="42"/>
  <c r="V49" i="42"/>
  <c r="V50" i="42"/>
  <c r="V51" i="42"/>
  <c r="V52" i="42"/>
  <c r="V53" i="42"/>
  <c r="V54" i="42"/>
  <c r="V55" i="42"/>
  <c r="V56" i="42"/>
  <c r="V57" i="42"/>
  <c r="V58" i="42"/>
  <c r="V59" i="42"/>
  <c r="V60" i="42"/>
  <c r="V61" i="42"/>
  <c r="V62" i="42"/>
  <c r="V63" i="42"/>
  <c r="V65" i="42"/>
  <c r="V66" i="42"/>
  <c r="V67" i="42"/>
  <c r="V68" i="42"/>
  <c r="V69" i="42"/>
  <c r="V70" i="42"/>
  <c r="V71" i="42"/>
  <c r="V72" i="42"/>
  <c r="V73" i="42"/>
  <c r="V74" i="42"/>
  <c r="V76" i="42"/>
  <c r="V77" i="42"/>
  <c r="V78" i="42"/>
  <c r="V79" i="42"/>
  <c r="V80" i="42"/>
  <c r="V81" i="42"/>
  <c r="V82" i="42"/>
  <c r="V83" i="42"/>
  <c r="V84" i="42"/>
  <c r="V85" i="42"/>
  <c r="V86" i="42"/>
  <c r="V87" i="42"/>
  <c r="V88" i="42"/>
  <c r="V89" i="42"/>
  <c r="V8" i="42"/>
  <c r="G74" i="42"/>
  <c r="E74" i="42"/>
  <c r="T74" i="42" l="1"/>
  <c r="K74" i="42"/>
  <c r="Q74" i="42"/>
  <c r="H74" i="42"/>
  <c r="W74" i="42"/>
  <c r="X74" i="42" s="1"/>
  <c r="S74" i="42" l="1"/>
  <c r="A8" i="30" l="1"/>
  <c r="A11" i="30" s="1"/>
  <c r="A12" i="30" s="1"/>
  <c r="A13" i="30" s="1"/>
  <c r="A14" i="30" s="1"/>
  <c r="A15" i="30" s="1"/>
  <c r="E66" i="7" l="1"/>
  <c r="L66" i="7" l="1"/>
  <c r="A6" i="48" l="1"/>
  <c r="A7" i="48" s="1"/>
  <c r="A8" i="48" s="1"/>
  <c r="A9" i="48" s="1"/>
  <c r="A10" i="48" s="1"/>
  <c r="A11" i="48" s="1"/>
  <c r="A12" i="48" s="1"/>
  <c r="A13" i="48" s="1"/>
  <c r="A14" i="48" s="1"/>
  <c r="A15" i="48" s="1"/>
  <c r="A16" i="48" s="1"/>
  <c r="A17" i="48" s="1"/>
  <c r="A18" i="48" s="1"/>
  <c r="A19" i="48" s="1"/>
  <c r="A20" i="48" s="1"/>
  <c r="D14" i="48"/>
  <c r="D16" i="48" s="1"/>
  <c r="D19" i="48" s="1"/>
  <c r="D9" i="48"/>
  <c r="D18" i="48" s="1"/>
  <c r="D20" i="48" l="1"/>
  <c r="F26" i="3" s="1"/>
  <c r="J66" i="7" l="1"/>
  <c r="H66" i="7"/>
  <c r="I66" i="7"/>
  <c r="H20" i="43" l="1"/>
  <c r="H19" i="43"/>
  <c r="H18" i="43"/>
  <c r="H17" i="43"/>
  <c r="H16" i="43"/>
  <c r="H15" i="43"/>
  <c r="H14" i="43"/>
  <c r="H13" i="43"/>
  <c r="H12" i="43"/>
  <c r="H11" i="43"/>
  <c r="H21" i="43" l="1"/>
  <c r="G20" i="43"/>
  <c r="I20" i="43" s="1"/>
  <c r="E13" i="1" l="1"/>
  <c r="G525" i="47"/>
  <c r="G524" i="47"/>
  <c r="G530" i="47" s="1"/>
  <c r="G523" i="47"/>
  <c r="G522" i="47"/>
  <c r="G527" i="47" l="1"/>
  <c r="A13" i="6" l="1"/>
  <c r="K24" i="6"/>
  <c r="K11" i="6"/>
  <c r="K15" i="6"/>
  <c r="K18" i="6"/>
  <c r="K22" i="6"/>
  <c r="A14" i="6" l="1"/>
  <c r="E87" i="42"/>
  <c r="A15" i="6" l="1"/>
  <c r="A17" i="6" s="1"/>
  <c r="A18" i="6" s="1"/>
  <c r="A16" i="6"/>
  <c r="A20" i="6"/>
  <c r="A22" i="6" s="1"/>
  <c r="A23" i="6" s="1"/>
  <c r="A29" i="6" s="1"/>
  <c r="A30" i="6" s="1"/>
  <c r="A31" i="6" s="1"/>
  <c r="A32" i="6" s="1"/>
  <c r="A33" i="6" s="1"/>
  <c r="E81" i="42"/>
  <c r="E79" i="42"/>
  <c r="A21" i="6" l="1"/>
  <c r="A19" i="6"/>
  <c r="T76" i="42"/>
  <c r="G76" i="14" s="1"/>
  <c r="K76" i="42"/>
  <c r="G76" i="42"/>
  <c r="H76" i="42" l="1"/>
  <c r="Q76" i="42" l="1"/>
  <c r="W76" i="42"/>
  <c r="X76" i="42" s="1"/>
  <c r="R76" i="42" l="1"/>
  <c r="F76" i="14" s="1"/>
  <c r="G19" i="43"/>
  <c r="I19" i="43" s="1"/>
  <c r="G18" i="43"/>
  <c r="I18" i="43" s="1"/>
  <c r="G17" i="43"/>
  <c r="I17" i="43" s="1"/>
  <c r="G16" i="43"/>
  <c r="I16" i="43" s="1"/>
  <c r="G15" i="43"/>
  <c r="I15" i="43" s="1"/>
  <c r="G12" i="43"/>
  <c r="I12" i="43" s="1"/>
  <c r="G11" i="43"/>
  <c r="I11" i="43" s="1"/>
  <c r="G13" i="43"/>
  <c r="I13" i="43" s="1"/>
  <c r="G14" i="43"/>
  <c r="I14" i="43" s="1"/>
  <c r="F21" i="43"/>
  <c r="E52" i="43"/>
  <c r="F28" i="43"/>
  <c r="S76" i="42" l="1"/>
  <c r="G21" i="43"/>
  <c r="T79" i="42"/>
  <c r="K79" i="42"/>
  <c r="G79" i="42"/>
  <c r="E65" i="42"/>
  <c r="E66" i="42"/>
  <c r="Q79" i="42" l="1"/>
  <c r="R79" i="42" s="1"/>
  <c r="H79" i="42"/>
  <c r="W79" i="42"/>
  <c r="X79" i="42" s="1"/>
  <c r="T72" i="42" l="1"/>
  <c r="T73" i="42"/>
  <c r="K72" i="42"/>
  <c r="K73" i="42"/>
  <c r="G73" i="42"/>
  <c r="G72" i="42"/>
  <c r="F31" i="7"/>
  <c r="F32" i="7"/>
  <c r="F33" i="7"/>
  <c r="F34" i="7"/>
  <c r="F35" i="7"/>
  <c r="F36" i="7"/>
  <c r="F37" i="7"/>
  <c r="F38" i="7"/>
  <c r="F39" i="7"/>
  <c r="F40" i="7"/>
  <c r="F41" i="7"/>
  <c r="F42" i="7"/>
  <c r="F48" i="2"/>
  <c r="F49" i="2"/>
  <c r="F50" i="2"/>
  <c r="F68" i="2"/>
  <c r="E10" i="42"/>
  <c r="E8" i="42"/>
  <c r="E8" i="14" s="1"/>
  <c r="T84" i="42"/>
  <c r="G84" i="42"/>
  <c r="E85" i="42"/>
  <c r="E70" i="42"/>
  <c r="S79" i="42" l="1"/>
  <c r="H84" i="42"/>
  <c r="Q73" i="42"/>
  <c r="Q72" i="42"/>
  <c r="H72" i="42"/>
  <c r="W72" i="42"/>
  <c r="X72" i="42" s="1"/>
  <c r="H73" i="42"/>
  <c r="J84" i="42"/>
  <c r="A7" i="47"/>
  <c r="A8" i="47" s="1"/>
  <c r="A9" i="47" s="1"/>
  <c r="A10" i="47" s="1"/>
  <c r="A11" i="47" s="1"/>
  <c r="A12" i="47" s="1"/>
  <c r="A13" i="47" s="1"/>
  <c r="A14" i="47" s="1"/>
  <c r="A15" i="47" s="1"/>
  <c r="A16" i="47" s="1"/>
  <c r="A17" i="47" s="1"/>
  <c r="E71" i="42"/>
  <c r="W73" i="42" l="1"/>
  <c r="X73" i="42" s="1"/>
  <c r="A18" i="47"/>
  <c r="A19" i="47" s="1"/>
  <c r="A20" i="47" s="1"/>
  <c r="A21" i="47" s="1"/>
  <c r="A22" i="47" s="1"/>
  <c r="A23" i="47" s="1"/>
  <c r="A24" i="47" s="1"/>
  <c r="A25" i="47" s="1"/>
  <c r="A26" i="47" s="1"/>
  <c r="A27" i="47" s="1"/>
  <c r="A28" i="47" s="1"/>
  <c r="A29" i="47" s="1"/>
  <c r="A30" i="47" s="1"/>
  <c r="A31" i="47" s="1"/>
  <c r="A32" i="47" s="1"/>
  <c r="A33" i="47" s="1"/>
  <c r="A34" i="47" s="1"/>
  <c r="A35" i="47" s="1"/>
  <c r="A36" i="47" s="1"/>
  <c r="A37" i="47" s="1"/>
  <c r="A38" i="47" s="1"/>
  <c r="A39" i="47" s="1"/>
  <c r="A40" i="47" s="1"/>
  <c r="A41" i="47" s="1"/>
  <c r="A42" i="47" s="1"/>
  <c r="A43" i="47" s="1"/>
  <c r="A44" i="47" s="1"/>
  <c r="A45" i="47" s="1"/>
  <c r="A46" i="47" s="1"/>
  <c r="A47" i="47" s="1"/>
  <c r="A48" i="47" s="1"/>
  <c r="A49" i="47" s="1"/>
  <c r="A50" i="47" s="1"/>
  <c r="A51" i="47" s="1"/>
  <c r="A52" i="47" s="1"/>
  <c r="A53" i="47" s="1"/>
  <c r="A54" i="47" s="1"/>
  <c r="A55" i="47" s="1"/>
  <c r="A56" i="47" s="1"/>
  <c r="A57" i="47" s="1"/>
  <c r="A58" i="47" s="1"/>
  <c r="A59" i="47" s="1"/>
  <c r="A60" i="47" s="1"/>
  <c r="A61" i="47" s="1"/>
  <c r="A62" i="47" s="1"/>
  <c r="A63" i="47" s="1"/>
  <c r="A64" i="47" s="1"/>
  <c r="A65" i="47" s="1"/>
  <c r="A66" i="47" s="1"/>
  <c r="A67" i="47" s="1"/>
  <c r="A68" i="47" s="1"/>
  <c r="A69" i="47" s="1"/>
  <c r="A70" i="47" s="1"/>
  <c r="A71" i="47" s="1"/>
  <c r="A72" i="47" s="1"/>
  <c r="A73" i="47" s="1"/>
  <c r="A74" i="47" s="1"/>
  <c r="A75" i="47" s="1"/>
  <c r="A76" i="47" s="1"/>
  <c r="A77" i="47" s="1"/>
  <c r="A78" i="47" s="1"/>
  <c r="A79" i="47" s="1"/>
  <c r="A80" i="47" s="1"/>
  <c r="A81" i="47" s="1"/>
  <c r="A82" i="47" s="1"/>
  <c r="A83" i="47" s="1"/>
  <c r="A84" i="47" s="1"/>
  <c r="A85" i="47" s="1"/>
  <c r="A86" i="47" s="1"/>
  <c r="A87" i="47" s="1"/>
  <c r="A88" i="47" s="1"/>
  <c r="A89" i="47" s="1"/>
  <c r="A90" i="47" s="1"/>
  <c r="A91" i="47" s="1"/>
  <c r="A92" i="47" s="1"/>
  <c r="A93" i="47" s="1"/>
  <c r="A94" i="47" s="1"/>
  <c r="A95" i="47" s="1"/>
  <c r="A96" i="47" s="1"/>
  <c r="A97" i="47" s="1"/>
  <c r="A98" i="47" s="1"/>
  <c r="A99" i="47" s="1"/>
  <c r="A100" i="47" s="1"/>
  <c r="A101" i="47" s="1"/>
  <c r="A102" i="47" s="1"/>
  <c r="A103" i="47" s="1"/>
  <c r="A104" i="47" s="1"/>
  <c r="A105" i="47" s="1"/>
  <c r="A106" i="47" s="1"/>
  <c r="A107" i="47" s="1"/>
  <c r="A108" i="47" s="1"/>
  <c r="A109" i="47" s="1"/>
  <c r="A110" i="47" s="1"/>
  <c r="A111" i="47" s="1"/>
  <c r="A112" i="47" s="1"/>
  <c r="A113" i="47" s="1"/>
  <c r="A114" i="47" s="1"/>
  <c r="A115" i="47" s="1"/>
  <c r="A116" i="47" s="1"/>
  <c r="A117" i="47" s="1"/>
  <c r="A118" i="47" s="1"/>
  <c r="A119" i="47" s="1"/>
  <c r="A120" i="47" s="1"/>
  <c r="A121" i="47" s="1"/>
  <c r="A122" i="47" s="1"/>
  <c r="A123" i="47" s="1"/>
  <c r="A124" i="47" s="1"/>
  <c r="A125" i="47" s="1"/>
  <c r="A126" i="47" s="1"/>
  <c r="A127" i="47" s="1"/>
  <c r="A128" i="47" s="1"/>
  <c r="A129" i="47" s="1"/>
  <c r="A130" i="47" s="1"/>
  <c r="A131" i="47" s="1"/>
  <c r="A132" i="47" s="1"/>
  <c r="A133" i="47" s="1"/>
  <c r="A134" i="47" s="1"/>
  <c r="A135" i="47" s="1"/>
  <c r="A136" i="47" s="1"/>
  <c r="A137" i="47" s="1"/>
  <c r="A138" i="47" s="1"/>
  <c r="A139" i="47" s="1"/>
  <c r="A140" i="47" s="1"/>
  <c r="A141" i="47" s="1"/>
  <c r="A142" i="47" s="1"/>
  <c r="A143" i="47" s="1"/>
  <c r="A144" i="47" s="1"/>
  <c r="A145" i="47" s="1"/>
  <c r="A146" i="47" s="1"/>
  <c r="A147" i="47" s="1"/>
  <c r="A148" i="47" s="1"/>
  <c r="A149" i="47" s="1"/>
  <c r="A150" i="47" s="1"/>
  <c r="A151" i="47" s="1"/>
  <c r="A152" i="47" s="1"/>
  <c r="A153" i="47" s="1"/>
  <c r="A154" i="47" s="1"/>
  <c r="A155" i="47" s="1"/>
  <c r="A156" i="47" s="1"/>
  <c r="A157" i="47" s="1"/>
  <c r="A158" i="47" s="1"/>
  <c r="A159" i="47" s="1"/>
  <c r="A160" i="47" s="1"/>
  <c r="A161" i="47" s="1"/>
  <c r="A162" i="47" s="1"/>
  <c r="A163" i="47" s="1"/>
  <c r="A164" i="47" s="1"/>
  <c r="A165" i="47" s="1"/>
  <c r="A166" i="47" s="1"/>
  <c r="A167" i="47" s="1"/>
  <c r="A168" i="47" s="1"/>
  <c r="A169" i="47" s="1"/>
  <c r="A170" i="47" s="1"/>
  <c r="A171" i="47" s="1"/>
  <c r="A172" i="47" s="1"/>
  <c r="A173" i="47" s="1"/>
  <c r="A174" i="47" s="1"/>
  <c r="A175" i="47" s="1"/>
  <c r="A176" i="47" s="1"/>
  <c r="A177" i="47" s="1"/>
  <c r="A178" i="47" s="1"/>
  <c r="A179" i="47" s="1"/>
  <c r="A180" i="47" s="1"/>
  <c r="A181" i="47" s="1"/>
  <c r="A182" i="47" s="1"/>
  <c r="A183" i="47" s="1"/>
  <c r="A184" i="47" s="1"/>
  <c r="A185" i="47" s="1"/>
  <c r="A186" i="47" s="1"/>
  <c r="A187" i="47" s="1"/>
  <c r="A188" i="47" s="1"/>
  <c r="A189" i="47" s="1"/>
  <c r="A190" i="47" s="1"/>
  <c r="A191" i="47" s="1"/>
  <c r="A192" i="47" s="1"/>
  <c r="A193" i="47" s="1"/>
  <c r="A194" i="47" s="1"/>
  <c r="A195" i="47" s="1"/>
  <c r="A196" i="47" s="1"/>
  <c r="A197" i="47" s="1"/>
  <c r="A198" i="47" s="1"/>
  <c r="A199" i="47" s="1"/>
  <c r="A200" i="47" s="1"/>
  <c r="A201" i="47" s="1"/>
  <c r="A202" i="47" s="1"/>
  <c r="A203" i="47" s="1"/>
  <c r="A204" i="47" s="1"/>
  <c r="A205" i="47" s="1"/>
  <c r="A206" i="47" s="1"/>
  <c r="A207" i="47" s="1"/>
  <c r="A208" i="47" s="1"/>
  <c r="A209" i="47" s="1"/>
  <c r="A210" i="47" s="1"/>
  <c r="A211" i="47" s="1"/>
  <c r="A212" i="47" s="1"/>
  <c r="A213" i="47" s="1"/>
  <c r="A214" i="47" s="1"/>
  <c r="A215" i="47" s="1"/>
  <c r="A216" i="47" s="1"/>
  <c r="A217" i="47" s="1"/>
  <c r="Q84" i="42"/>
  <c r="R84" i="42" s="1"/>
  <c r="K84" i="42"/>
  <c r="W84" i="42"/>
  <c r="X84" i="42" s="1"/>
  <c r="S73" i="42" l="1"/>
  <c r="S72" i="42"/>
  <c r="A218" i="47"/>
  <c r="A219" i="47" s="1"/>
  <c r="A220" i="47" s="1"/>
  <c r="A221" i="47" s="1"/>
  <c r="A222" i="47" s="1"/>
  <c r="A223" i="47" s="1"/>
  <c r="A224" i="47" s="1"/>
  <c r="A225" i="47" s="1"/>
  <c r="A226" i="47" s="1"/>
  <c r="A227" i="47" s="1"/>
  <c r="A228" i="47" s="1"/>
  <c r="A229" i="47" s="1"/>
  <c r="A230" i="47" s="1"/>
  <c r="A231" i="47" s="1"/>
  <c r="S84" i="42" l="1"/>
  <c r="A232" i="47"/>
  <c r="A233" i="47" s="1"/>
  <c r="A234" i="47" s="1"/>
  <c r="A235" i="47" s="1"/>
  <c r="A236" i="47" s="1"/>
  <c r="T83" i="42"/>
  <c r="G83" i="42"/>
  <c r="E14" i="16"/>
  <c r="E15" i="16"/>
  <c r="G14" i="16"/>
  <c r="G15" i="16"/>
  <c r="I16" i="45"/>
  <c r="I15" i="45"/>
  <c r="M15" i="45" l="1"/>
  <c r="V16" i="45"/>
  <c r="J16" i="45"/>
  <c r="J15" i="45"/>
  <c r="H83" i="42"/>
  <c r="J83" i="42"/>
  <c r="A237" i="47"/>
  <c r="A238" i="47" s="1"/>
  <c r="A239" i="47" s="1"/>
  <c r="A240" i="47" s="1"/>
  <c r="A241" i="47" s="1"/>
  <c r="A242" i="47" s="1"/>
  <c r="A243" i="47" s="1"/>
  <c r="A244" i="47" s="1"/>
  <c r="A245" i="47" s="1"/>
  <c r="A246" i="47" s="1"/>
  <c r="A247" i="47" s="1"/>
  <c r="A248" i="47" s="1"/>
  <c r="A249" i="47" s="1"/>
  <c r="A250" i="47" s="1"/>
  <c r="A251" i="47" s="1"/>
  <c r="V15" i="45" l="1"/>
  <c r="M16" i="45"/>
  <c r="R15" i="45"/>
  <c r="F14" i="16"/>
  <c r="K83" i="42"/>
  <c r="W83" i="42"/>
  <c r="X83" i="42" s="1"/>
  <c r="A252" i="47"/>
  <c r="A253" i="47" s="1"/>
  <c r="A254" i="47" s="1"/>
  <c r="A255" i="47" s="1"/>
  <c r="A256" i="47" s="1"/>
  <c r="A257" i="47" s="1"/>
  <c r="A258" i="47" s="1"/>
  <c r="A259" i="47" s="1"/>
  <c r="F15" i="16" l="1"/>
  <c r="R16" i="45"/>
  <c r="Q83" i="42"/>
  <c r="A260" i="47"/>
  <c r="A261" i="47" s="1"/>
  <c r="A262" i="47" s="1"/>
  <c r="A263" i="47" s="1"/>
  <c r="A264" i="47" s="1"/>
  <c r="A265" i="47" s="1"/>
  <c r="A266" i="47" s="1"/>
  <c r="A267" i="47" s="1"/>
  <c r="A268" i="47" s="1"/>
  <c r="I14" i="45"/>
  <c r="I13" i="45"/>
  <c r="I12" i="45"/>
  <c r="I11" i="45"/>
  <c r="I10" i="45"/>
  <c r="I9" i="45"/>
  <c r="T58" i="42"/>
  <c r="T59" i="42"/>
  <c r="T60" i="42"/>
  <c r="T61" i="42"/>
  <c r="T66" i="42"/>
  <c r="T67" i="42"/>
  <c r="T68" i="42"/>
  <c r="T69" i="42"/>
  <c r="T70" i="42"/>
  <c r="T71" i="42"/>
  <c r="T78" i="42"/>
  <c r="T80" i="42"/>
  <c r="T87" i="42"/>
  <c r="T88" i="42"/>
  <c r="T89" i="42"/>
  <c r="T85" i="42"/>
  <c r="T86" i="42"/>
  <c r="T81" i="42"/>
  <c r="T82" i="42"/>
  <c r="T16" i="42"/>
  <c r="T17" i="42"/>
  <c r="T18" i="42"/>
  <c r="T19" i="42"/>
  <c r="T20" i="42"/>
  <c r="T21" i="42"/>
  <c r="T22" i="42"/>
  <c r="T23" i="42"/>
  <c r="T24" i="42"/>
  <c r="T27" i="42"/>
  <c r="T28" i="42"/>
  <c r="T29" i="42"/>
  <c r="T30" i="42"/>
  <c r="T31" i="42"/>
  <c r="T32" i="42"/>
  <c r="T33" i="42"/>
  <c r="T34" i="42"/>
  <c r="T35" i="42"/>
  <c r="T36" i="42"/>
  <c r="T37" i="42"/>
  <c r="T39" i="42"/>
  <c r="T41" i="42"/>
  <c r="T42" i="42"/>
  <c r="T43" i="42"/>
  <c r="T44" i="42"/>
  <c r="T45" i="42"/>
  <c r="T46" i="42"/>
  <c r="T47" i="42"/>
  <c r="T48" i="42"/>
  <c r="T49" i="42"/>
  <c r="T50" i="42"/>
  <c r="T51" i="42"/>
  <c r="T52" i="42"/>
  <c r="T53" i="42"/>
  <c r="T54" i="42"/>
  <c r="T55" i="42"/>
  <c r="T56" i="42"/>
  <c r="T57" i="42"/>
  <c r="T14" i="42"/>
  <c r="T12" i="42"/>
  <c r="T13" i="42"/>
  <c r="T10" i="42"/>
  <c r="T11" i="42"/>
  <c r="T8" i="42"/>
  <c r="G8" i="14" s="1"/>
  <c r="A8" i="38"/>
  <c r="A9" i="38" s="1"/>
  <c r="A10" i="38" s="1"/>
  <c r="A11" i="38" s="1"/>
  <c r="A12" i="38" s="1"/>
  <c r="A13" i="38" s="1"/>
  <c r="A14" i="38" s="1"/>
  <c r="R83" i="42" l="1"/>
  <c r="S83" i="42" s="1"/>
  <c r="A15" i="38"/>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A38" i="38" s="1"/>
  <c r="A39" i="38" s="1"/>
  <c r="A40" i="38" s="1"/>
  <c r="A41" i="38" s="1"/>
  <c r="A42" i="38" s="1"/>
  <c r="A43" i="38" s="1"/>
  <c r="A44" i="38" s="1"/>
  <c r="A45" i="38" s="1"/>
  <c r="A46" i="38" s="1"/>
  <c r="A47" i="38" s="1"/>
  <c r="A269" i="47"/>
  <c r="A270" i="47" s="1"/>
  <c r="A271" i="47" s="1"/>
  <c r="A272" i="47" s="1"/>
  <c r="A273" i="47" s="1"/>
  <c r="A274" i="47" s="1"/>
  <c r="A275" i="47" s="1"/>
  <c r="A276" i="47" s="1"/>
  <c r="A277" i="47" s="1"/>
  <c r="G14" i="42"/>
  <c r="A278" i="47" l="1"/>
  <c r="A279" i="47" s="1"/>
  <c r="A280" i="47" s="1"/>
  <c r="A281" i="47" s="1"/>
  <c r="A282" i="47" s="1"/>
  <c r="A283" i="47" s="1"/>
  <c r="A284" i="47" s="1"/>
  <c r="A285" i="47" s="1"/>
  <c r="A286" i="47" s="1"/>
  <c r="A287" i="47" s="1"/>
  <c r="A288" i="47" s="1"/>
  <c r="A289" i="47" s="1"/>
  <c r="A290" i="47" s="1"/>
  <c r="A291" i="47" s="1"/>
  <c r="A292" i="47" s="1"/>
  <c r="A293" i="47" s="1"/>
  <c r="A294" i="47" s="1"/>
  <c r="A295" i="47" s="1"/>
  <c r="A296" i="47" s="1"/>
  <c r="A297" i="47" s="1"/>
  <c r="A298" i="47" s="1"/>
  <c r="A299" i="47" s="1"/>
  <c r="A300" i="47" s="1"/>
  <c r="A301" i="47" s="1"/>
  <c r="A302" i="47" s="1"/>
  <c r="A303" i="47" s="1"/>
  <c r="A304" i="47" s="1"/>
  <c r="A305" i="47" s="1"/>
  <c r="A306" i="47" s="1"/>
  <c r="A307" i="47" s="1"/>
  <c r="A308" i="47" s="1"/>
  <c r="A309" i="47" s="1"/>
  <c r="A310" i="47" s="1"/>
  <c r="A311" i="47" s="1"/>
  <c r="A312" i="47" s="1"/>
  <c r="A313" i="47" s="1"/>
  <c r="A314" i="47" s="1"/>
  <c r="A315" i="47" s="1"/>
  <c r="A316" i="47" s="1"/>
  <c r="A317" i="47" s="1"/>
  <c r="A318" i="47" s="1"/>
  <c r="A319" i="47" s="1"/>
  <c r="A320" i="47" s="1"/>
  <c r="A321" i="47" s="1"/>
  <c r="A322" i="47" s="1"/>
  <c r="A323" i="47" s="1"/>
  <c r="A324" i="47" s="1"/>
  <c r="A325" i="47" s="1"/>
  <c r="A326" i="47" s="1"/>
  <c r="A327" i="47" s="1"/>
  <c r="A328" i="47" s="1"/>
  <c r="A329" i="47" s="1"/>
  <c r="A330" i="47" s="1"/>
  <c r="A331" i="47" s="1"/>
  <c r="A332" i="47" s="1"/>
  <c r="A333" i="47" s="1"/>
  <c r="A334" i="47" s="1"/>
  <c r="A335" i="47" s="1"/>
  <c r="A336" i="47" s="1"/>
  <c r="A337" i="47" s="1"/>
  <c r="A338" i="47" s="1"/>
  <c r="A339" i="47" s="1"/>
  <c r="A340" i="47" s="1"/>
  <c r="A341" i="47" s="1"/>
  <c r="A342" i="47" s="1"/>
  <c r="A343" i="47" s="1"/>
  <c r="A344" i="47" s="1"/>
  <c r="A345" i="47" s="1"/>
  <c r="A346" i="47" s="1"/>
  <c r="A347" i="47" s="1"/>
  <c r="A348" i="47" s="1"/>
  <c r="A349" i="47" s="1"/>
  <c r="A350" i="47" s="1"/>
  <c r="A351" i="47" s="1"/>
  <c r="A352" i="47" s="1"/>
  <c r="A353" i="47" s="1"/>
  <c r="A354" i="47" s="1"/>
  <c r="A355" i="47" s="1"/>
  <c r="A356" i="47" s="1"/>
  <c r="A357" i="47" s="1"/>
  <c r="A358" i="47" s="1"/>
  <c r="A359" i="47" s="1"/>
  <c r="A360" i="47" s="1"/>
  <c r="A361" i="47" s="1"/>
  <c r="A362" i="47" s="1"/>
  <c r="A363" i="47" s="1"/>
  <c r="A364" i="47" s="1"/>
  <c r="A365" i="47" s="1"/>
  <c r="A366" i="47" s="1"/>
  <c r="A367" i="47" s="1"/>
  <c r="A368" i="47" s="1"/>
  <c r="A369" i="47" s="1"/>
  <c r="A370" i="47" s="1"/>
  <c r="A371" i="47" s="1"/>
  <c r="A372" i="47" s="1"/>
  <c r="A373" i="47" s="1"/>
  <c r="A374" i="47" s="1"/>
  <c r="A375" i="47" s="1"/>
  <c r="A376" i="47" s="1"/>
  <c r="A377" i="47" s="1"/>
  <c r="A378" i="47" s="1"/>
  <c r="A379" i="47" s="1"/>
  <c r="A380" i="47" s="1"/>
  <c r="A381" i="47" s="1"/>
  <c r="A382" i="47" s="1"/>
  <c r="A383" i="47" s="1"/>
  <c r="A384" i="47" s="1"/>
  <c r="A385" i="47" s="1"/>
  <c r="A386" i="47" s="1"/>
  <c r="A387" i="47" s="1"/>
  <c r="A388" i="47" s="1"/>
  <c r="A389" i="47" s="1"/>
  <c r="A390" i="47" s="1"/>
  <c r="A391" i="47" s="1"/>
  <c r="A392" i="47" s="1"/>
  <c r="A393" i="47" s="1"/>
  <c r="A394" i="47" s="1"/>
  <c r="A395" i="47" s="1"/>
  <c r="A396" i="47" s="1"/>
  <c r="A397" i="47" s="1"/>
  <c r="A398" i="47" s="1"/>
  <c r="A399" i="47" s="1"/>
  <c r="A400" i="47" s="1"/>
  <c r="A401" i="47" s="1"/>
  <c r="A402" i="47" s="1"/>
  <c r="A403" i="47" s="1"/>
  <c r="A404" i="47" s="1"/>
  <c r="A405" i="47" s="1"/>
  <c r="A406" i="47" s="1"/>
  <c r="A407" i="47" s="1"/>
  <c r="A408" i="47" s="1"/>
  <c r="A409" i="47" s="1"/>
  <c r="A410" i="47" s="1"/>
  <c r="A411" i="47" s="1"/>
  <c r="A412" i="47" s="1"/>
  <c r="A413" i="47" s="1"/>
  <c r="A414" i="47" s="1"/>
  <c r="A415" i="47" s="1"/>
  <c r="A416" i="47" s="1"/>
  <c r="A417" i="47" s="1"/>
  <c r="A418" i="47" s="1"/>
  <c r="A419" i="47" s="1"/>
  <c r="A420" i="47" s="1"/>
  <c r="A421" i="47" s="1"/>
  <c r="A422" i="47" s="1"/>
  <c r="A423" i="47" s="1"/>
  <c r="A424" i="47" s="1"/>
  <c r="A425" i="47" s="1"/>
  <c r="A426" i="47" s="1"/>
  <c r="A427" i="47" s="1"/>
  <c r="A428" i="47" s="1"/>
  <c r="A429" i="47" s="1"/>
  <c r="A430" i="47" s="1"/>
  <c r="A431" i="47" s="1"/>
  <c r="A432" i="47" s="1"/>
  <c r="A433" i="47" s="1"/>
  <c r="A434" i="47" s="1"/>
  <c r="A435" i="47" s="1"/>
  <c r="A436" i="47" s="1"/>
  <c r="A437" i="47" s="1"/>
  <c r="A438" i="47" s="1"/>
  <c r="A439" i="47" s="1"/>
  <c r="A440" i="47" s="1"/>
  <c r="A441" i="47" s="1"/>
  <c r="A442" i="47" s="1"/>
  <c r="A443" i="47" s="1"/>
  <c r="A444" i="47" s="1"/>
  <c r="A445" i="47" s="1"/>
  <c r="A446" i="47" s="1"/>
  <c r="A447" i="47" s="1"/>
  <c r="A448" i="47" s="1"/>
  <c r="A449" i="47" s="1"/>
  <c r="A450" i="47" s="1"/>
  <c r="A451" i="47" s="1"/>
  <c r="A452" i="47" s="1"/>
  <c r="A453" i="47" s="1"/>
  <c r="A454" i="47" s="1"/>
  <c r="A455" i="47" s="1"/>
  <c r="A456" i="47" s="1"/>
  <c r="A457" i="47" s="1"/>
  <c r="A458" i="47" s="1"/>
  <c r="A459" i="47" s="1"/>
  <c r="A460" i="47" s="1"/>
  <c r="A461" i="47" s="1"/>
  <c r="A462" i="47" s="1"/>
  <c r="A463" i="47" s="1"/>
  <c r="A464" i="47" s="1"/>
  <c r="A465" i="47" s="1"/>
  <c r="A466" i="47" s="1"/>
  <c r="A467" i="47" s="1"/>
  <c r="A468" i="47" s="1"/>
  <c r="A469" i="47" s="1"/>
  <c r="A470" i="47" s="1"/>
  <c r="A471" i="47" s="1"/>
  <c r="A472" i="47" s="1"/>
  <c r="A473" i="47" s="1"/>
  <c r="A474" i="47" s="1"/>
  <c r="A475" i="47" s="1"/>
  <c r="A476" i="47" s="1"/>
  <c r="A477" i="47" s="1"/>
  <c r="A478" i="47" s="1"/>
  <c r="A479" i="47" s="1"/>
  <c r="A480" i="47" s="1"/>
  <c r="A481" i="47" s="1"/>
  <c r="A482" i="47" s="1"/>
  <c r="A483" i="47" s="1"/>
  <c r="A484" i="47" s="1"/>
  <c r="A485" i="47" s="1"/>
  <c r="A486" i="47" s="1"/>
  <c r="A487" i="47" s="1"/>
  <c r="A488" i="47" s="1"/>
  <c r="A489" i="47" s="1"/>
  <c r="A490" i="47" s="1"/>
  <c r="A491" i="47" s="1"/>
  <c r="A492" i="47" s="1"/>
  <c r="A493" i="47" s="1"/>
  <c r="A494" i="47" s="1"/>
  <c r="A495" i="47" s="1"/>
  <c r="A496" i="47" s="1"/>
  <c r="A497" i="47" s="1"/>
  <c r="A498" i="47" s="1"/>
  <c r="A499" i="47" s="1"/>
  <c r="A500" i="47" s="1"/>
  <c r="A501" i="47" s="1"/>
  <c r="A502" i="47" s="1"/>
  <c r="A503" i="47" s="1"/>
  <c r="A504" i="47" s="1"/>
  <c r="A505" i="47" s="1"/>
  <c r="A506" i="47" s="1"/>
  <c r="A507" i="47" s="1"/>
  <c r="A508" i="47" s="1"/>
  <c r="A509" i="47" s="1"/>
  <c r="A510" i="47" s="1"/>
  <c r="A511" i="47" s="1"/>
  <c r="A512" i="47" s="1"/>
  <c r="A513" i="47" s="1"/>
  <c r="A514" i="47" s="1"/>
  <c r="A515" i="47" s="1"/>
  <c r="A516" i="47" s="1"/>
  <c r="A517" i="47" s="1"/>
  <c r="H14" i="42"/>
  <c r="J14" i="42"/>
  <c r="T65" i="42"/>
  <c r="G89" i="42"/>
  <c r="G78" i="42"/>
  <c r="E77" i="42"/>
  <c r="E91" i="14" s="1"/>
  <c r="T77" i="42" l="1"/>
  <c r="J89" i="42"/>
  <c r="J78" i="42"/>
  <c r="K14" i="42"/>
  <c r="Q14" i="42"/>
  <c r="H89" i="42"/>
  <c r="H78" i="42"/>
  <c r="A536" i="47" l="1"/>
  <c r="A537" i="47" s="1"/>
  <c r="A538" i="47" s="1"/>
  <c r="Q89" i="42"/>
  <c r="R89" i="42" s="1"/>
  <c r="Q78" i="42"/>
  <c r="R78" i="42" s="1"/>
  <c r="K89" i="42"/>
  <c r="K78" i="42"/>
  <c r="W89" i="42"/>
  <c r="X89" i="42" s="1"/>
  <c r="W14" i="42"/>
  <c r="X14" i="42" s="1"/>
  <c r="W78" i="42" l="1"/>
  <c r="X78" i="42" s="1"/>
  <c r="S14" i="42"/>
  <c r="S89" i="42" l="1"/>
  <c r="S78" i="42"/>
  <c r="G21" i="42"/>
  <c r="J21" i="42" l="1"/>
  <c r="H21" i="42"/>
  <c r="Q21" i="42" l="1"/>
  <c r="K21" i="42"/>
  <c r="W21" i="42"/>
  <c r="X21" i="42" s="1"/>
  <c r="E9" i="16" l="1"/>
  <c r="E10" i="16"/>
  <c r="E11" i="16"/>
  <c r="E12" i="16"/>
  <c r="E13" i="16"/>
  <c r="E8" i="16"/>
  <c r="S21" i="42" l="1"/>
  <c r="E37" i="43"/>
  <c r="G71" i="42" l="1"/>
  <c r="J71" i="42" l="1"/>
  <c r="H71" i="42"/>
  <c r="Q71" i="42" l="1"/>
  <c r="K71" i="42"/>
  <c r="W71" i="42"/>
  <c r="X71" i="42" s="1"/>
  <c r="E11" i="35"/>
  <c r="E13" i="35"/>
  <c r="E9" i="35"/>
  <c r="F39" i="35"/>
  <c r="S71" i="42" l="1"/>
  <c r="A4" i="30" l="1"/>
  <c r="F32" i="19" l="1"/>
  <c r="K13" i="6" l="1"/>
  <c r="K14" i="6"/>
  <c r="K17" i="6"/>
  <c r="K20" i="6"/>
  <c r="K23" i="6"/>
  <c r="K25" i="6"/>
  <c r="K26" i="6"/>
  <c r="K27" i="6"/>
  <c r="K28" i="6"/>
  <c r="G31" i="6"/>
  <c r="E31" i="6"/>
  <c r="I31" i="6"/>
  <c r="K29" i="6"/>
  <c r="K33" i="6" l="1"/>
  <c r="B18" i="23"/>
  <c r="F33" i="19"/>
  <c r="E12" i="5" s="1"/>
  <c r="D33" i="19"/>
  <c r="E10" i="12"/>
  <c r="G34" i="10"/>
  <c r="F34" i="10"/>
  <c r="K34" i="10"/>
  <c r="I34" i="10"/>
  <c r="G27" i="10"/>
  <c r="F27" i="10"/>
  <c r="F38" i="10" s="1"/>
  <c r="J27" i="10"/>
  <c r="N27" i="10"/>
  <c r="K27" i="10"/>
  <c r="I27" i="10"/>
  <c r="I38" i="10" s="1"/>
  <c r="K38" i="10" l="1"/>
  <c r="E9" i="20"/>
  <c r="G38" i="10"/>
  <c r="E11" i="9" s="1"/>
  <c r="J34" i="10"/>
  <c r="J38" i="10" s="1"/>
  <c r="N34" i="10"/>
  <c r="N38" i="10" s="1"/>
  <c r="L34" i="10" l="1"/>
  <c r="O34" i="10" s="1"/>
  <c r="L27" i="10"/>
  <c r="L38" i="10" l="1"/>
  <c r="O38" i="10" s="1"/>
  <c r="H11" i="9" s="1"/>
  <c r="O27" i="10"/>
  <c r="G10" i="42" l="1"/>
  <c r="G11" i="42"/>
  <c r="G12" i="42"/>
  <c r="G13" i="42"/>
  <c r="G16" i="42"/>
  <c r="G17" i="42"/>
  <c r="G18" i="42"/>
  <c r="G19" i="42"/>
  <c r="G20" i="42"/>
  <c r="G22" i="42"/>
  <c r="G23" i="42"/>
  <c r="G24" i="42"/>
  <c r="G27" i="42"/>
  <c r="G28" i="42"/>
  <c r="G29" i="42"/>
  <c r="G30" i="42"/>
  <c r="G31" i="42"/>
  <c r="G32" i="42"/>
  <c r="G33" i="42"/>
  <c r="G34" i="42"/>
  <c r="G35" i="42"/>
  <c r="G36" i="42"/>
  <c r="G37" i="42"/>
  <c r="G39" i="42"/>
  <c r="G41" i="42"/>
  <c r="G42" i="42"/>
  <c r="G43" i="42"/>
  <c r="G44" i="42"/>
  <c r="G45" i="42"/>
  <c r="G46" i="42"/>
  <c r="G47" i="42"/>
  <c r="G48" i="42"/>
  <c r="G49" i="42"/>
  <c r="G50" i="42"/>
  <c r="G51" i="42"/>
  <c r="G52" i="42"/>
  <c r="G53" i="42"/>
  <c r="G54" i="42"/>
  <c r="G55" i="42"/>
  <c r="G56" i="42"/>
  <c r="G57" i="42"/>
  <c r="G58" i="42"/>
  <c r="G59" i="42"/>
  <c r="G60" i="42"/>
  <c r="G61" i="42"/>
  <c r="G62" i="42"/>
  <c r="G63" i="42"/>
  <c r="G65" i="42"/>
  <c r="G66" i="42"/>
  <c r="G67" i="42"/>
  <c r="G68" i="42"/>
  <c r="G69" i="42"/>
  <c r="G70" i="42"/>
  <c r="G77" i="42"/>
  <c r="G80" i="42"/>
  <c r="G87" i="42"/>
  <c r="G85" i="42"/>
  <c r="G88" i="42"/>
  <c r="G86" i="42"/>
  <c r="G81" i="42"/>
  <c r="G82" i="42"/>
  <c r="H56" i="42" l="1"/>
  <c r="J88" i="42"/>
  <c r="J87" i="42"/>
  <c r="J70" i="42"/>
  <c r="J63" i="42"/>
  <c r="J60" i="42"/>
  <c r="J57" i="42"/>
  <c r="J55" i="42"/>
  <c r="J51" i="42"/>
  <c r="J47" i="42"/>
  <c r="J43" i="42"/>
  <c r="J82" i="42"/>
  <c r="J86" i="42"/>
  <c r="J85" i="42"/>
  <c r="J80" i="42"/>
  <c r="J69" i="42"/>
  <c r="J67" i="42"/>
  <c r="J66" i="42"/>
  <c r="J62" i="42"/>
  <c r="J61" i="42"/>
  <c r="J58" i="42"/>
  <c r="J56" i="42"/>
  <c r="J54" i="42"/>
  <c r="J52" i="42"/>
  <c r="J50" i="42"/>
  <c r="J48" i="42"/>
  <c r="J46" i="42"/>
  <c r="J44" i="42"/>
  <c r="J42" i="42"/>
  <c r="J36" i="42"/>
  <c r="J34" i="42"/>
  <c r="J32" i="42"/>
  <c r="J30" i="42"/>
  <c r="J28" i="42"/>
  <c r="J23" i="42"/>
  <c r="J20" i="42"/>
  <c r="J18" i="42"/>
  <c r="J16" i="42"/>
  <c r="J12" i="42"/>
  <c r="J11" i="42"/>
  <c r="J10" i="42"/>
  <c r="J8" i="42"/>
  <c r="J81" i="42"/>
  <c r="J77" i="42"/>
  <c r="J68" i="42"/>
  <c r="J65" i="42"/>
  <c r="J59" i="42"/>
  <c r="J53" i="42"/>
  <c r="J49" i="42"/>
  <c r="J45" i="42"/>
  <c r="J41" i="42"/>
  <c r="J37" i="42"/>
  <c r="J35" i="42"/>
  <c r="J33" i="42"/>
  <c r="J31" i="42"/>
  <c r="J29" i="42"/>
  <c r="J27" i="42"/>
  <c r="J24" i="42"/>
  <c r="J22" i="42"/>
  <c r="J19" i="42"/>
  <c r="J17" i="42"/>
  <c r="J13" i="42"/>
  <c r="H22" i="42"/>
  <c r="K77" i="42"/>
  <c r="K52" i="42"/>
  <c r="K85" i="42"/>
  <c r="K57" i="42"/>
  <c r="K55" i="42"/>
  <c r="K51" i="42"/>
  <c r="K48" i="42"/>
  <c r="K39" i="42"/>
  <c r="K30" i="42"/>
  <c r="K28" i="42"/>
  <c r="K12" i="42"/>
  <c r="K37" i="42"/>
  <c r="H52" i="42"/>
  <c r="H47" i="42"/>
  <c r="H43" i="42"/>
  <c r="H37" i="42"/>
  <c r="H31" i="42"/>
  <c r="H57" i="42"/>
  <c r="H55" i="42"/>
  <c r="H53" i="42"/>
  <c r="H51" i="42"/>
  <c r="H50" i="42"/>
  <c r="H48" i="42"/>
  <c r="H46" i="42"/>
  <c r="H44" i="42"/>
  <c r="H42" i="42"/>
  <c r="H39" i="42"/>
  <c r="H36" i="42"/>
  <c r="H34" i="42"/>
  <c r="H32" i="42"/>
  <c r="H30" i="42"/>
  <c r="H28" i="42"/>
  <c r="H23" i="42"/>
  <c r="H20" i="42"/>
  <c r="H18" i="42"/>
  <c r="H16" i="42"/>
  <c r="H12" i="42"/>
  <c r="H11" i="42"/>
  <c r="H10" i="42"/>
  <c r="H54" i="42"/>
  <c r="H49" i="42"/>
  <c r="H45" i="42"/>
  <c r="H41" i="42"/>
  <c r="H35" i="42"/>
  <c r="H33" i="42"/>
  <c r="H29" i="42"/>
  <c r="H27" i="42"/>
  <c r="H24" i="42"/>
  <c r="H19" i="42"/>
  <c r="H17" i="42"/>
  <c r="H13" i="42"/>
  <c r="K22" i="42" l="1"/>
  <c r="K23" i="42"/>
  <c r="R23" i="42" s="1"/>
  <c r="K87" i="42"/>
  <c r="K31" i="42"/>
  <c r="K47" i="42"/>
  <c r="K10" i="42"/>
  <c r="K18" i="42"/>
  <c r="K34" i="42"/>
  <c r="K44" i="42"/>
  <c r="K82" i="42"/>
  <c r="Q17" i="42"/>
  <c r="Q22" i="42"/>
  <c r="Q27" i="42"/>
  <c r="Q31" i="42"/>
  <c r="Q35" i="42"/>
  <c r="Q41" i="42"/>
  <c r="Q49" i="42"/>
  <c r="Q59" i="42"/>
  <c r="Q68" i="42"/>
  <c r="Q81" i="42"/>
  <c r="R81" i="42" s="1"/>
  <c r="Q12" i="42"/>
  <c r="Q18" i="42"/>
  <c r="Q23" i="42"/>
  <c r="Q30" i="42"/>
  <c r="Q34" i="42"/>
  <c r="Q39" i="42"/>
  <c r="Q44" i="42"/>
  <c r="Q48" i="42"/>
  <c r="Q52" i="42"/>
  <c r="Q56" i="42"/>
  <c r="Q61" i="42"/>
  <c r="Q67" i="42"/>
  <c r="Q80" i="42"/>
  <c r="R80" i="42" s="1"/>
  <c r="Q86" i="42"/>
  <c r="R86" i="42" s="1"/>
  <c r="Q43" i="42"/>
  <c r="Q51" i="42"/>
  <c r="Q57" i="42"/>
  <c r="Q70" i="42"/>
  <c r="Q88" i="42"/>
  <c r="R88" i="42" s="1"/>
  <c r="Q13" i="42"/>
  <c r="Q19" i="42"/>
  <c r="Q24" i="42"/>
  <c r="Q29" i="42"/>
  <c r="Q33" i="42"/>
  <c r="Q37" i="42"/>
  <c r="Q45" i="42"/>
  <c r="Q53" i="42"/>
  <c r="Q65" i="42"/>
  <c r="Q77" i="42"/>
  <c r="R77" i="42" s="1"/>
  <c r="K8" i="42"/>
  <c r="K11" i="42"/>
  <c r="Q16" i="42"/>
  <c r="Q20" i="42"/>
  <c r="Q28" i="42"/>
  <c r="Q32" i="42"/>
  <c r="Q36" i="42"/>
  <c r="Q42" i="42"/>
  <c r="Q46" i="42"/>
  <c r="Q50" i="42"/>
  <c r="Q54" i="42"/>
  <c r="Q58" i="42"/>
  <c r="Q66" i="42"/>
  <c r="Q69" i="42"/>
  <c r="Q85" i="42"/>
  <c r="R85" i="42" s="1"/>
  <c r="Q82" i="42"/>
  <c r="R82" i="42" s="1"/>
  <c r="Q47" i="42"/>
  <c r="Q55" i="42"/>
  <c r="Q60" i="42"/>
  <c r="Q87" i="42"/>
  <c r="R87" i="42" s="1"/>
  <c r="K17" i="42"/>
  <c r="K27" i="42"/>
  <c r="K36" i="42"/>
  <c r="K42" i="42"/>
  <c r="K46" i="42"/>
  <c r="K50" i="42"/>
  <c r="K80" i="42"/>
  <c r="K86" i="42"/>
  <c r="K35" i="42"/>
  <c r="K54" i="42"/>
  <c r="K88" i="42"/>
  <c r="W46" i="42"/>
  <c r="X46" i="42" s="1"/>
  <c r="W55" i="42"/>
  <c r="X55" i="42" s="1"/>
  <c r="K29" i="42"/>
  <c r="K81" i="42"/>
  <c r="W23" i="42"/>
  <c r="X23" i="42" s="1"/>
  <c r="W28" i="42"/>
  <c r="X28" i="42" s="1"/>
  <c r="W36" i="42"/>
  <c r="X36" i="42" s="1"/>
  <c r="W48" i="42"/>
  <c r="X48" i="42" s="1"/>
  <c r="W50" i="42"/>
  <c r="X50" i="42" s="1"/>
  <c r="W58" i="42"/>
  <c r="X58" i="42" s="1"/>
  <c r="W57" i="42"/>
  <c r="X57" i="42" s="1"/>
  <c r="W88" i="42"/>
  <c r="X88" i="42" s="1"/>
  <c r="K13" i="42"/>
  <c r="K43" i="42"/>
  <c r="K56" i="42"/>
  <c r="K16" i="42"/>
  <c r="K20" i="42"/>
  <c r="K32" i="42"/>
  <c r="K53" i="42"/>
  <c r="W29" i="42"/>
  <c r="X29" i="42" s="1"/>
  <c r="W53" i="42"/>
  <c r="X53" i="42" s="1"/>
  <c r="W32" i="42"/>
  <c r="X32" i="42" s="1"/>
  <c r="W68" i="42"/>
  <c r="X68" i="42" s="1"/>
  <c r="K19" i="42"/>
  <c r="W19" i="42"/>
  <c r="X19" i="42" s="1"/>
  <c r="W37" i="42"/>
  <c r="X37" i="42" s="1"/>
  <c r="W77" i="42"/>
  <c r="X77" i="42" s="1"/>
  <c r="W12" i="42"/>
  <c r="X12" i="42" s="1"/>
  <c r="W42" i="42"/>
  <c r="X42" i="42" s="1"/>
  <c r="W47" i="42"/>
  <c r="X47" i="42" s="1"/>
  <c r="W70" i="42"/>
  <c r="X70" i="42" s="1"/>
  <c r="K24" i="42"/>
  <c r="R24" i="42" s="1"/>
  <c r="K33" i="42"/>
  <c r="K45" i="42"/>
  <c r="W13" i="42"/>
  <c r="X13" i="42" s="1"/>
  <c r="W24" i="42"/>
  <c r="X24" i="42" s="1"/>
  <c r="W33" i="42"/>
  <c r="X33" i="42" s="1"/>
  <c r="W45" i="42"/>
  <c r="X45" i="42" s="1"/>
  <c r="W65" i="42"/>
  <c r="X65" i="42" s="1"/>
  <c r="W81" i="42"/>
  <c r="X81" i="42" s="1"/>
  <c r="W18" i="42"/>
  <c r="X18" i="42" s="1"/>
  <c r="W30" i="42"/>
  <c r="X30" i="42" s="1"/>
  <c r="W44" i="42"/>
  <c r="X44" i="42" s="1"/>
  <c r="W54" i="42"/>
  <c r="X54" i="42" s="1"/>
  <c r="W61" i="42"/>
  <c r="X61" i="42" s="1"/>
  <c r="W67" i="42"/>
  <c r="X67" i="42" s="1"/>
  <c r="W80" i="42"/>
  <c r="X80" i="42" s="1"/>
  <c r="W82" i="42"/>
  <c r="X82" i="42" s="1"/>
  <c r="W51" i="42"/>
  <c r="X51" i="42" s="1"/>
  <c r="W60" i="42"/>
  <c r="X60" i="42" s="1"/>
  <c r="W87" i="42"/>
  <c r="X87" i="42" s="1"/>
  <c r="Q8" i="42"/>
  <c r="F8" i="14" s="1"/>
  <c r="Q11" i="42"/>
  <c r="K41" i="42"/>
  <c r="K49" i="42"/>
  <c r="W17" i="42"/>
  <c r="X17" i="42" s="1"/>
  <c r="W22" i="42"/>
  <c r="X22" i="42" s="1"/>
  <c r="W27" i="42"/>
  <c r="X27" i="42" s="1"/>
  <c r="W31" i="42"/>
  <c r="X31" i="42" s="1"/>
  <c r="W35" i="42"/>
  <c r="X35" i="42" s="1"/>
  <c r="W41" i="42"/>
  <c r="X41" i="42" s="1"/>
  <c r="W49" i="42"/>
  <c r="X49" i="42" s="1"/>
  <c r="W59" i="42"/>
  <c r="X59" i="42" s="1"/>
  <c r="W16" i="42"/>
  <c r="X16" i="42" s="1"/>
  <c r="W20" i="42"/>
  <c r="X20" i="42" s="1"/>
  <c r="W34" i="42"/>
  <c r="X34" i="42" s="1"/>
  <c r="W39" i="42"/>
  <c r="X39" i="42" s="1"/>
  <c r="W52" i="42"/>
  <c r="X52" i="42" s="1"/>
  <c r="W56" i="42"/>
  <c r="X56" i="42" s="1"/>
  <c r="W62" i="42"/>
  <c r="X62" i="42" s="1"/>
  <c r="W66" i="42"/>
  <c r="X66" i="42" s="1"/>
  <c r="W69" i="42"/>
  <c r="X69" i="42" s="1"/>
  <c r="W85" i="42"/>
  <c r="X85" i="42" s="1"/>
  <c r="W86" i="42"/>
  <c r="X86" i="42" s="1"/>
  <c r="W43" i="42"/>
  <c r="X43" i="42" s="1"/>
  <c r="W63" i="42"/>
  <c r="X63" i="42" s="1"/>
  <c r="H77" i="42"/>
  <c r="H68" i="42"/>
  <c r="T63" i="42"/>
  <c r="H82" i="42"/>
  <c r="H81" i="42"/>
  <c r="H86" i="42"/>
  <c r="H67" i="42"/>
  <c r="H88" i="42"/>
  <c r="H85" i="42"/>
  <c r="H87" i="42"/>
  <c r="H80" i="42"/>
  <c r="H70" i="42"/>
  <c r="H69" i="42"/>
  <c r="H66" i="42"/>
  <c r="H65" i="42"/>
  <c r="H58" i="42"/>
  <c r="S51" i="42" l="1"/>
  <c r="S30" i="42"/>
  <c r="S11" i="42"/>
  <c r="S37" i="42"/>
  <c r="S57" i="42"/>
  <c r="S12" i="42"/>
  <c r="S47" i="42"/>
  <c r="S28" i="42"/>
  <c r="S39" i="42"/>
  <c r="S18" i="42"/>
  <c r="S31" i="42"/>
  <c r="S55" i="42"/>
  <c r="S52" i="42"/>
  <c r="S44" i="42"/>
  <c r="S23" i="42"/>
  <c r="S48" i="42"/>
  <c r="W8" i="42"/>
  <c r="X8" i="42" s="1"/>
  <c r="Q10" i="42"/>
  <c r="W10" i="42"/>
  <c r="X10" i="42" s="1"/>
  <c r="Q63" i="42"/>
  <c r="W11" i="42"/>
  <c r="X11" i="42" s="1"/>
  <c r="T62" i="42"/>
  <c r="Q62" i="42"/>
  <c r="K58" i="42"/>
  <c r="E91" i="42"/>
  <c r="E93" i="14" s="1"/>
  <c r="S34" i="42" l="1"/>
  <c r="S54" i="42"/>
  <c r="S77" i="42"/>
  <c r="S22" i="42"/>
  <c r="S41" i="42"/>
  <c r="S20" i="42"/>
  <c r="S27" i="42"/>
  <c r="S45" i="42"/>
  <c r="S87" i="42"/>
  <c r="S10" i="42"/>
  <c r="S16" i="42"/>
  <c r="S53" i="42"/>
  <c r="S29" i="42"/>
  <c r="S17" i="42"/>
  <c r="S33" i="42"/>
  <c r="S88" i="42"/>
  <c r="S80" i="42"/>
  <c r="S43" i="42"/>
  <c r="S50" i="42"/>
  <c r="S86" i="42"/>
  <c r="S42" i="42"/>
  <c r="S13" i="42"/>
  <c r="S81" i="42"/>
  <c r="S82" i="42"/>
  <c r="S85" i="42"/>
  <c r="S46" i="42"/>
  <c r="S49" i="42"/>
  <c r="S56" i="42"/>
  <c r="S32" i="42"/>
  <c r="S35" i="42"/>
  <c r="S36" i="42"/>
  <c r="S24" i="42"/>
  <c r="S19" i="42"/>
  <c r="Q91" i="42"/>
  <c r="S58" i="42"/>
  <c r="K59" i="42"/>
  <c r="H59" i="42"/>
  <c r="S8" i="42"/>
  <c r="J31" i="6"/>
  <c r="S59" i="42" l="1"/>
  <c r="K60" i="42"/>
  <c r="H60" i="42"/>
  <c r="K61" i="42" l="1"/>
  <c r="H61" i="42"/>
  <c r="E10" i="20"/>
  <c r="G10" i="20" l="1"/>
  <c r="E11" i="20"/>
  <c r="S60" i="42"/>
  <c r="C69" i="42"/>
  <c r="S61" i="42" l="1"/>
  <c r="K62" i="42"/>
  <c r="H63" i="42"/>
  <c r="H62" i="42"/>
  <c r="C12" i="7"/>
  <c r="C13" i="7"/>
  <c r="C14" i="7"/>
  <c r="C15" i="7"/>
  <c r="C16" i="7"/>
  <c r="C17" i="7"/>
  <c r="C18" i="7"/>
  <c r="C19" i="7"/>
  <c r="C20" i="7"/>
  <c r="C21" i="7"/>
  <c r="C22" i="7"/>
  <c r="C11" i="7"/>
  <c r="K63" i="42" l="1"/>
  <c r="H91" i="42"/>
  <c r="F66" i="7"/>
  <c r="G66" i="7"/>
  <c r="B66" i="7"/>
  <c r="C66" i="7"/>
  <c r="D66" i="7"/>
  <c r="S62" i="42" l="1"/>
  <c r="S63" i="42"/>
  <c r="K65" i="42"/>
  <c r="D11" i="7"/>
  <c r="K66" i="42" l="1"/>
  <c r="D24" i="7"/>
  <c r="E35" i="32"/>
  <c r="S65" i="42" l="1"/>
  <c r="S66" i="42" l="1"/>
  <c r="K67" i="42"/>
  <c r="K68" i="42" l="1"/>
  <c r="S67" i="42" l="1"/>
  <c r="K69" i="42"/>
  <c r="S68" i="42" l="1"/>
  <c r="K70" i="42"/>
  <c r="K91" i="42" s="1"/>
  <c r="T91" i="42"/>
  <c r="G93" i="14" s="1"/>
  <c r="S69" i="42" l="1"/>
  <c r="J9" i="45"/>
  <c r="G9" i="16"/>
  <c r="G10" i="16"/>
  <c r="G11" i="16"/>
  <c r="G12" i="16"/>
  <c r="G13" i="16"/>
  <c r="G8" i="16"/>
  <c r="D18" i="45"/>
  <c r="F14" i="45"/>
  <c r="F13" i="45"/>
  <c r="F12" i="45"/>
  <c r="F11" i="45"/>
  <c r="J10" i="45"/>
  <c r="F10" i="45"/>
  <c r="F9" i="45"/>
  <c r="E17" i="16"/>
  <c r="A9" i="43"/>
  <c r="A10" i="43" s="1"/>
  <c r="A11" i="43" s="1"/>
  <c r="A12" i="43" s="1"/>
  <c r="A13" i="43" s="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D12" i="7"/>
  <c r="D13" i="7"/>
  <c r="D14" i="7"/>
  <c r="D15" i="7"/>
  <c r="D38" i="8" s="1"/>
  <c r="D16" i="7"/>
  <c r="D17" i="7"/>
  <c r="D18" i="7"/>
  <c r="D41" i="8" s="1"/>
  <c r="D19" i="7"/>
  <c r="D42" i="8" s="1"/>
  <c r="D20" i="7"/>
  <c r="D21" i="7"/>
  <c r="D22" i="7"/>
  <c r="D45" i="8" s="1"/>
  <c r="E17" i="9"/>
  <c r="A8" i="14"/>
  <c r="G91" i="14"/>
  <c r="F10" i="8"/>
  <c r="F11" i="8"/>
  <c r="S18" i="45"/>
  <c r="F54" i="3"/>
  <c r="A7" i="5"/>
  <c r="A8" i="5" s="1"/>
  <c r="A9" i="5" s="1"/>
  <c r="A10" i="5" s="1"/>
  <c r="A11" i="5" s="1"/>
  <c r="A12" i="5" s="1"/>
  <c r="A13" i="5" s="1"/>
  <c r="A14" i="5" s="1"/>
  <c r="A15" i="5" s="1"/>
  <c r="A16" i="5" s="1"/>
  <c r="A17" i="5" s="1"/>
  <c r="C35" i="8"/>
  <c r="C40" i="8"/>
  <c r="C43" i="8"/>
  <c r="C44" i="8"/>
  <c r="G34" i="8"/>
  <c r="G35" i="8"/>
  <c r="G36" i="8"/>
  <c r="G37" i="8"/>
  <c r="G38" i="8"/>
  <c r="G39" i="8"/>
  <c r="G40" i="8"/>
  <c r="G41" i="8"/>
  <c r="G42" i="8"/>
  <c r="G43" i="8"/>
  <c r="G44" i="8"/>
  <c r="G45" i="8"/>
  <c r="E17" i="12"/>
  <c r="E6" i="23"/>
  <c r="E7" i="23"/>
  <c r="E8" i="23"/>
  <c r="E9" i="23"/>
  <c r="E10" i="23"/>
  <c r="E11" i="23"/>
  <c r="E12" i="23"/>
  <c r="E13" i="23"/>
  <c r="E14" i="23"/>
  <c r="E15" i="23"/>
  <c r="E16" i="23"/>
  <c r="E17" i="23"/>
  <c r="A5" i="17"/>
  <c r="A6" i="17" s="1"/>
  <c r="A7" i="17" s="1"/>
  <c r="A8" i="17" s="1"/>
  <c r="A9" i="17" s="1"/>
  <c r="A10" i="17" s="1"/>
  <c r="A11" i="17" s="1"/>
  <c r="A12" i="17" s="1"/>
  <c r="A13" i="17" s="1"/>
  <c r="A14" i="17" s="1"/>
  <c r="A15" i="17" s="1"/>
  <c r="A16" i="17" s="1"/>
  <c r="F8" i="4"/>
  <c r="A8" i="1"/>
  <c r="A9" i="1" s="1"/>
  <c r="A10" i="1" s="1"/>
  <c r="A11" i="1" s="1"/>
  <c r="A12" i="1" s="1"/>
  <c r="A13" i="1" s="1"/>
  <c r="A14" i="1" s="1"/>
  <c r="A15" i="1" s="1"/>
  <c r="A16" i="1" s="1"/>
  <c r="A17" i="1" s="1"/>
  <c r="F12" i="2"/>
  <c r="F33" i="4"/>
  <c r="F45" i="4"/>
  <c r="F54" i="4"/>
  <c r="E58" i="17"/>
  <c r="F7" i="18"/>
  <c r="F16" i="3"/>
  <c r="C17" i="12"/>
  <c r="F9" i="11"/>
  <c r="E25" i="9" s="1"/>
  <c r="C18" i="23"/>
  <c r="G11" i="20"/>
  <c r="E16" i="5" s="1"/>
  <c r="F24" i="7"/>
  <c r="E44" i="7"/>
  <c r="D44" i="7"/>
  <c r="C44" i="7"/>
  <c r="B44" i="7"/>
  <c r="A10" i="40"/>
  <c r="A11" i="40" s="1"/>
  <c r="A12" i="40" s="1"/>
  <c r="A13" i="40" s="1"/>
  <c r="A14" i="40" s="1"/>
  <c r="A15" i="40" s="1"/>
  <c r="A16" i="40" s="1"/>
  <c r="A17" i="40" s="1"/>
  <c r="F41" i="32"/>
  <c r="A9" i="16"/>
  <c r="A10" i="16" s="1"/>
  <c r="A11" i="16" s="1"/>
  <c r="A12" i="16" s="1"/>
  <c r="A13" i="16" s="1"/>
  <c r="A14" i="16" s="1"/>
  <c r="A15" i="16" s="1"/>
  <c r="A16" i="16" s="1"/>
  <c r="A17" i="16" s="1"/>
  <c r="A6" i="15"/>
  <c r="A7" i="15" s="1"/>
  <c r="A8" i="15" s="1"/>
  <c r="A9" i="15" s="1"/>
  <c r="A10" i="15" s="1"/>
  <c r="A9" i="20"/>
  <c r="A10" i="20" s="1"/>
  <c r="A11" i="20" s="1"/>
  <c r="D15" i="30"/>
  <c r="D18" i="23"/>
  <c r="D23" i="19"/>
  <c r="F162" i="35"/>
  <c r="F173" i="35"/>
  <c r="F113" i="35"/>
  <c r="F89" i="35"/>
  <c r="F100" i="35"/>
  <c r="F64" i="35"/>
  <c r="F76" i="35"/>
  <c r="F51" i="35"/>
  <c r="F15" i="35"/>
  <c r="A8" i="3"/>
  <c r="A9" i="3" s="1"/>
  <c r="A10" i="3" s="1"/>
  <c r="A11" i="3" s="1"/>
  <c r="A12" i="3" s="1"/>
  <c r="A13" i="3" s="1"/>
  <c r="A14" i="3" s="1"/>
  <c r="A15" i="3" s="1"/>
  <c r="A16" i="3" s="1"/>
  <c r="A17" i="3" s="1"/>
  <c r="F23" i="19"/>
  <c r="F19" i="19"/>
  <c r="B8" i="18"/>
  <c r="B9" i="18" s="1"/>
  <c r="A6" i="4"/>
  <c r="A7" i="4" s="1"/>
  <c r="A8" i="4" s="1"/>
  <c r="A9" i="4" s="1"/>
  <c r="A10" i="4" s="1"/>
  <c r="A11" i="4" s="1"/>
  <c r="A12" i="4" s="1"/>
  <c r="A13" i="4" s="1"/>
  <c r="A14" i="4" s="1"/>
  <c r="A15" i="4" s="1"/>
  <c r="A16" i="4" s="1"/>
  <c r="A17" i="4" s="1"/>
  <c r="A8" i="2"/>
  <c r="A9" i="2" s="1"/>
  <c r="A10" i="2" s="1"/>
  <c r="A11" i="2" s="1"/>
  <c r="A12" i="2" s="1"/>
  <c r="A13" i="2" s="1"/>
  <c r="A14" i="2" s="1"/>
  <c r="A15" i="2" s="1"/>
  <c r="A16" i="2" s="1"/>
  <c r="A17" i="2" s="1"/>
  <c r="A7" i="9"/>
  <c r="A8" i="9" s="1"/>
  <c r="A9" i="9" s="1"/>
  <c r="A10" i="9" s="1"/>
  <c r="A11" i="9" s="1"/>
  <c r="A12" i="9" s="1"/>
  <c r="A13" i="9" s="1"/>
  <c r="A14" i="9" s="1"/>
  <c r="A15" i="9" s="1"/>
  <c r="A16" i="9" s="1"/>
  <c r="A17" i="9" s="1"/>
  <c r="F12" i="8"/>
  <c r="F13" i="8"/>
  <c r="F14" i="8"/>
  <c r="F15" i="8"/>
  <c r="F16" i="8"/>
  <c r="F17" i="8"/>
  <c r="F18" i="8"/>
  <c r="F19" i="8"/>
  <c r="F20" i="8"/>
  <c r="F21" i="8"/>
  <c r="C23" i="8"/>
  <c r="D23" i="8"/>
  <c r="C34" i="8"/>
  <c r="C42" i="8"/>
  <c r="F15" i="4"/>
  <c r="E18" i="5"/>
  <c r="C39" i="8"/>
  <c r="C36" i="8"/>
  <c r="C37" i="8"/>
  <c r="C13" i="29"/>
  <c r="F50" i="3" s="1"/>
  <c r="F125" i="35"/>
  <c r="C11" i="29"/>
  <c r="F47" i="3" s="1"/>
  <c r="F26" i="35"/>
  <c r="G17" i="12" l="1"/>
  <c r="E38" i="9" s="1"/>
  <c r="B11" i="7"/>
  <c r="F23" i="8"/>
  <c r="A18" i="9"/>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18" i="40"/>
  <c r="A19" i="40" s="1"/>
  <c r="A20" i="40" s="1"/>
  <c r="A21" i="40" s="1"/>
  <c r="A22" i="40" s="1"/>
  <c r="A23" i="40" s="1"/>
  <c r="A24" i="40" s="1"/>
  <c r="A25" i="40" s="1"/>
  <c r="A26" i="40" s="1"/>
  <c r="A27" i="40" s="1"/>
  <c r="A28" i="40" s="1"/>
  <c r="A29" i="40" s="1"/>
  <c r="A30" i="40" s="1"/>
  <c r="A31" i="40" s="1"/>
  <c r="A32" i="40" s="1"/>
  <c r="A33" i="40" s="1"/>
  <c r="A34" i="40" s="1"/>
  <c r="A35" i="40" s="1"/>
  <c r="A36" i="40" s="1"/>
  <c r="A37" i="40" s="1"/>
  <c r="A38" i="40" s="1"/>
  <c r="A39" i="40" s="1"/>
  <c r="A40" i="40" s="1"/>
  <c r="A41" i="40" s="1"/>
  <c r="A42" i="40" s="1"/>
  <c r="A43" i="40" s="1"/>
  <c r="A44" i="40" s="1"/>
  <c r="A45" i="40" s="1"/>
  <c r="A46" i="40" s="1"/>
  <c r="A47" i="40" s="1"/>
  <c r="A48" i="40" s="1"/>
  <c r="A49" i="40" s="1"/>
  <c r="A50" i="40" s="1"/>
  <c r="A51" i="40" s="1"/>
  <c r="A52" i="40" s="1"/>
  <c r="A53" i="40" s="1"/>
  <c r="A54" i="40" s="1"/>
  <c r="A55" i="40" s="1"/>
  <c r="A56" i="40" s="1"/>
  <c r="A57" i="40" s="1"/>
  <c r="A58" i="40" s="1"/>
  <c r="A18" i="2"/>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18" i="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18" i="5"/>
  <c r="A19" i="5" s="1"/>
  <c r="A20" i="5" s="1"/>
  <c r="A21" i="5" s="1"/>
  <c r="A22" i="5" s="1"/>
  <c r="A23" i="5" s="1"/>
  <c r="A18" i="4"/>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18" i="3"/>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G9" i="45"/>
  <c r="M9" i="45"/>
  <c r="G12" i="45"/>
  <c r="M12" i="45"/>
  <c r="G11" i="45"/>
  <c r="M11" i="45"/>
  <c r="G14" i="45"/>
  <c r="M14" i="45"/>
  <c r="G10" i="45"/>
  <c r="M10" i="45"/>
  <c r="G13" i="45"/>
  <c r="V13" i="45"/>
  <c r="M13" i="45"/>
  <c r="F27" i="35"/>
  <c r="G26" i="35" s="1"/>
  <c r="S70" i="42"/>
  <c r="R91" i="42"/>
  <c r="F93" i="14" s="1"/>
  <c r="G22" i="7"/>
  <c r="G21" i="7"/>
  <c r="G20" i="7"/>
  <c r="G19" i="7"/>
  <c r="G18" i="7"/>
  <c r="G17" i="7"/>
  <c r="G16" i="7"/>
  <c r="G15" i="7"/>
  <c r="G14" i="7"/>
  <c r="G13" i="7"/>
  <c r="G12" i="7"/>
  <c r="G11" i="7"/>
  <c r="E9" i="1"/>
  <c r="A17" i="17"/>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F16" i="35"/>
  <c r="G15" i="35" s="1"/>
  <c r="F13" i="2"/>
  <c r="F51" i="2"/>
  <c r="F52" i="2" s="1"/>
  <c r="F35" i="4"/>
  <c r="S91" i="42"/>
  <c r="G94" i="14"/>
  <c r="G95" i="14" s="1"/>
  <c r="F14" i="4"/>
  <c r="F16" i="4" s="1"/>
  <c r="F23" i="4" s="1"/>
  <c r="F44" i="7"/>
  <c r="C24" i="7" s="1"/>
  <c r="E18" i="23"/>
  <c r="F53" i="35"/>
  <c r="F28" i="35"/>
  <c r="F47" i="8"/>
  <c r="E54" i="43"/>
  <c r="E45" i="1" s="1"/>
  <c r="F12" i="19"/>
  <c r="E11" i="5" s="1"/>
  <c r="J11" i="45"/>
  <c r="G47" i="8"/>
  <c r="D44" i="8"/>
  <c r="D40" i="8"/>
  <c r="D36" i="8"/>
  <c r="D43" i="8"/>
  <c r="D39" i="8"/>
  <c r="D37" i="8"/>
  <c r="D35" i="8"/>
  <c r="F11" i="9"/>
  <c r="F15" i="9"/>
  <c r="I15" i="9" s="1"/>
  <c r="F13" i="9"/>
  <c r="I13" i="9" s="1"/>
  <c r="F175" i="35"/>
  <c r="F102" i="35"/>
  <c r="F127" i="35"/>
  <c r="E19" i="5"/>
  <c r="D16" i="31" s="1"/>
  <c r="C41" i="8"/>
  <c r="C45" i="8"/>
  <c r="C38" i="8"/>
  <c r="F78" i="35"/>
  <c r="F75" i="3"/>
  <c r="G17" i="16"/>
  <c r="F70" i="3" s="1"/>
  <c r="G18" i="45"/>
  <c r="R11" i="45" l="1"/>
  <c r="F9" i="16"/>
  <c r="R10" i="45"/>
  <c r="V12" i="45"/>
  <c r="M18" i="45"/>
  <c r="V9" i="45"/>
  <c r="V10" i="45"/>
  <c r="V14" i="45"/>
  <c r="V11" i="45"/>
  <c r="F29" i="35"/>
  <c r="G28" i="35" s="1"/>
  <c r="A46" i="17"/>
  <c r="A47" i="17" s="1"/>
  <c r="A48" i="17" s="1"/>
  <c r="A49" i="17" s="1"/>
  <c r="A50" i="17" s="1"/>
  <c r="A51" i="17" s="1"/>
  <c r="A52" i="17" s="1"/>
  <c r="A53" i="17" s="1"/>
  <c r="A54" i="17" s="1"/>
  <c r="A55" i="17" s="1"/>
  <c r="A56" i="17" s="1"/>
  <c r="A57" i="17" s="1"/>
  <c r="A58" i="17" s="1"/>
  <c r="A59" i="17" s="1"/>
  <c r="A60" i="17" s="1"/>
  <c r="A61" i="17" s="1"/>
  <c r="A62" i="17" s="1"/>
  <c r="A63" i="17" s="1"/>
  <c r="A64" i="17" s="1"/>
  <c r="E94" i="14"/>
  <c r="E95" i="14" s="1"/>
  <c r="C47" i="8"/>
  <c r="E8" i="1"/>
  <c r="F91" i="14"/>
  <c r="F8" i="18"/>
  <c r="F9" i="18" s="1"/>
  <c r="F76" i="3" s="1"/>
  <c r="F77" i="3" s="1"/>
  <c r="F49" i="3"/>
  <c r="F11" i="19"/>
  <c r="E9" i="5" s="1"/>
  <c r="F34" i="4"/>
  <c r="F36" i="4" s="1"/>
  <c r="F44" i="4" s="1"/>
  <c r="F46" i="4" s="1"/>
  <c r="F17" i="9"/>
  <c r="D34" i="8"/>
  <c r="D47" i="8" s="1"/>
  <c r="C41" i="32"/>
  <c r="E42" i="32"/>
  <c r="F8" i="16"/>
  <c r="R9" i="45"/>
  <c r="J12" i="45"/>
  <c r="I11" i="9"/>
  <c r="I17" i="9" s="1"/>
  <c r="I20" i="9" s="1"/>
  <c r="F10" i="16"/>
  <c r="F94" i="14" l="1"/>
  <c r="F95" i="14" s="1"/>
  <c r="F7" i="4"/>
  <c r="F9" i="4" s="1"/>
  <c r="E39" i="1"/>
  <c r="F59" i="2"/>
  <c r="F14" i="2"/>
  <c r="F15" i="2" s="1"/>
  <c r="J13" i="45"/>
  <c r="J14" i="45"/>
  <c r="E29" i="1"/>
  <c r="F24" i="40"/>
  <c r="E20" i="1" l="1"/>
  <c r="F22" i="4"/>
  <c r="F24" i="4" s="1"/>
  <c r="F27" i="4" s="1"/>
  <c r="F16" i="40" s="1"/>
  <c r="F17" i="40" s="1"/>
  <c r="F21" i="40" s="1"/>
  <c r="F48" i="3"/>
  <c r="J18" i="45"/>
  <c r="R13" i="45"/>
  <c r="F12" i="16"/>
  <c r="R12" i="45"/>
  <c r="F11" i="16"/>
  <c r="Q18" i="45"/>
  <c r="F13" i="16"/>
  <c r="R14" i="45"/>
  <c r="A34" i="43" l="1"/>
  <c r="A35" i="43" s="1"/>
  <c r="A36" i="43" s="1"/>
  <c r="A37" i="43" s="1"/>
  <c r="A38" i="43" s="1"/>
  <c r="A39" i="43" s="1"/>
  <c r="A40" i="43" s="1"/>
  <c r="F21" i="2"/>
  <c r="F22" i="2" s="1"/>
  <c r="F51" i="4" s="1"/>
  <c r="F531" i="47"/>
  <c r="F69" i="2"/>
  <c r="F70" i="2" s="1"/>
  <c r="F64" i="3"/>
  <c r="F65" i="3" s="1"/>
  <c r="F51" i="3"/>
  <c r="F52" i="3" s="1"/>
  <c r="F35" i="2"/>
  <c r="F36" i="2" s="1"/>
  <c r="F28" i="2"/>
  <c r="F29" i="2" s="1"/>
  <c r="F55" i="3"/>
  <c r="F56" i="3" s="1"/>
  <c r="F13" i="3"/>
  <c r="F14" i="3" s="1"/>
  <c r="F33" i="3"/>
  <c r="F34" i="3" s="1"/>
  <c r="F74" i="2"/>
  <c r="F75" i="2" s="1"/>
  <c r="F80" i="2"/>
  <c r="F81" i="2" s="1"/>
  <c r="F42" i="2"/>
  <c r="F43" i="2" s="1"/>
  <c r="F17" i="16"/>
  <c r="R18" i="45"/>
  <c r="G531" i="47" l="1"/>
  <c r="G532" i="47" s="1"/>
  <c r="F10" i="19" s="1"/>
  <c r="F58" i="3"/>
  <c r="E43" i="1" s="1"/>
  <c r="A41" i="43"/>
  <c r="A42" i="43" s="1"/>
  <c r="A43" i="43" s="1"/>
  <c r="A44" i="43" s="1"/>
  <c r="A45" i="43" s="1"/>
  <c r="A46" i="43" s="1"/>
  <c r="A47" i="43" s="1"/>
  <c r="A48" i="43" s="1"/>
  <c r="A49" i="43" s="1"/>
  <c r="A50" i="43" s="1"/>
  <c r="A51" i="43" s="1"/>
  <c r="A52" i="43" s="1"/>
  <c r="A53" i="43" s="1"/>
  <c r="A54" i="43" s="1"/>
  <c r="A55" i="43" s="1"/>
  <c r="A56" i="43" s="1"/>
  <c r="A57" i="43" s="1"/>
  <c r="E17" i="1"/>
  <c r="E36" i="1"/>
  <c r="E18" i="1"/>
  <c r="E22" i="1"/>
  <c r="E19" i="1"/>
  <c r="E14" i="1"/>
  <c r="F52" i="4"/>
  <c r="F53" i="4" s="1"/>
  <c r="E37" i="1"/>
  <c r="E11" i="1"/>
  <c r="E12" i="1"/>
  <c r="F14" i="19" l="1"/>
  <c r="E10" i="5"/>
  <c r="E13" i="5" s="1"/>
  <c r="E23" i="5" s="1"/>
  <c r="F55" i="4"/>
  <c r="F37" i="4"/>
  <c r="F39" i="4" s="1"/>
  <c r="F83" i="2" s="1"/>
  <c r="F84" i="2" s="1"/>
  <c r="F85" i="2" s="1"/>
  <c r="F16" i="31" l="1"/>
  <c r="B16" i="31"/>
  <c r="C15" i="33"/>
  <c r="E49" i="1"/>
  <c r="I12" i="32" s="1"/>
  <c r="F37" i="19"/>
  <c r="F35" i="19"/>
  <c r="F53" i="2"/>
  <c r="F54" i="2" s="1"/>
  <c r="F17" i="3"/>
  <c r="F18" i="3" s="1"/>
  <c r="F39" i="3"/>
  <c r="F21" i="3"/>
  <c r="F22" i="3" s="1"/>
  <c r="E23" i="1"/>
  <c r="E24" i="26" l="1"/>
  <c r="E9" i="26"/>
  <c r="F40" i="3"/>
  <c r="F41" i="3" s="1"/>
  <c r="E38" i="1" s="1"/>
  <c r="E39" i="9" s="1"/>
  <c r="E21" i="1"/>
  <c r="F28" i="3"/>
  <c r="F69" i="3"/>
  <c r="F71" i="3" s="1"/>
  <c r="E35" i="1" l="1"/>
  <c r="F60" i="2"/>
  <c r="F61" i="2" s="1"/>
  <c r="E24" i="1" s="1"/>
  <c r="E42" i="1"/>
  <c r="E16" i="1"/>
  <c r="E46" i="1" l="1"/>
  <c r="L73" i="21" l="1"/>
  <c r="E77" i="21" s="1"/>
  <c r="E81" i="21" s="1"/>
  <c r="E83" i="21" l="1"/>
  <c r="F75" i="21"/>
  <c r="D14" i="19"/>
  <c r="D35" i="19" s="1"/>
  <c r="B12" i="7"/>
  <c r="B35" i="8" s="1"/>
  <c r="H35" i="8"/>
  <c r="B13" i="7"/>
  <c r="B36" i="8" s="1"/>
  <c r="H36" i="8"/>
  <c r="B14" i="7"/>
  <c r="B37" i="8" s="1"/>
  <c r="H37" i="8"/>
  <c r="B15" i="7"/>
  <c r="B38" i="8" s="1"/>
  <c r="H38" i="8"/>
  <c r="B16" i="7"/>
  <c r="B39" i="8" s="1"/>
  <c r="H39" i="8"/>
  <c r="B17" i="7"/>
  <c r="B40" i="8" s="1"/>
  <c r="H40" i="8"/>
  <c r="B18" i="7"/>
  <c r="B41" i="8" s="1"/>
  <c r="B19" i="7"/>
  <c r="B42" i="8" s="1"/>
  <c r="B20" i="7"/>
  <c r="B43" i="8" s="1"/>
  <c r="H43" i="8"/>
  <c r="B21" i="7"/>
  <c r="B44" i="8" s="1"/>
  <c r="H44" i="8"/>
  <c r="B22" i="7"/>
  <c r="B45" i="8" s="1"/>
  <c r="H45" i="8"/>
  <c r="E35" i="8"/>
  <c r="E36" i="8"/>
  <c r="E37" i="8"/>
  <c r="E38" i="8"/>
  <c r="E39" i="8"/>
  <c r="E40" i="8"/>
  <c r="E41" i="8"/>
  <c r="H41" i="8"/>
  <c r="E42" i="8"/>
  <c r="H42" i="8"/>
  <c r="E43" i="8"/>
  <c r="E44" i="8"/>
  <c r="E45" i="8"/>
  <c r="E24" i="7"/>
  <c r="E34" i="8"/>
  <c r="E85" i="21" l="1"/>
  <c r="B24" i="7"/>
  <c r="B34" i="8"/>
  <c r="B47" i="8" s="1"/>
  <c r="D42" i="32"/>
  <c r="E47" i="8"/>
  <c r="D41" i="32"/>
  <c r="F51" i="40" l="1"/>
  <c r="E53" i="1"/>
  <c r="F42" i="40"/>
  <c r="H47" i="8"/>
  <c r="G15" i="33" l="1"/>
  <c r="H9" i="26"/>
  <c r="I21" i="43" l="1"/>
  <c r="H28" i="43"/>
  <c r="E43" i="43" l="1"/>
  <c r="E10" i="1" s="1"/>
  <c r="E26" i="1" s="1"/>
  <c r="I28" i="9" s="1"/>
  <c r="G28" i="43"/>
  <c r="I31" i="9" l="1"/>
  <c r="I34" i="9" s="1"/>
  <c r="F25" i="40" l="1"/>
  <c r="F26" i="40" s="1"/>
  <c r="F28" i="40" s="1"/>
  <c r="F30" i="40" s="1"/>
  <c r="E30" i="1"/>
  <c r="E31" i="1" s="1"/>
  <c r="E47" i="1" s="1"/>
  <c r="A15" i="33" l="1"/>
  <c r="E15" i="33" s="1"/>
  <c r="H15" i="33" s="1"/>
  <c r="E51" i="1"/>
  <c r="I10" i="32"/>
  <c r="C9" i="26"/>
  <c r="C24" i="26"/>
  <c r="I14" i="32" l="1"/>
  <c r="F40" i="40"/>
  <c r="E37" i="32"/>
  <c r="E55" i="1"/>
  <c r="H22" i="33"/>
  <c r="H26" i="33"/>
  <c r="H21" i="33"/>
  <c r="H25" i="33"/>
  <c r="E38" i="32" l="1"/>
  <c r="G41" i="32" s="1"/>
  <c r="E56" i="1"/>
  <c r="C10" i="26" s="1"/>
  <c r="C16" i="26" s="1"/>
  <c r="E60" i="1"/>
  <c r="C20" i="26" s="1"/>
  <c r="J9" i="26"/>
  <c r="E57" i="1"/>
  <c r="E61" i="1"/>
  <c r="C21" i="26" s="1"/>
  <c r="F44" i="40"/>
  <c r="F45" i="40" s="1"/>
  <c r="F49" i="40"/>
  <c r="F53" i="40" s="1"/>
  <c r="F54" i="40" s="1"/>
  <c r="H24" i="33"/>
  <c r="H23" i="33"/>
  <c r="E41" i="32"/>
  <c r="C44" i="32" l="1"/>
  <c r="I16" i="32" s="1"/>
  <c r="H24" i="26" s="1"/>
  <c r="E58" i="1"/>
  <c r="C12" i="26" s="1"/>
  <c r="C18" i="26" s="1"/>
  <c r="C11" i="26"/>
  <c r="C17" i="26" s="1"/>
  <c r="E59" i="1"/>
  <c r="C13" i="26" s="1"/>
  <c r="C19" i="26" s="1"/>
  <c r="F57" i="40"/>
  <c r="F58" i="40" s="1"/>
  <c r="I18" i="32" l="1"/>
  <c r="J24" i="26" s="1"/>
  <c r="C25" i="26" s="1"/>
</calcChain>
</file>

<file path=xl/sharedStrings.xml><?xml version="1.0" encoding="utf-8"?>
<sst xmlns="http://schemas.openxmlformats.org/spreadsheetml/2006/main" count="4165" uniqueCount="1355">
  <si>
    <t>Century Tel-Bruneau,ID</t>
  </si>
  <si>
    <t>Century Tel-Richfield,ID</t>
  </si>
  <si>
    <t>JR. Simplot</t>
  </si>
  <si>
    <t>Schedule 4 Workpaper page 5</t>
  </si>
  <si>
    <t xml:space="preserve"> - FF1 p 323 185 b</t>
  </si>
  <si>
    <t xml:space="preserve"> - FF1 p 323 189 b</t>
  </si>
  <si>
    <t xml:space="preserve"> - FF1 p 323 191 b</t>
  </si>
  <si>
    <t>OASIS</t>
  </si>
  <si>
    <t>SCHEDULE 8 WORKPAPER</t>
  </si>
  <si>
    <t>Investment</t>
  </si>
  <si>
    <t xml:space="preserve">Accumulated Depreciation </t>
  </si>
  <si>
    <t>SCHEDULE 7 WORKPAPER</t>
  </si>
  <si>
    <t>Schedule 8 Workpaper</t>
  </si>
  <si>
    <t>030157</t>
  </si>
  <si>
    <t>070157</t>
  </si>
  <si>
    <t>Schedule 5 (C)</t>
  </si>
  <si>
    <t>(20)*((23)+(24))</t>
  </si>
  <si>
    <t>Sum (29) Thru (39)</t>
  </si>
  <si>
    <t>(45)/((47)*1000)</t>
  </si>
  <si>
    <t>(49) / 12</t>
  </si>
  <si>
    <t>(49) / 52</t>
  </si>
  <si>
    <t>(51) / 6</t>
  </si>
  <si>
    <t>(51) / 7</t>
  </si>
  <si>
    <t>(49)*1000 / 4896</t>
  </si>
  <si>
    <t>(49)*1000 / 8760</t>
  </si>
  <si>
    <t xml:space="preserve">(25) + (40)) </t>
  </si>
  <si>
    <t>Refer to Schedule 8, Workpaper for the calculation of Accumulated Depreciation and Annual Depreciation Accrual.</t>
  </si>
  <si>
    <t>To Rate Calculation</t>
  </si>
  <si>
    <t xml:space="preserve"> To Rate Calculaton</t>
  </si>
  <si>
    <t>Source = the Form 1, page 300</t>
  </si>
  <si>
    <t>SCHEDULE 5 WORKPAPER</t>
  </si>
  <si>
    <t>Service for Self 1/</t>
  </si>
  <si>
    <t>1/ Does not Include Short Term Firm PTP Reservations reported on Column (i), page 400 of the Form 1.</t>
  </si>
  <si>
    <t>To Schedule 4, line 11</t>
  </si>
  <si>
    <t>Interest Expense (Network Upgrade Prepayments)</t>
  </si>
  <si>
    <t>Total Short Term Firm, Non Firm and Out of Period Adjustments:</t>
  </si>
  <si>
    <t xml:space="preserve">General Plant Depreciation </t>
  </si>
  <si>
    <t>Unamortized RTO Development Costs</t>
  </si>
  <si>
    <t>Amortization of RTO Development Costs</t>
  </si>
  <si>
    <t>SCHEDULE 9</t>
  </si>
  <si>
    <t>Location</t>
  </si>
  <si>
    <t>Plant Account</t>
  </si>
  <si>
    <t xml:space="preserve"> Year</t>
  </si>
  <si>
    <t>Year</t>
  </si>
  <si>
    <t>Schedule 9</t>
  </si>
  <si>
    <t>See Schedule 4 Workpaper, page 2</t>
  </si>
  <si>
    <t>Title Page</t>
  </si>
  <si>
    <t>List of Worksheets</t>
  </si>
  <si>
    <t>Tariff Sch 7, 8 and 9 Rates</t>
  </si>
  <si>
    <t>Property Taxes Directly Assigned to Transmission and General Plant</t>
  </si>
  <si>
    <t>Schedule 5 Workpaper</t>
  </si>
  <si>
    <t>Rate of Return and Income Tax Expense</t>
  </si>
  <si>
    <t>Schedule 6 Workpaper, Page 1</t>
  </si>
  <si>
    <t>Effective Embedded Cost of Long Term Debt</t>
  </si>
  <si>
    <t xml:space="preserve">GSU Investment and  Accumulated Depreciation Reserve </t>
  </si>
  <si>
    <t>For Firm Point-To-Point Transmission Service provided under Schedule 7:</t>
  </si>
  <si>
    <t xml:space="preserve">The Formula Rate shall be </t>
  </si>
  <si>
    <t>(</t>
  </si>
  <si>
    <t>-</t>
  </si>
  <si>
    <t>)</t>
  </si>
  <si>
    <t>/</t>
  </si>
  <si>
    <t>per kW-year</t>
  </si>
  <si>
    <t xml:space="preserve">For Monthly Service the rate shall be: </t>
  </si>
  <si>
    <t>per kW-month</t>
  </si>
  <si>
    <t xml:space="preserve">For Weekly Service the rate shall be: </t>
  </si>
  <si>
    <t>per kW-week</t>
  </si>
  <si>
    <t xml:space="preserve">For Daily Service on Monday through Saturday, the rate shall be: </t>
  </si>
  <si>
    <t>per kW-day</t>
  </si>
  <si>
    <t>For Daily Service on Sunday and WECC defined holidays, the rate shall be:</t>
  </si>
  <si>
    <t>For Non-Firm Point-To-Point Transmission Service provided under Schedule 8:</t>
  </si>
  <si>
    <t>For Monthly Service the rate shall be:</t>
  </si>
  <si>
    <t>For Weekly Service the rate shall be:</t>
  </si>
  <si>
    <t>For Daily Service on Monday through Saturday, the rate shall be:</t>
  </si>
  <si>
    <t>For Hourly Service from 0700 to 2300 Prevailing Mountain Time Monday through Saturday (excluding WECC defined holidays) the rate shall be:</t>
  </si>
  <si>
    <t>per MW-hour</t>
  </si>
  <si>
    <t>For Hourly Service provided other hours the rate shall be:</t>
  </si>
  <si>
    <t>For Network Transmission Service provided under Schedule 9:</t>
  </si>
  <si>
    <t>The Annual Formula Revenue Requirements shall be:</t>
  </si>
  <si>
    <t>Schedule 2 Workpaper, page 1</t>
  </si>
  <si>
    <t>Schedule 2 Workpaper, page 2</t>
  </si>
  <si>
    <t>Schedule 2 Workpaper, page 3</t>
  </si>
  <si>
    <t>Schedule 4 Workpaper, page 1</t>
  </si>
  <si>
    <t>Schedule 4 Workpaper, page 2</t>
  </si>
  <si>
    <t>Schedule 4 Workpaper, page 3</t>
  </si>
  <si>
    <t>Schedule 4 Workpaper, page 4</t>
  </si>
  <si>
    <t>Schedule 4 Workpaper, page 5</t>
  </si>
  <si>
    <t>Schedule 4 Workpaper, page 6</t>
  </si>
  <si>
    <t>Account 454 Rents From Electric Property By Category and Subaccount</t>
  </si>
  <si>
    <t>Functionalization of Real Estate Rents Recorded in Account 454</t>
  </si>
  <si>
    <t>Cogeneration O&amp;M Charges Recorded in Account 454</t>
  </si>
  <si>
    <t>Idaho Power Company</t>
  </si>
  <si>
    <t>Ad Valorem Tax Allocation</t>
  </si>
  <si>
    <t>Total System</t>
  </si>
  <si>
    <t>Treatment:</t>
  </si>
  <si>
    <t>Fiber Rents - Non-transmission as per settlement</t>
  </si>
  <si>
    <t>Schedule 4 Workpaper, page 7</t>
  </si>
  <si>
    <t>Transmission Related Revenues Reported in Account 456 For Which Transactions are Included in the Rate Divisor</t>
  </si>
  <si>
    <t>Non-firm and Short-term Firm Transmission Wheeling Revenues Reported in Account 456 Included as Revenue Credits</t>
  </si>
  <si>
    <t>Sched 6 Workpaper, p 1</t>
  </si>
  <si>
    <t>Idaho</t>
  </si>
  <si>
    <t>Oregon</t>
  </si>
  <si>
    <t>Other</t>
  </si>
  <si>
    <t>Composite</t>
  </si>
  <si>
    <t>State Composite Rate (Accrued)</t>
  </si>
  <si>
    <t>Composite State Income Tax Rate</t>
  </si>
  <si>
    <t>Schedule 6 Workpaper, Page 2</t>
  </si>
  <si>
    <t>Schedule 6 Workpaper, page 2</t>
  </si>
  <si>
    <t>Schedule 6 Workpaper, page 3</t>
  </si>
  <si>
    <t>Schedule 6 Workpaper, Page 3</t>
  </si>
  <si>
    <t>Equity Portion of AFUDC in Depreciation Expense</t>
  </si>
  <si>
    <t>Account</t>
  </si>
  <si>
    <t xml:space="preserve"> Amount</t>
  </si>
  <si>
    <t>x</t>
  </si>
  <si>
    <t>=</t>
  </si>
  <si>
    <t>Rate Calculation</t>
  </si>
  <si>
    <t>12 CP</t>
  </si>
  <si>
    <t>TOTAL SYSTEM</t>
  </si>
  <si>
    <t>STEAM ELECTRIC PLANTS:</t>
  </si>
  <si>
    <t xml:space="preserve">     Jim Bridger</t>
  </si>
  <si>
    <t xml:space="preserve">     Valmy</t>
  </si>
  <si>
    <t xml:space="preserve">     Boardman</t>
  </si>
  <si>
    <t>Total Steam</t>
  </si>
  <si>
    <t>OTHER:</t>
  </si>
  <si>
    <t xml:space="preserve">     Production</t>
  </si>
  <si>
    <t xml:space="preserve">     Transmission</t>
  </si>
  <si>
    <t xml:space="preserve">     Distribution</t>
  </si>
  <si>
    <t xml:space="preserve">     General Plant</t>
  </si>
  <si>
    <t>Total Other</t>
  </si>
  <si>
    <t>TOTAL SYSTEM AD VALOREM TAXES</t>
  </si>
  <si>
    <t>Steam Electric Plants In Idaho:</t>
  </si>
  <si>
    <t xml:space="preserve">     None</t>
  </si>
  <si>
    <t xml:space="preserve">Total Steam </t>
  </si>
  <si>
    <t>Other:</t>
  </si>
  <si>
    <t>TOTAL IDAHO AD VALOREM TAXES</t>
  </si>
  <si>
    <t>Montana</t>
  </si>
  <si>
    <t>Steam Electric Plants in Montana:</t>
  </si>
  <si>
    <t>Nevada</t>
  </si>
  <si>
    <t>Steam Electric Plants in Nevada:</t>
  </si>
  <si>
    <t xml:space="preserve">      Production</t>
  </si>
  <si>
    <t>TOTAL NEVADA AD VALOREM TAXES</t>
  </si>
  <si>
    <t>Steam Electric Plants in Oregon:</t>
  </si>
  <si>
    <t>TOTAL OREGON AD VALOREM TAXES</t>
  </si>
  <si>
    <t>Wyoming</t>
  </si>
  <si>
    <t>Steam Electric Plants in Wyoming:</t>
  </si>
  <si>
    <t>TOTAL WYOMING AD VALOREM TAXES</t>
  </si>
  <si>
    <t>OATT Attach H, 3.7</t>
  </si>
  <si>
    <t>120157</t>
  </si>
  <si>
    <t xml:space="preserve">Net PTP Transmission </t>
  </si>
  <si>
    <t xml:space="preserve"> PTP * E * (Formula Rate pre 890 - Formula Rate)</t>
  </si>
  <si>
    <t>Transmission Revenue Requirement:</t>
  </si>
  <si>
    <t>Transmission Revenue Credits:</t>
  </si>
  <si>
    <t>Net PTP Transmission Revenue Requirement:</t>
  </si>
  <si>
    <t>Network Transmission Revenue Requirement:</t>
  </si>
  <si>
    <t>((32) + (33)) / (34)</t>
  </si>
  <si>
    <t>(40) / (41)</t>
  </si>
  <si>
    <t>(49) / (50)</t>
  </si>
  <si>
    <t xml:space="preserve"> TRANSMISSION COST OF SERVICE RATE DEVELOPMENT</t>
  </si>
  <si>
    <t>Reimbursement for losses on grounded shield wire</t>
  </si>
  <si>
    <t>Vintage Year</t>
  </si>
  <si>
    <t>Years in Service</t>
  </si>
  <si>
    <t>Accumulated Depreciation</t>
  </si>
  <si>
    <t>American Falls Power Plant</t>
  </si>
  <si>
    <t>Brownlee Power Plant Adams</t>
  </si>
  <si>
    <t>Bliss Power Plant Gooding</t>
  </si>
  <si>
    <t>Cascade Power Plant</t>
  </si>
  <si>
    <t>Clear Lake Power Plant</t>
  </si>
  <si>
    <t>Danskin Power Plant</t>
  </si>
  <si>
    <t>Hells Canyon Power Plant Wallo</t>
  </si>
  <si>
    <t>Lower Malad Power Plant</t>
  </si>
  <si>
    <t>Lower Salmon Power Plant Goodi</t>
  </si>
  <si>
    <t>Milner Power Plant</t>
  </si>
  <si>
    <t>Oxbow Power Plant Baker</t>
  </si>
  <si>
    <t>Shoshone Falls Power Plant Jer</t>
  </si>
  <si>
    <t>Strike C J Power Plant Owyhee</t>
  </si>
  <si>
    <t>Swan Falls Power Plant Ada</t>
  </si>
  <si>
    <t>Twin Falls Power Plant Twin Fa</t>
  </si>
  <si>
    <t>Twin Falls Power Plant (New)</t>
  </si>
  <si>
    <t>Thousand Springs Power Plant</t>
  </si>
  <si>
    <t>Upper Malad Power Plant</t>
  </si>
  <si>
    <t>Upper Salmon A Power Plant</t>
  </si>
  <si>
    <t>Upper Salmon B Power Plant</t>
  </si>
  <si>
    <t>Schedule 7</t>
  </si>
  <si>
    <t>GSU Allocator</t>
  </si>
  <si>
    <t>Transmission Pole Attachments</t>
  </si>
  <si>
    <t>Non-Firm</t>
  </si>
  <si>
    <t>Short Term Firm</t>
  </si>
  <si>
    <t>SCHEDULE 7</t>
  </si>
  <si>
    <t>LOCATION</t>
  </si>
  <si>
    <t>Boardman</t>
  </si>
  <si>
    <t>Jim Bridger</t>
  </si>
  <si>
    <t>Schedule 1 Workpaper</t>
  </si>
  <si>
    <t>Total ADIT (Account 190)</t>
  </si>
  <si>
    <t xml:space="preserve">   Total</t>
  </si>
  <si>
    <t>SCHEDULE 5</t>
  </si>
  <si>
    <t>Less GSU O&amp;M</t>
  </si>
  <si>
    <t>Less LGI O&amp;M</t>
  </si>
  <si>
    <t xml:space="preserve">   Transmission Plant Less GSU's &amp; LGI's </t>
  </si>
  <si>
    <t xml:space="preserve">Transmission Plant Less GSU's &amp; LGI's </t>
  </si>
  <si>
    <t xml:space="preserve">Transmission Depreciation Reserve Generator Step-Ups </t>
  </si>
  <si>
    <t>Account 252-Transmission (Net)</t>
  </si>
  <si>
    <t xml:space="preserve">   Less pre-paid Pension Expense</t>
  </si>
  <si>
    <t xml:space="preserve">   Net Prepayments</t>
  </si>
  <si>
    <t xml:space="preserve">   GSU Plant</t>
  </si>
  <si>
    <t>GSU Plant</t>
  </si>
  <si>
    <t>(8)+(12)+(16)+(18)+(20)</t>
  </si>
  <si>
    <t>Annual Depreciation Accrual</t>
  </si>
  <si>
    <t>By Plant and By Vintage Year</t>
  </si>
  <si>
    <t>Transmission Depreciation Expense</t>
  </si>
  <si>
    <t xml:space="preserve">FF1 p 336 7f </t>
  </si>
  <si>
    <t>Total Transmission Depreciation Expense</t>
  </si>
  <si>
    <t>Less GSU Depreciation Expense</t>
  </si>
  <si>
    <t>Less LGI Depreciation Expense</t>
  </si>
  <si>
    <t>Transmission Operation and Maintenance Expense</t>
  </si>
  <si>
    <t>Transmission O&amp;M Expense</t>
  </si>
  <si>
    <t>Accumulated Deferred Income Tax Adjustments</t>
  </si>
  <si>
    <t>LGI's</t>
  </si>
  <si>
    <t xml:space="preserve">Transmission Depreciation Reserve LGI's </t>
  </si>
  <si>
    <t>Real Estate Rents</t>
  </si>
  <si>
    <t>Accumulated Deferred Income Tax Allocated to Transmission</t>
  </si>
  <si>
    <t>LGI Allocator</t>
  </si>
  <si>
    <t>LGI Plant</t>
  </si>
  <si>
    <t>Less Wage Expense Allocated to GSU's</t>
  </si>
  <si>
    <t>Less Wage Expense Allocated to LGI's</t>
  </si>
  <si>
    <t xml:space="preserve">  Transmission Wage Expense </t>
  </si>
  <si>
    <t xml:space="preserve">   LGI Plant</t>
  </si>
  <si>
    <t>Line 32</t>
  </si>
  <si>
    <t xml:space="preserve">Amount Direct Assigned to Transmission </t>
  </si>
  <si>
    <t xml:space="preserve">Amount Direct Assigned to General </t>
  </si>
  <si>
    <t>Cogeneration</t>
  </si>
  <si>
    <t>Source</t>
  </si>
  <si>
    <t>Amount</t>
  </si>
  <si>
    <t>TRANSMISSION RATE BASE</t>
  </si>
  <si>
    <t>ADIT Allocated to Trans</t>
  </si>
  <si>
    <t>Schedule 1</t>
  </si>
  <si>
    <t xml:space="preserve">Intangible Plant </t>
  </si>
  <si>
    <t>Transmission Rate Base</t>
  </si>
  <si>
    <t>Overall Return</t>
  </si>
  <si>
    <t>The annual composite depreciation rate for</t>
  </si>
  <si>
    <t>transmission plant accounts (350 - 359) is</t>
  </si>
  <si>
    <t>Schedule 6</t>
  </si>
  <si>
    <t>EXPENSES</t>
  </si>
  <si>
    <t>O&amp;M Expense:  Transmission</t>
  </si>
  <si>
    <t xml:space="preserve">O&amp;M Expense:  A&amp;G </t>
  </si>
  <si>
    <t>Schedule 2</t>
  </si>
  <si>
    <t>Schedule 12</t>
  </si>
  <si>
    <t>Post Retirement Benefits Other than Pensions</t>
  </si>
  <si>
    <t>Methodology:</t>
  </si>
  <si>
    <t>-Compute the rate impact</t>
  </si>
  <si>
    <t>Total Increase (Decrease) of PBOPs</t>
  </si>
  <si>
    <t>Impact on Expenses:</t>
  </si>
  <si>
    <t>Change in O&amp;M Expense: Transmission A&amp;G</t>
  </si>
  <si>
    <t>(5) * (8)</t>
  </si>
  <si>
    <t>Impact on Rate Base:</t>
  </si>
  <si>
    <t>Change in Transmission Rate Base</t>
  </si>
  <si>
    <t>(9) * (12)</t>
  </si>
  <si>
    <t>Impact on Return and Income Taxes:</t>
  </si>
  <si>
    <t>Total Return and Income Tax</t>
  </si>
  <si>
    <t>(16) + (17)</t>
  </si>
  <si>
    <t>Change in Transmission Return and Income Taxes</t>
  </si>
  <si>
    <t>(13) * (18)</t>
  </si>
  <si>
    <t>Total Impact on Transmission Revenue Requirement</t>
  </si>
  <si>
    <t>(9) + (20)</t>
  </si>
  <si>
    <t>Rate Impact</t>
  </si>
  <si>
    <t>(32)/((34)*1000)</t>
  </si>
  <si>
    <t>(36) / 12</t>
  </si>
  <si>
    <t>Rate Calculation - (22)</t>
  </si>
  <si>
    <t>(41)/((43)*1000)</t>
  </si>
  <si>
    <t>(45) / 12</t>
  </si>
  <si>
    <t>Section 205 filing required?</t>
  </si>
  <si>
    <t>2.2.1</t>
  </si>
  <si>
    <t>Transmission Wages and Salaries</t>
  </si>
  <si>
    <t>Net PTP Transmission Revenue Requirement</t>
  </si>
  <si>
    <t>Sum (42) Thru (45)</t>
  </si>
  <si>
    <t>(60) - (61)</t>
  </si>
  <si>
    <t>(72) + (75) + (78)</t>
  </si>
  <si>
    <t>(10) * (11)</t>
  </si>
  <si>
    <t>(7) * (8)</t>
  </si>
  <si>
    <t>(14) * (15)</t>
  </si>
  <si>
    <t>(21) * (22)</t>
  </si>
  <si>
    <t>(28) * (29)</t>
  </si>
  <si>
    <t>(35) * (36)</t>
  </si>
  <si>
    <t>(46) * (47)</t>
  </si>
  <si>
    <t>((53) + (54)) * 0.125</t>
  </si>
  <si>
    <t>(62) * (63)</t>
  </si>
  <si>
    <t>(67) * (68)</t>
  </si>
  <si>
    <t>(73) * (74)</t>
  </si>
  <si>
    <t>(76) * (77)</t>
  </si>
  <si>
    <t>(26) * (27)</t>
  </si>
  <si>
    <t>((47) + (48)) * (49)</t>
  </si>
  <si>
    <t>(41)+(42)+(43)+(46)+(50)</t>
  </si>
  <si>
    <t>(57) * (58)</t>
  </si>
  <si>
    <t>Sum (62) Thru (64)</t>
  </si>
  <si>
    <t>(Sum (3) Thru (6)) * (7)</t>
  </si>
  <si>
    <t>(5) * (17)</t>
  </si>
  <si>
    <t>(12) * (17)</t>
  </si>
  <si>
    <t>Sum (17) Thru (19)</t>
  </si>
  <si>
    <t>Sum (29) Thru (31)</t>
  </si>
  <si>
    <t>(47) + (48)</t>
  </si>
  <si>
    <t>Deprec Expense:  Transmission</t>
  </si>
  <si>
    <t>Deprec Expense:  General Plant</t>
  </si>
  <si>
    <t>Transmission Expense</t>
  </si>
  <si>
    <t>Gross Transmission Revenue Requirement</t>
  </si>
  <si>
    <t>Transmission Revenue Credits</t>
  </si>
  <si>
    <t>Schedule 4</t>
  </si>
  <si>
    <t>Schedule 5</t>
  </si>
  <si>
    <t>Annual Rate $/kW per year</t>
  </si>
  <si>
    <t>Monthly Rate $/kW per month</t>
  </si>
  <si>
    <t>Weekly Rate $/kW per week</t>
  </si>
  <si>
    <t>Daily Rate $/kW per day (Mon-Sat)</t>
  </si>
  <si>
    <t>Daily Rate $/kW per day (Sunday)</t>
  </si>
  <si>
    <t>Hourly Rate $/MW per hour  (Peak)</t>
  </si>
  <si>
    <t>Hourly Rate $/MW per hour  (Off-Peak)</t>
  </si>
  <si>
    <t>Allocated Investment</t>
  </si>
  <si>
    <t>ADIT Allocated to Transmission</t>
  </si>
  <si>
    <t>Transmission Plant Allocator</t>
  </si>
  <si>
    <t>Schedule 3</t>
  </si>
  <si>
    <t>General Plant</t>
  </si>
  <si>
    <t>Trans Related General Plant</t>
  </si>
  <si>
    <t>Intangible Plant</t>
  </si>
  <si>
    <t>Intangible Plant Investment</t>
  </si>
  <si>
    <t>Trans Related Intangible Plant</t>
  </si>
  <si>
    <t>ATTACHMENT H</t>
  </si>
  <si>
    <t xml:space="preserve">Rate Calculation </t>
  </si>
  <si>
    <t>Schedule 2 Workpaper, page 4</t>
  </si>
  <si>
    <t>Ad Valorum Tax Allocation</t>
  </si>
  <si>
    <t>Transmission Plant (excluding Asset Retirement Costs)</t>
  </si>
  <si>
    <t>Notes:</t>
  </si>
  <si>
    <t>The tax rate for Idaho and Oregon is the statutory corporate tax rate for those jurisdictions</t>
  </si>
  <si>
    <t>POR/POD</t>
  </si>
  <si>
    <t>JEFF/IPCO</t>
  </si>
  <si>
    <t xml:space="preserve">Firm Network Service For Others </t>
  </si>
  <si>
    <t>The Monthly formula revenue requriement shall be:</t>
  </si>
  <si>
    <t>RATE CALCULATION</t>
  </si>
  <si>
    <t>FF1 p 321  96b</t>
  </si>
  <si>
    <t>General Plant Depreciation Reserve (excluding Asset Retirement Costs)</t>
  </si>
  <si>
    <t>CBM</t>
  </si>
  <si>
    <t>CBM Network Rate Adjustment 1/:</t>
  </si>
  <si>
    <t>Source:</t>
  </si>
  <si>
    <t>OATT Schedule 9, Appendix A</t>
  </si>
  <si>
    <t xml:space="preserve">                           (E - PTP)</t>
  </si>
  <si>
    <t>Where:</t>
  </si>
  <si>
    <t xml:space="preserve">PTP = </t>
  </si>
  <si>
    <t>Spreadsheet, Schedule 5</t>
  </si>
  <si>
    <t>E =</t>
  </si>
  <si>
    <t xml:space="preserve">Formula Rate pre 890 = </t>
  </si>
  <si>
    <t xml:space="preserve">Formula Rate = </t>
  </si>
  <si>
    <t>+</t>
  </si>
  <si>
    <t>Cash Working Capital</t>
  </si>
  <si>
    <t>Transmission Depreciation Reserve (Acct 108) (excluding Asset Retirement Costs)</t>
  </si>
  <si>
    <t xml:space="preserve">FF1 p207 99g - 98g </t>
  </si>
  <si>
    <t>Milner Irrigation District</t>
  </si>
  <si>
    <t>Frontier</t>
  </si>
  <si>
    <t>State of Idaho Public TV</t>
  </si>
  <si>
    <t>Integra</t>
  </si>
  <si>
    <t>Level III</t>
  </si>
  <si>
    <t>T-Mobile</t>
  </si>
  <si>
    <t>Transmission Poles</t>
  </si>
  <si>
    <t>Distribution Poles</t>
  </si>
  <si>
    <t>Conduit</t>
  </si>
  <si>
    <t>SCHEDULE 1 WORKPAPER</t>
  </si>
  <si>
    <t>Account 454 Rents From Electric Property by Category and Subaccount</t>
  </si>
  <si>
    <t>SCHEDULE 6 WORKPAPER, Page 2</t>
  </si>
  <si>
    <t>SCHEDULE 6 WORKPAPER, Page 3</t>
  </si>
  <si>
    <t>SCHEDULE 1</t>
  </si>
  <si>
    <t>SCHEDULE 2</t>
  </si>
  <si>
    <t>SCHEDULE 3</t>
  </si>
  <si>
    <t>SCHEDULE 4</t>
  </si>
  <si>
    <t>Reimbursable Payments For Network Upgrades</t>
  </si>
  <si>
    <t>SCHEDULE 12</t>
  </si>
  <si>
    <t>SCHEDULE 2 WORKPAPER, PAGE 3</t>
  </si>
  <si>
    <t>SCHEDULE 2 WORKPAPER, PAGE 4</t>
  </si>
  <si>
    <t>SCHEDULE 4 WORKPAPER, PAGE 1</t>
  </si>
  <si>
    <t>SCHEDULE 4 WORKPAPER, PAGE 2</t>
  </si>
  <si>
    <t>SCHEDULE 4 WORKPAPER, PAGE 6</t>
  </si>
  <si>
    <t>OATT Non-Firm and Short Term Firm Transmission Wheeling Revenues</t>
  </si>
  <si>
    <t>Transmission-Related Revenues Reported in Account 456 for which</t>
  </si>
  <si>
    <t>Reconciliation of Form 1 with Data Used in the Rate Calculation</t>
  </si>
  <si>
    <t>SCHEDULE 4 WORKPAPER, PAGE 7</t>
  </si>
  <si>
    <t>General Plant (excluding Asset Retirement Costs)</t>
  </si>
  <si>
    <t xml:space="preserve">Sched 1 Workpaper </t>
  </si>
  <si>
    <t>General Plant Investment (excluding Asset Retirement Costs)</t>
  </si>
  <si>
    <t>Prepayments (Account 165)</t>
  </si>
  <si>
    <t>FF1 p 227 11c</t>
  </si>
  <si>
    <t>FF1 p 227 16c</t>
  </si>
  <si>
    <t>Distribution</t>
  </si>
  <si>
    <t>A&amp;G O&amp;M Expense</t>
  </si>
  <si>
    <t>Working Capital Allowance</t>
  </si>
  <si>
    <t>Allocated Expenses</t>
  </si>
  <si>
    <t>A&amp;G Expense</t>
  </si>
  <si>
    <t>Investment Tax Credit</t>
  </si>
  <si>
    <t>Allocated ITC</t>
  </si>
  <si>
    <t>Total ITC Credit</t>
  </si>
  <si>
    <t>Taxes Other Than Income Taxes</t>
  </si>
  <si>
    <t xml:space="preserve">   Allocated Amount</t>
  </si>
  <si>
    <t>Changes to the Draft Informational Filing Based on Customer Comments</t>
  </si>
  <si>
    <t xml:space="preserve">Changes to the Draft Informational Filing Based on Customer Comments </t>
  </si>
  <si>
    <t>Allocators</t>
  </si>
  <si>
    <t>Transmission Wage Expense</t>
  </si>
  <si>
    <t>A&amp;G Wage Expense</t>
  </si>
  <si>
    <t>Total Wage Expense</t>
  </si>
  <si>
    <t>General and Intangible Plant Allocator</t>
  </si>
  <si>
    <t xml:space="preserve"> </t>
  </si>
  <si>
    <t xml:space="preserve">The transmission related amount of Rent From Electric Property included in Account 454 </t>
  </si>
  <si>
    <t>is :</t>
  </si>
  <si>
    <t>Revenues From Transmission For Others (Account 456):</t>
  </si>
  <si>
    <t>Total Transmission Revenue Credit</t>
  </si>
  <si>
    <t>Rate of Return</t>
  </si>
  <si>
    <t>Capitalization Structure</t>
  </si>
  <si>
    <t>Percent</t>
  </si>
  <si>
    <t>Embedded</t>
  </si>
  <si>
    <t>Weighted</t>
  </si>
  <si>
    <t>Preferred Stock</t>
  </si>
  <si>
    <t>Common Equity</t>
  </si>
  <si>
    <t xml:space="preserve">     Total Capitalization</t>
  </si>
  <si>
    <t>Prepayments</t>
  </si>
  <si>
    <t>Transmission Related Prepayments</t>
  </si>
  <si>
    <t>Total Property Insurance</t>
  </si>
  <si>
    <t>Property Insurance to Transmission</t>
  </si>
  <si>
    <t>Regulatory Commission Expenses - FERC</t>
  </si>
  <si>
    <t>Regulatory Commission Expenses to Transmission</t>
  </si>
  <si>
    <t>Regulatory Commission Expenses - Other Transmission Related</t>
  </si>
  <si>
    <t>Total A&amp;G to Transmission</t>
  </si>
  <si>
    <t>A&amp;G to Transmission, excl Prop ins; Reg Comm Exp; Adv.</t>
  </si>
  <si>
    <t xml:space="preserve">   Less Account 561 (Load Dispatching)</t>
  </si>
  <si>
    <t xml:space="preserve">   Less:  Account 565 (Transmission of Electricity By Others)</t>
  </si>
  <si>
    <t>General &amp; Intangible Plant Allocator</t>
  </si>
  <si>
    <t>ADIT to General &amp; Intangible</t>
  </si>
  <si>
    <t>General Plant Depreciation Reserve</t>
  </si>
  <si>
    <t>RETURN AND ASSOCIATED INCOME TAXES</t>
  </si>
  <si>
    <t>Allocated General  &amp; Intangible Plant</t>
  </si>
  <si>
    <t>Transmission Related General Plant</t>
  </si>
  <si>
    <t>Transmission Related Intangible Plant</t>
  </si>
  <si>
    <t>Sum</t>
  </si>
  <si>
    <t xml:space="preserve">   Acct 924 (Property Insurance)</t>
  </si>
  <si>
    <t xml:space="preserve">   Acct 928 (Regulatory Commission Expense)</t>
  </si>
  <si>
    <t xml:space="preserve">   Account 930.1 (General Advertising Expense)</t>
  </si>
  <si>
    <t xml:space="preserve">    Allocated Amount</t>
  </si>
  <si>
    <t>Total Taxes Other Than Income Taxes</t>
  </si>
  <si>
    <t>Sum (1) Thru (19)</t>
  </si>
  <si>
    <t>FF1 p111 57c</t>
  </si>
  <si>
    <t xml:space="preserve">Effective Cost </t>
  </si>
  <si>
    <t>Amortized ITC - Electric (Account 411.4)</t>
  </si>
  <si>
    <t>TOTAL</t>
  </si>
  <si>
    <t>January</t>
  </si>
  <si>
    <t>February</t>
  </si>
  <si>
    <t>March</t>
  </si>
  <si>
    <t>April</t>
  </si>
  <si>
    <t>May</t>
  </si>
  <si>
    <t>June</t>
  </si>
  <si>
    <t>July</t>
  </si>
  <si>
    <t>August</t>
  </si>
  <si>
    <t>September</t>
  </si>
  <si>
    <t>October</t>
  </si>
  <si>
    <t>November</t>
  </si>
  <si>
    <t>December</t>
  </si>
  <si>
    <t>Firm Network</t>
  </si>
  <si>
    <t>Service for</t>
  </si>
  <si>
    <t>Others</t>
  </si>
  <si>
    <t>A</t>
  </si>
  <si>
    <t>B</t>
  </si>
  <si>
    <t>ADIT (Account 190)</t>
  </si>
  <si>
    <t>ADIT (Account 281)</t>
  </si>
  <si>
    <t>ADIT (Account 282)</t>
  </si>
  <si>
    <t>ADIT (Account 283)</t>
  </si>
  <si>
    <t>FF1 p 277 9k</t>
  </si>
  <si>
    <t>FF1 p234 8c</t>
  </si>
  <si>
    <t>Sum of ADIT</t>
  </si>
  <si>
    <t xml:space="preserve">Return and Income Taxes </t>
  </si>
  <si>
    <t>Amort of ITC (Acct 411.4)</t>
  </si>
  <si>
    <t>Rent From Electric Property (Account 454)</t>
  </si>
  <si>
    <t>ADIT Allocated to Gen &amp; Intang</t>
  </si>
  <si>
    <t>ADIT Allocated to General &amp; Intangible</t>
  </si>
  <si>
    <t>Composite Income Tax (Federal and State)</t>
  </si>
  <si>
    <t>Amortization of Utility Plant</t>
  </si>
  <si>
    <t>Schedule 2 Workpaper page 1</t>
  </si>
  <si>
    <t>Schedule 2 Workpaper page 2</t>
  </si>
  <si>
    <t>DESCRIPTION</t>
  </si>
  <si>
    <t>AMOUNT</t>
  </si>
  <si>
    <t>WORK ORDER NUMBER</t>
  </si>
  <si>
    <t>Workpapers Title Page</t>
  </si>
  <si>
    <t>Workpapers</t>
  </si>
  <si>
    <t>WORKPAPERS</t>
  </si>
  <si>
    <t>Recalculated Rate Using "E"</t>
  </si>
  <si>
    <t>Trans Related Amortization of Utility Plant</t>
  </si>
  <si>
    <t xml:space="preserve">Transmission Related Amortization of Intangible Plant </t>
  </si>
  <si>
    <t>SCHEDULE 6</t>
  </si>
  <si>
    <t xml:space="preserve"> INCOME TAX EXPENSE</t>
  </si>
  <si>
    <t>Federal Tax Rate</t>
  </si>
  <si>
    <t>Composite State Tax Rate</t>
  </si>
  <si>
    <t>OVERALL RATE OF RETURN</t>
  </si>
  <si>
    <t>Federal Tax Factor:</t>
  </si>
  <si>
    <t>State Tax Factor:</t>
  </si>
  <si>
    <t>(((ROR-Wtd.LTD) + [(EqAFUDC + ITC) / RateBase]) * (FT)) / (1-FT)</t>
  </si>
  <si>
    <t>(((ROR-Wtd.LTD) + [(EqAFUDC + ITC) / RateBase] + Federal Income Tax Rate) * (ST)) / (1-ST)</t>
  </si>
  <si>
    <t>Sum of Federal and State Tax Factors</t>
  </si>
  <si>
    <t>EQAFUDC =</t>
  </si>
  <si>
    <t>ITC=</t>
  </si>
  <si>
    <t xml:space="preserve">Transmission Plant Held For Future Use  </t>
  </si>
  <si>
    <t xml:space="preserve">General Plant Held For Future Use  </t>
  </si>
  <si>
    <t>General Plant Held For Future Use</t>
  </si>
  <si>
    <t>Transmission Related General Plant Held For Future Use</t>
  </si>
  <si>
    <t xml:space="preserve">Transmission Materials &amp; Supplies </t>
  </si>
  <si>
    <t>Transmission Materials and Supplies</t>
  </si>
  <si>
    <t>Transmission Related Account 163</t>
  </si>
  <si>
    <t>Total Transmission Materials and Supplies</t>
  </si>
  <si>
    <t xml:space="preserve"> Schedule 1</t>
  </si>
  <si>
    <t>Account 154 - Transmission</t>
  </si>
  <si>
    <t>Account 154 - General</t>
  </si>
  <si>
    <t>Transmission Related Account 154 - General</t>
  </si>
  <si>
    <t>General Plant Depreciation</t>
  </si>
  <si>
    <t>Transmission Related Amortization of Intangible Plant (Account 404)</t>
  </si>
  <si>
    <t>III.  Interest Expense Accrued</t>
  </si>
  <si>
    <t>Line 37 - Line 46</t>
  </si>
  <si>
    <t xml:space="preserve">Taxes Other than Income:  </t>
  </si>
  <si>
    <t>Payroll Adjustment</t>
  </si>
  <si>
    <t>Plant Allocator</t>
  </si>
  <si>
    <t>Transmission Wages &amp; Salaries Allocator</t>
  </si>
  <si>
    <t>System Peak Demand - MW</t>
  </si>
  <si>
    <t>Short-Term Firm</t>
  </si>
  <si>
    <t>Transmission</t>
  </si>
  <si>
    <t>12 CP (Rounded)</t>
  </si>
  <si>
    <t xml:space="preserve">Generator Step Up Facilities </t>
  </si>
  <si>
    <t>Transmission Cash Working Capital</t>
  </si>
  <si>
    <t>FOAB &amp; Unempl Tax</t>
  </si>
  <si>
    <t xml:space="preserve">Line 44 x Line 45 </t>
  </si>
  <si>
    <t>Form 1</t>
  </si>
  <si>
    <t>IDAHO POWER COMPANY</t>
  </si>
  <si>
    <t>Class and Series</t>
  </si>
  <si>
    <t>Issued</t>
  </si>
  <si>
    <t>Outstanding</t>
  </si>
  <si>
    <t>Discount</t>
  </si>
  <si>
    <t>Reservations</t>
  </si>
  <si>
    <t>Imnaha</t>
  </si>
  <si>
    <t>USBR</t>
  </si>
  <si>
    <t>Raft River</t>
  </si>
  <si>
    <t>BPA - PF</t>
  </si>
  <si>
    <t>BPA-OTECC</t>
  </si>
  <si>
    <t>Total</t>
  </si>
  <si>
    <t xml:space="preserve"> Long-Term Firm Transmission -  OASIS Reservations</t>
  </si>
  <si>
    <t>IPCM</t>
  </si>
  <si>
    <t>OASIS Ref:</t>
  </si>
  <si>
    <t>Annual</t>
  </si>
  <si>
    <t>[Formula]</t>
  </si>
  <si>
    <t>Net</t>
  </si>
  <si>
    <t>Line</t>
  </si>
  <si>
    <t xml:space="preserve">   Principal Amount</t>
  </si>
  <si>
    <t>Expense</t>
  </si>
  <si>
    <t>Proceeds</t>
  </si>
  <si>
    <t>Interest</t>
  </si>
  <si>
    <t>Effective</t>
  </si>
  <si>
    <t>No</t>
  </si>
  <si>
    <t>Price</t>
  </si>
  <si>
    <t>of Issue</t>
  </si>
  <si>
    <t>Received</t>
  </si>
  <si>
    <t>Rate</t>
  </si>
  <si>
    <t>Requirements</t>
  </si>
  <si>
    <t>Cost</t>
  </si>
  <si>
    <t>First Mortgage Bonds:</t>
  </si>
  <si>
    <t xml:space="preserve">  5.5% Series, due 2033 .…             </t>
  </si>
  <si>
    <t xml:space="preserve">  5.5% Series, due 2034 .…             </t>
  </si>
  <si>
    <t xml:space="preserve">  5.875% Series, due 2034….</t>
  </si>
  <si>
    <t xml:space="preserve">  5.30% Series, due 2035….</t>
  </si>
  <si>
    <t xml:space="preserve">     Total First Mortgage Bonds</t>
  </si>
  <si>
    <t>Pollution Control Revenue Bonds:</t>
  </si>
  <si>
    <t>Total Pollution Control Revenue Bonds</t>
  </si>
  <si>
    <t>TOTAL DEBT CAPITAL ...........</t>
  </si>
  <si>
    <t xml:space="preserve">  Less  Amount Allocated to GSU's</t>
  </si>
  <si>
    <t xml:space="preserve">  Less Amount Allocated to LGI's</t>
  </si>
  <si>
    <t>1/</t>
  </si>
  <si>
    <t>Schedule 8</t>
  </si>
  <si>
    <t>SCHEDULE 8</t>
  </si>
  <si>
    <t>Large Generator Interconnections</t>
  </si>
  <si>
    <t xml:space="preserve"> Investment, Accumulated Depreciation Reserve and Annual Accrual</t>
  </si>
  <si>
    <t>Bennett Mountain Power Plant</t>
  </si>
  <si>
    <t>SCHEDULE 11</t>
  </si>
  <si>
    <t>Charges Under the Formula Rate</t>
  </si>
  <si>
    <t>SCHEDULE 10</t>
  </si>
  <si>
    <t>New Transmission Plant Installed With A Cost in Excess of $250,000</t>
  </si>
  <si>
    <t>SCHEDULE 4 WORKPAPER, PAGE 4</t>
  </si>
  <si>
    <t>Telemetry</t>
  </si>
  <si>
    <t>Fiber Optic Attachment</t>
  </si>
  <si>
    <t>SCHEDULE 2 WORKPAPER, PAGE 1</t>
  </si>
  <si>
    <t>GSU Operation and Maintenance Expense</t>
  </si>
  <si>
    <t xml:space="preserve"> Solely Owned Plants</t>
  </si>
  <si>
    <t>27132459 - DNPR - PREVENTIVE MAINTENANCE</t>
  </si>
  <si>
    <t>27134450 - LMPR PREVENTIVE MAINTENANCE</t>
  </si>
  <si>
    <t>27136696 - BLPR PREVENTIVE MAINTENANCE</t>
  </si>
  <si>
    <t>27136835 - SKPR-PREVENTIVE MAINTENANCE</t>
  </si>
  <si>
    <t>Joint Use Rental Fees</t>
  </si>
  <si>
    <t>(3) / (4)</t>
  </si>
  <si>
    <t>(10) / (11)</t>
  </si>
  <si>
    <t>27136838 - SWPO-PREVENTIVE MAINTENANCE</t>
  </si>
  <si>
    <t>27137842 - AFPR PREVENTIVE MAINTENANCE</t>
  </si>
  <si>
    <t>27137896 - HCPR PREVENTIVE MAINTENANCE</t>
  </si>
  <si>
    <t>27137905 - OBPR PREVENTIVE MAINTENANCE</t>
  </si>
  <si>
    <t>27137974 - CDPO PREVENTIVE MAINTENANCE</t>
  </si>
  <si>
    <t>27141465 - SFPR PREVENTIVE MAINTENANCE</t>
  </si>
  <si>
    <t>27141484 - LSPR PREVENTIVE MAINTENANCE</t>
  </si>
  <si>
    <t>27141523 - BSPO PREVENTIVE MAINTENANCE</t>
  </si>
  <si>
    <t>27141529 - US34 PREVENTIVE MAINTENANCE</t>
  </si>
  <si>
    <t>27141614 - UMPR PREVENTIVE MAINTENANCE</t>
  </si>
  <si>
    <t>27141617 - TSPO PREVENTIVE MAINTENANCE</t>
  </si>
  <si>
    <t>27141624 - TFPR PREVENTIVE MAINTENANCE</t>
  </si>
  <si>
    <t>27141637 - MLPR PREVENTIVE MAINTENANCE</t>
  </si>
  <si>
    <t>27143846 - CLPR PREVENTIVE MAINTENANCE</t>
  </si>
  <si>
    <t>27160282 - US12 PREVENTIVE MAINTENANCE</t>
  </si>
  <si>
    <t>27132460 - DNPR - CORRECTIVE MAINTENANCE</t>
  </si>
  <si>
    <t>27134451 - LMPR CORRECTIVE MAINTENANCE</t>
  </si>
  <si>
    <t>27136700 - BLPR CORRECTIVE MAINTENANCE</t>
  </si>
  <si>
    <t>27136837 - SKPR-CORRECTIVE MAINTENANCE</t>
  </si>
  <si>
    <t>27136839 - SWPO-CORRECTIVE MAINTENANCE</t>
  </si>
  <si>
    <t>27137850 - AFPR CORRECTIVE MAINTENANCE</t>
  </si>
  <si>
    <t>27137900 - HCPR CORRECTIVE MAINTENANCE</t>
  </si>
  <si>
    <t>27137910 - OBPR CORRECTIVE MAINTENANCE</t>
  </si>
  <si>
    <t>27137975 - CDPO CORRECTIVE MAINTENANCE</t>
  </si>
  <si>
    <t>27141469 - SFPR CORRECTIVE MAINTENANCE</t>
  </si>
  <si>
    <t>27141485 - LSPR CORRECTIVE MAINTENANCE</t>
  </si>
  <si>
    <t>27141524 - BSPO CORRECTIVE MAINTENANCE</t>
  </si>
  <si>
    <t>27141530 - US34 CORRENTIVE MAINTENANCE</t>
  </si>
  <si>
    <t>27141615 - UMPR CORRECTIVE MAINTENANCE</t>
  </si>
  <si>
    <t>27141618 - TSPO CORRECTIVE MAINTENANCE</t>
  </si>
  <si>
    <t>27141626 - TFPR CORRECTIVE MAINTENANCE</t>
  </si>
  <si>
    <t>27141638 - MLPR CORRECTIVE MAINTENANCE</t>
  </si>
  <si>
    <t>27143849 - CLPR CORRECTIVE MAINTENANCE</t>
  </si>
  <si>
    <t>27160285 - US12 CORRECTIVE MAINTENANCE</t>
  </si>
  <si>
    <t>Subtotal</t>
  </si>
  <si>
    <t>SCHEDULE 2 WORKPAPER, PAGE 2</t>
  </si>
  <si>
    <t>LGI Operation and Maintenance Expense</t>
  </si>
  <si>
    <t xml:space="preserve">Total Transmission O&amp;M </t>
  </si>
  <si>
    <t>LGI Allocation Factor</t>
  </si>
  <si>
    <t>Transmission O&amp;M Allocated to LGI</t>
  </si>
  <si>
    <t>Line 1 x Line 2</t>
  </si>
  <si>
    <t>Schedule 4 Workpaper page 1</t>
  </si>
  <si>
    <t xml:space="preserve">Amount </t>
  </si>
  <si>
    <t>Subaccount and Category</t>
  </si>
  <si>
    <t>Revenue Credited</t>
  </si>
  <si>
    <t>Comments</t>
  </si>
  <si>
    <t>C</t>
  </si>
  <si>
    <t>D</t>
  </si>
  <si>
    <t>454101, 454102</t>
  </si>
  <si>
    <t>Bureau of Indian Affairs</t>
  </si>
  <si>
    <t>Distribution-related faciliites charges</t>
  </si>
  <si>
    <t>See Schedule 4 Workpaper, page 4</t>
  </si>
  <si>
    <t>Joint Pole Rents</t>
  </si>
  <si>
    <t>See Schedule 4 Workpaper, page 3</t>
  </si>
  <si>
    <t>General Business Facilities Charges</t>
  </si>
  <si>
    <t>Overnight Park Rents</t>
  </si>
  <si>
    <t>Power Supply-related. These fees are for the usage of recreational parks located at hydroelectric power plants owned by the Company</t>
  </si>
  <si>
    <t>454181, 454281</t>
  </si>
  <si>
    <t>Fiber Rents</t>
  </si>
  <si>
    <t>454251, 454271</t>
  </si>
  <si>
    <t>Legacy Agreement-Transmission facilites charges</t>
  </si>
  <si>
    <t>Communication service</t>
  </si>
  <si>
    <t>TOTAL ACCOUNT 454</t>
  </si>
  <si>
    <t>TOTAL AMOUNT REVENUE CREDITED</t>
  </si>
  <si>
    <t>Customer</t>
  </si>
  <si>
    <t>Type</t>
  </si>
  <si>
    <t>Tele</t>
  </si>
  <si>
    <t>Century Tel-Grandview,ID</t>
  </si>
  <si>
    <t>Century Tel-Salmon,ID</t>
  </si>
  <si>
    <t>Farmer's</t>
  </si>
  <si>
    <t>Filer</t>
  </si>
  <si>
    <t xml:space="preserve">Midvale </t>
  </si>
  <si>
    <t>Project Mutual</t>
  </si>
  <si>
    <t>Amalgamated Sugar</t>
  </si>
  <si>
    <t>Misc.</t>
  </si>
  <si>
    <t>American Red Cross</t>
  </si>
  <si>
    <t>Barger Mattson</t>
  </si>
  <si>
    <t>Boise State</t>
  </si>
  <si>
    <t>City of Weiser</t>
  </si>
  <si>
    <t>Kinross Delamar</t>
  </si>
  <si>
    <t>Oregon Trail Electirc</t>
  </si>
  <si>
    <t>St. Lukes</t>
  </si>
  <si>
    <t>CATV</t>
  </si>
  <si>
    <t>Cable One</t>
  </si>
  <si>
    <t>Cambridge</t>
  </si>
  <si>
    <t>Cox</t>
  </si>
  <si>
    <t>CLEC</t>
  </si>
  <si>
    <t>Cricket</t>
  </si>
  <si>
    <t>PCS</t>
  </si>
  <si>
    <t>Totals</t>
  </si>
  <si>
    <t>Clearwire</t>
  </si>
  <si>
    <t>SCHEDULE 4 WORKPAPER, PAGE 3</t>
  </si>
  <si>
    <t>DB2DATE</t>
  </si>
  <si>
    <t>Voucher</t>
  </si>
  <si>
    <t>DISTDESC</t>
  </si>
  <si>
    <t>Sum TOTAMT</t>
  </si>
  <si>
    <t>CC</t>
  </si>
  <si>
    <t>Descr</t>
  </si>
  <si>
    <t>G</t>
  </si>
  <si>
    <t>Schedule 10</t>
  </si>
  <si>
    <t>New Transmission Plant Installed with a Cost in Excess of $250,000</t>
  </si>
  <si>
    <t>1.1.2 n</t>
  </si>
  <si>
    <t>Schedule 11</t>
  </si>
  <si>
    <t>1.1.2 m</t>
  </si>
  <si>
    <t>PP = Power Production</t>
  </si>
  <si>
    <t>D = Distribution</t>
  </si>
  <si>
    <t>G = General</t>
  </si>
  <si>
    <t>GSU</t>
  </si>
  <si>
    <t>Transmission Work Order Types</t>
  </si>
  <si>
    <t>By Vintage Year</t>
  </si>
  <si>
    <t>SCHEDULE 13</t>
  </si>
  <si>
    <t>Schedule 13</t>
  </si>
  <si>
    <t>1.1.4</t>
  </si>
  <si>
    <t xml:space="preserve">Transformer Investment and Accumulated Depreciation </t>
  </si>
  <si>
    <t>Calculation of Point to Point Transmission Tariff Rate</t>
  </si>
  <si>
    <t xml:space="preserve">Annual </t>
  </si>
  <si>
    <t>Demand</t>
  </si>
  <si>
    <t>PTP Rate</t>
  </si>
  <si>
    <t>Transmission Revenue Requirement</t>
  </si>
  <si>
    <t xml:space="preserve"> Revenue Credits</t>
  </si>
  <si>
    <t>Revenue Requirement</t>
  </si>
  <si>
    <t>$/kW-yr</t>
  </si>
  <si>
    <t>Calculation of Annual Network Transmission Revenue Requirement</t>
  </si>
  <si>
    <t>Revenue Credits</t>
  </si>
  <si>
    <t xml:space="preserve">Revenues From </t>
  </si>
  <si>
    <t>Rent From Electric Property</t>
  </si>
  <si>
    <t>Transmission For Others - Account 456</t>
  </si>
  <si>
    <t xml:space="preserve">Total </t>
  </si>
  <si>
    <t>Account 454</t>
  </si>
  <si>
    <t>MW</t>
  </si>
  <si>
    <t>and Non-Firm and Short Term Firm Service For Self</t>
  </si>
  <si>
    <t>Calc of PTP</t>
  </si>
  <si>
    <t>Calc of NT Rev Req</t>
  </si>
  <si>
    <t xml:space="preserve">Rates For OATT Schedules 7, 8 and 9 </t>
  </si>
  <si>
    <t>Calculation of Annual Network Transmission Revenue Requirements</t>
  </si>
  <si>
    <t xml:space="preserve"> Transmission Revenue Credits</t>
  </si>
  <si>
    <t>; 1.1.2 b</t>
  </si>
  <si>
    <t>WORKSHEET</t>
  </si>
  <si>
    <t>TITLE</t>
  </si>
  <si>
    <t>OATT REFERENCE</t>
  </si>
  <si>
    <t>FUNCTIONAL  ASSIGNMENT</t>
  </si>
  <si>
    <t>G Subtotal</t>
  </si>
  <si>
    <t>Direct Communications</t>
  </si>
  <si>
    <t>Verizon</t>
  </si>
  <si>
    <t>Custer Telephone</t>
  </si>
  <si>
    <t>PP Subtotal</t>
  </si>
  <si>
    <t>T Subtotal</t>
  </si>
  <si>
    <t>D Subtotal</t>
  </si>
  <si>
    <t>SCHEDULE 4 WORKPAPER, PAGE 5</t>
  </si>
  <si>
    <t>Application Fees - Joint Use Rentals</t>
  </si>
  <si>
    <t>1.1.2 a</t>
  </si>
  <si>
    <t>1.1.2 c</t>
  </si>
  <si>
    <t>1.1.2 d</t>
  </si>
  <si>
    <t>1.1.2 e</t>
  </si>
  <si>
    <t>1.1.2 f</t>
  </si>
  <si>
    <t>1.1.2 g</t>
  </si>
  <si>
    <t>1.1.2 h</t>
  </si>
  <si>
    <t>1.1.2 i</t>
  </si>
  <si>
    <t>1.1.2 j</t>
  </si>
  <si>
    <t xml:space="preserve">Large Generator Interconnection Investment, Accumulated Depreciation Reserve and Annual Accrual </t>
  </si>
  <si>
    <t>1.1.2 l</t>
  </si>
  <si>
    <t>1.1.2 k</t>
  </si>
  <si>
    <t>Reimbursable Prepayments For Network Upgrades and Interest Expense Reimbursed</t>
  </si>
  <si>
    <t>Total Transmission Plant (excl. Asset Retirement Costs)</t>
  </si>
  <si>
    <t>(20) /  ((22) - (21))</t>
  </si>
  <si>
    <t>Total Electric Plant (excl. Asset Retirement Costs)</t>
  </si>
  <si>
    <t>Sum (68) Thru (70)</t>
  </si>
  <si>
    <t>Subaccount and Category (Source of Rent)</t>
  </si>
  <si>
    <t>Nature of Each Source of Rent</t>
  </si>
  <si>
    <t>To Schedule 4, lines 4, 5 and 6</t>
  </si>
  <si>
    <t>To Schedule 4 Workpaper, page 1</t>
  </si>
  <si>
    <t>To Sch 4 Workpaper, p 1:</t>
  </si>
  <si>
    <t xml:space="preserve"> FF1 p 323 185 b</t>
  </si>
  <si>
    <t>010157</t>
  </si>
  <si>
    <t>020157</t>
  </si>
  <si>
    <t>040157</t>
  </si>
  <si>
    <t>050157</t>
  </si>
  <si>
    <t>060157</t>
  </si>
  <si>
    <t>080157</t>
  </si>
  <si>
    <t>090157</t>
  </si>
  <si>
    <t>100157</t>
  </si>
  <si>
    <t>110157</t>
  </si>
  <si>
    <t>E</t>
  </si>
  <si>
    <t>F</t>
  </si>
  <si>
    <t>(D) - (B) -(C)</t>
  </si>
  <si>
    <t>Form 1,p400(f)</t>
  </si>
  <si>
    <t>Long-Term Firm PTP</t>
  </si>
  <si>
    <t>FORM 1,p400(e)</t>
  </si>
  <si>
    <t>FORM 1,p400(f)</t>
  </si>
  <si>
    <t>FORM 1,p400(g)</t>
  </si>
  <si>
    <t>FORM 1,p400(i)</t>
  </si>
  <si>
    <t>FORM 1,p400(b)</t>
  </si>
  <si>
    <t>Schedule 5 (A)</t>
  </si>
  <si>
    <t>Schedule 5 (B)</t>
  </si>
  <si>
    <t>Schedule 5 (F)</t>
  </si>
  <si>
    <t>Schedule 5 (E)</t>
  </si>
  <si>
    <t>Schedule 5 (D)</t>
  </si>
  <si>
    <t>Monthly Peak</t>
  </si>
  <si>
    <t>MW Total</t>
  </si>
  <si>
    <t xml:space="preserve"> = Ratio of Transmission to Total </t>
  </si>
  <si>
    <t xml:space="preserve">Service for Self </t>
  </si>
  <si>
    <t>Schedule 4 Workpaper page 6</t>
  </si>
  <si>
    <t>Agreements</t>
  </si>
  <si>
    <t>Schedule 5 (G)</t>
  </si>
  <si>
    <t xml:space="preserve">Legacy </t>
  </si>
  <si>
    <t xml:space="preserve">included in the OATT Short Term Firm and Non Firm revenues shown on this Schedule 4 </t>
  </si>
  <si>
    <t>27237388 - BMPR- PREVENTIVE</t>
  </si>
  <si>
    <t>27237390 - BMPR - CORRECTIVE</t>
  </si>
  <si>
    <t>Category</t>
  </si>
  <si>
    <t>Vin Year</t>
  </si>
  <si>
    <t>Sum Cost</t>
  </si>
  <si>
    <t>Depreciation Rate</t>
  </si>
  <si>
    <t>Total Accumulated Depreciation</t>
  </si>
  <si>
    <t>Net Plant</t>
  </si>
  <si>
    <t>Annual Accrual</t>
  </si>
  <si>
    <t>GPBLPR01</t>
  </si>
  <si>
    <t>GPDNPR</t>
  </si>
  <si>
    <t>GPHCPR03</t>
  </si>
  <si>
    <t>GPOBPR02</t>
  </si>
  <si>
    <t>GPSWPO01</t>
  </si>
  <si>
    <t>GPTFPR03</t>
  </si>
  <si>
    <t>GPMLPR01</t>
  </si>
  <si>
    <t>GPSFPR01</t>
  </si>
  <si>
    <t>GPUMPR01</t>
  </si>
  <si>
    <t>GPCDPO01</t>
  </si>
  <si>
    <t>GPSKPR02</t>
  </si>
  <si>
    <t>GPAFPR01</t>
  </si>
  <si>
    <t>GPCLPR01</t>
  </si>
  <si>
    <t>GPBSPO01</t>
  </si>
  <si>
    <t>GPLMPR01</t>
  </si>
  <si>
    <t>GPTSPO01</t>
  </si>
  <si>
    <t>GPUS1201</t>
  </si>
  <si>
    <t>GPLSPR01</t>
  </si>
  <si>
    <t>GPTFPR01</t>
  </si>
  <si>
    <t>GPUS3401</t>
  </si>
  <si>
    <t>Schedule 7 Workpaper</t>
  </si>
  <si>
    <t>SCL</t>
  </si>
  <si>
    <t>PAC</t>
  </si>
  <si>
    <t>LYPK/LGBP</t>
  </si>
  <si>
    <t>Morgan Stanley Capital Group</t>
  </si>
  <si>
    <t>Portland General Electric</t>
  </si>
  <si>
    <t>Account 163 - Stores Expense Undistributed</t>
  </si>
  <si>
    <t xml:space="preserve">  6.30% Series, due 2037…</t>
  </si>
  <si>
    <t xml:space="preserve">  6.25% Series, due 2037…</t>
  </si>
  <si>
    <t xml:space="preserve">(a) - </t>
  </si>
  <si>
    <t>IV. Total Unreimbursed Portion of Network Upgrade Prepayments (Account 252) Net of Accumulated Depreciation and Interest Expense Accrued:</t>
  </si>
  <si>
    <t xml:space="preserve"> Net of Accumulated Depreciaion</t>
  </si>
  <si>
    <t>Unreimbursed Prepayments</t>
  </si>
  <si>
    <t>II.  Unreimbursed Portion of Network Upgrade Prepayments (Account 252) Net of Accumulated Depreciation</t>
  </si>
  <si>
    <t>Plant Balance</t>
  </si>
  <si>
    <t>I.  Plant Balance and Depreciation</t>
  </si>
  <si>
    <t xml:space="preserve">  6.00% Series, due 2032 .…             </t>
  </si>
  <si>
    <t xml:space="preserve">  4.50% Series due 2020…</t>
  </si>
  <si>
    <t>(1)</t>
  </si>
  <si>
    <t>(2)</t>
  </si>
  <si>
    <t>(3)</t>
  </si>
  <si>
    <t>(4)</t>
  </si>
  <si>
    <t>(5)</t>
  </si>
  <si>
    <t>(6)</t>
  </si>
  <si>
    <t>(7)</t>
  </si>
  <si>
    <t>(8)</t>
  </si>
  <si>
    <t>(9)</t>
  </si>
  <si>
    <t>(10)</t>
  </si>
  <si>
    <t>(11)</t>
  </si>
  <si>
    <t>(12)</t>
  </si>
  <si>
    <t>(13)</t>
  </si>
  <si>
    <t>(14)</t>
  </si>
  <si>
    <t>[(6)-(8)-(9)-(10)]</t>
  </si>
  <si>
    <t>[(2) * (6)]</t>
  </si>
  <si>
    <t>[(13)/(11)]</t>
  </si>
  <si>
    <t>Coupon</t>
  </si>
  <si>
    <t xml:space="preserve">Settlement </t>
  </si>
  <si>
    <t>Maturity</t>
  </si>
  <si>
    <t>(Premium)/</t>
  </si>
  <si>
    <t>Underwriter</t>
  </si>
  <si>
    <t>Date</t>
  </si>
  <si>
    <t>Commission</t>
  </si>
  <si>
    <t>Yield</t>
  </si>
  <si>
    <t xml:space="preserve">  Sweetwater Series 2006, due 2026 …</t>
  </si>
  <si>
    <t xml:space="preserve">  Port of Morrow Series 2000, due 2027…     (a)</t>
  </si>
  <si>
    <t xml:space="preserve">  Humboldt Series 2003, due 2024 …          </t>
  </si>
  <si>
    <t>NOTE: American Falls Dam Bond and Milner Dam Note are guarantees. These instruments are excluded in rate making calculations and therefore are omitted from this schedule.</t>
  </si>
  <si>
    <t>Transmission ROW</t>
  </si>
  <si>
    <t>Transmission App. Fees</t>
  </si>
  <si>
    <t>Distribution App. Fees</t>
  </si>
  <si>
    <t>City of American Falls</t>
  </si>
  <si>
    <t>Less:  non-454 revenue</t>
  </si>
  <si>
    <t>Loss on grounding shield wire in account 456101</t>
  </si>
  <si>
    <t>Application fees booked into accounts 415101 &amp; 415102</t>
  </si>
  <si>
    <t>FF1 p205 5g</t>
  </si>
  <si>
    <t>FF1 p 227 8c</t>
  </si>
  <si>
    <t>FF1 p 336 10b</t>
  </si>
  <si>
    <t>FF1 p336 1d</t>
  </si>
  <si>
    <t>638</t>
  </si>
  <si>
    <t>OBBLPR/LGBP</t>
  </si>
  <si>
    <t>Jointly Owned Plants (Idaho Power's Share 1/)</t>
  </si>
  <si>
    <t xml:space="preserve">1/ The revenue credits associated with Idaho Power Company are not included in the Account 456 balance but are </t>
  </si>
  <si>
    <t>OATT Short Term Firm and Non Firm 1/</t>
  </si>
  <si>
    <t>Total Account 454</t>
  </si>
  <si>
    <t>Substantive Charges to Accounting Policies, Practices and Procedures that could Affect Changes Under the Formula Rate</t>
  </si>
  <si>
    <t>Total A&amp;G Related O&amp;M (Less EPRI dues recorded in Account 930.2)</t>
  </si>
  <si>
    <t>000's</t>
  </si>
  <si>
    <t xml:space="preserve">  3.40% Series due 2020…</t>
  </si>
  <si>
    <t xml:space="preserve">  4.85% Series due 2040…</t>
  </si>
  <si>
    <t>107000 Total</t>
  </si>
  <si>
    <t xml:space="preserve">Restated Transmission Services Agreement Between PacifiCorp and Idaho Power Company dated February 6, 1992 </t>
  </si>
  <si>
    <t xml:space="preserve">Transmission Facilities Agreement between Idaho Power Company, Pacific Power &amp; Light Company, and Utah Power &amp; Light Company dated June 1, 1974 </t>
  </si>
  <si>
    <t xml:space="preserve">Agreement for Interconnection and Transmission Services between Idaho Power Company and Utah Power &amp; Light Company dated March 19, 1982 </t>
  </si>
  <si>
    <t>Section 3 of the Microwave Cooperative Use Agreement dated August 2, 1974, between PacifiCorp and Idaho Power Company.</t>
  </si>
  <si>
    <t>Section 3.1 of the Communications Agreement between Idaho Power Company and PacifiCorp dated February 20, 1996.</t>
  </si>
  <si>
    <t>Joint Ownership and Operating Agreement with PacifiCorp for the Hemingway substation dated May 3, 2010</t>
  </si>
  <si>
    <t>Antenna Building Attachment</t>
  </si>
  <si>
    <t>Syringa</t>
  </si>
  <si>
    <t>Recon Dynamics</t>
  </si>
  <si>
    <t>Snake River</t>
  </si>
  <si>
    <t>Out-of-Period Adjustments</t>
  </si>
  <si>
    <t>T</t>
  </si>
  <si>
    <t>PP</t>
  </si>
  <si>
    <t>Hemmingway JOOA</t>
  </si>
  <si>
    <t>Rate Calculation, ln 49</t>
  </si>
  <si>
    <t>FF1 p200 21c</t>
  </si>
  <si>
    <t>General Advertising Expense - Transmission Related</t>
  </si>
  <si>
    <t>Line 41 x GSU Allocator (Sch 3)</t>
  </si>
  <si>
    <t>Line 41 x LGI Allocator (Sch 3)</t>
  </si>
  <si>
    <t>BPA-USBR NITSA</t>
  </si>
  <si>
    <t>BPA-OTEC NITSA</t>
  </si>
  <si>
    <t xml:space="preserve">SIERRA-Valmy </t>
  </si>
  <si>
    <t xml:space="preserve">PGE-Boardman </t>
  </si>
  <si>
    <t xml:space="preserve">PAC-Bridger-Unit 1 </t>
  </si>
  <si>
    <t xml:space="preserve">PAC-Bridger-Unit 2 </t>
  </si>
  <si>
    <t xml:space="preserve">PAC-Bridger-Unit 3 </t>
  </si>
  <si>
    <t xml:space="preserve">PAC-Bridger-Unit 4 </t>
  </si>
  <si>
    <t xml:space="preserve">PAC-Bridger-Spare </t>
  </si>
  <si>
    <t xml:space="preserve">Rates For OATT Schedule 7, 8 and 9 </t>
  </si>
  <si>
    <t>Functionalization Of Real Estate Rents Recorded In Account 454</t>
  </si>
  <si>
    <t>To Schedule 4, line 8</t>
  </si>
  <si>
    <t>Joint Use Pole Attachment Application Fees</t>
  </si>
  <si>
    <t>Idaho Power Company 1/</t>
  </si>
  <si>
    <t>1/ The revenue credits associated with Idaho Power Company short term firm and non firm are not included in the Account 456 balance but are</t>
  </si>
  <si>
    <t>Pacificorp - Imnaha NITSA</t>
  </si>
  <si>
    <t>Form 1 (Page 400)</t>
  </si>
  <si>
    <t>SCHEDULE 6 WORKPAPER PAGE 1</t>
  </si>
  <si>
    <t>Cost of Long-Term Debt</t>
  </si>
  <si>
    <t>Amortization Expense: Intangible Plant</t>
  </si>
  <si>
    <t>INFORMATIONAL FILING</t>
  </si>
  <si>
    <t xml:space="preserve">1/   </t>
  </si>
  <si>
    <t>Idaho Power Share of Bridger 33.33%</t>
  </si>
  <si>
    <t>Idaho Power Share of Valmy 50%</t>
  </si>
  <si>
    <t>Idaho Power Share of Boardman 10%</t>
  </si>
  <si>
    <t>Bonneville Power Administration</t>
  </si>
  <si>
    <t>Utah Associated Municipal Power</t>
  </si>
  <si>
    <t>Sorance Bean</t>
  </si>
  <si>
    <t>LS Networks</t>
  </si>
  <si>
    <t>Windwave</t>
  </si>
  <si>
    <t>FF1 p214 4d + 5d + 10d + 23d</t>
  </si>
  <si>
    <t>OATT Attach H, 3.1.1.11(f)</t>
  </si>
  <si>
    <t>FF1 p234 450.1 line 7 note 2</t>
  </si>
  <si>
    <t>FF1 p 207 104g, less p 205 15g, 24g ,34g, 44g, less p 207 57g, 74g, 83g, 98g</t>
  </si>
  <si>
    <t>050132</t>
  </si>
  <si>
    <t>070132</t>
  </si>
  <si>
    <t>080132</t>
  </si>
  <si>
    <t>090132</t>
  </si>
  <si>
    <t>100132</t>
  </si>
  <si>
    <t>854</t>
  </si>
  <si>
    <t>FF1 p 219 25(b) less 108.100 = 0</t>
  </si>
  <si>
    <t>FF1 p266 8f</t>
  </si>
  <si>
    <t>FF1 p354 21b</t>
  </si>
  <si>
    <t>FF1 p354 27b</t>
  </si>
  <si>
    <t>FF1 p354 28b</t>
  </si>
  <si>
    <t>415101 &amp; 415102:</t>
  </si>
  <si>
    <t>Joint Use Application Fees are recorded in accounts 415101 and 415102</t>
  </si>
  <si>
    <t>Valmy #1 &amp; Common Non-Steam</t>
  </si>
  <si>
    <t>Valmy #2 Substation</t>
  </si>
  <si>
    <t>Valmy Unit #1 and Common</t>
  </si>
  <si>
    <t>FF1 p 219 28c less 108.100 =0</t>
  </si>
  <si>
    <t>Less Regulatory Liability for Income Taxes</t>
  </si>
  <si>
    <t>Account 415 Joint Use Revenues That are Included as Revenue Credits</t>
  </si>
  <si>
    <t>Allocation Demand and Capacity Data</t>
  </si>
  <si>
    <t>Allocation Demand and Capacity Data - Reconciliation with Form 1</t>
  </si>
  <si>
    <t>T = Transmission</t>
  </si>
  <si>
    <t>General, Allocated to Transmission</t>
  </si>
  <si>
    <t>Total Transmission Related</t>
  </si>
  <si>
    <t xml:space="preserve"> Functionalization of Joint Use Rental Fees Recorded in Account 454</t>
  </si>
  <si>
    <t>IPCL</t>
  </si>
  <si>
    <t>76866224 (Full Transfer from IPCM 74110957)</t>
  </si>
  <si>
    <t>Century Link-Idaho(Capital)</t>
  </si>
  <si>
    <t>Century Link-Oregon(Malhuer)</t>
  </si>
  <si>
    <t>BPA-PF NITSA</t>
  </si>
  <si>
    <t>Pre August 1, 2008 Rates</t>
  </si>
  <si>
    <t>August 1, 2008 - May 31, 2012 Rates</t>
  </si>
  <si>
    <t xml:space="preserve">  2.95% Series due 2022…</t>
  </si>
  <si>
    <t xml:space="preserve">  4.30% Series due 2042…</t>
  </si>
  <si>
    <t>Langley Gulch Power Plant</t>
  </si>
  <si>
    <t>010132</t>
  </si>
  <si>
    <t>020132</t>
  </si>
  <si>
    <t>030132</t>
  </si>
  <si>
    <t>040132</t>
  </si>
  <si>
    <t>060132</t>
  </si>
  <si>
    <t>110133</t>
  </si>
  <si>
    <t>120133</t>
  </si>
  <si>
    <t>Schedule 2 less (Accounts 561 and 565 from Rate Calculation tab)</t>
  </si>
  <si>
    <t>Total 2012</t>
  </si>
  <si>
    <t>TW Telecom</t>
  </si>
  <si>
    <t>Zayo</t>
  </si>
  <si>
    <t>Wtechlink</t>
  </si>
  <si>
    <t>Carl Bond</t>
  </si>
  <si>
    <t>Dana Rasmussen</t>
  </si>
  <si>
    <t>Meadow Outdoor Advertising</t>
  </si>
  <si>
    <t>Motive Power</t>
  </si>
  <si>
    <t>Sam Rosti</t>
  </si>
  <si>
    <t>Snake River PCS</t>
  </si>
  <si>
    <t>US Air Force</t>
  </si>
  <si>
    <t>Verizon Wireless</t>
  </si>
  <si>
    <t>Byrl &amp; Tiz Landers</t>
  </si>
  <si>
    <t>Kenneth &amp; Julie Tew</t>
  </si>
  <si>
    <t>Mike &amp; Sarita Raney</t>
  </si>
  <si>
    <t>Bart 4 LLC</t>
  </si>
  <si>
    <t>Eastwind Community Church</t>
  </si>
  <si>
    <t xml:space="preserve">  2.50% Series due 2023...</t>
  </si>
  <si>
    <t xml:space="preserve">  4.00% Series due 2043...</t>
  </si>
  <si>
    <t>5/1/2012-1/1/2021</t>
  </si>
  <si>
    <t>27351266 - LGSY PREVENTATIVE MAINTENANCE</t>
  </si>
  <si>
    <t>27351267 - LGSY CORRECTIVE MAINTENANCE</t>
  </si>
  <si>
    <t>Valmy Substation</t>
  </si>
  <si>
    <t>Depreciation Jan 1 - Dec 31</t>
  </si>
  <si>
    <t>Difference</t>
  </si>
  <si>
    <t>Misc. difference</t>
  </si>
  <si>
    <t>Application fees:</t>
  </si>
  <si>
    <t>Total invoiced:</t>
  </si>
  <si>
    <t>Recorded to 454 revenue in error:</t>
  </si>
  <si>
    <t>27351266 - LGSY PREVENTIVE MAINTENANCE</t>
  </si>
  <si>
    <t>Pacificorp Inc.</t>
  </si>
  <si>
    <t>Powerex Corporation</t>
  </si>
  <si>
    <t>Nevada Power Company</t>
  </si>
  <si>
    <t>Shell Energy North America (US), LP</t>
  </si>
  <si>
    <t xml:space="preserve">included on this Schedule 4 Workpaper, page 6, on line 28 and in the totals on lines 30 and 32.  </t>
  </si>
  <si>
    <t>Albion Telephone</t>
  </si>
  <si>
    <t>Distribution Power Boxes</t>
  </si>
  <si>
    <t>Vale School District</t>
  </si>
  <si>
    <t>Zito Media</t>
  </si>
  <si>
    <t>Involta</t>
  </si>
  <si>
    <t>Pacificorp, Inc.</t>
  </si>
  <si>
    <t>Bob Watkins Homedale House</t>
  </si>
  <si>
    <t>T-Mobile CHQ Pent (SL02106A)</t>
  </si>
  <si>
    <t>MONTHLY LAND LEASE</t>
  </si>
  <si>
    <t>ANNUAL LAND LEASE</t>
  </si>
  <si>
    <t>Diamond Livestock-Jay Faulkner</t>
  </si>
  <si>
    <t>FF1 p 321  85b to 92b</t>
  </si>
  <si>
    <t>FF1 p 112 3c</t>
  </si>
  <si>
    <t>FF1  p 112 16c</t>
  </si>
  <si>
    <t>General Plant Accum Depr (excluding Asset Retirement Costs)</t>
  </si>
  <si>
    <t>Trans Related General Plant Depr</t>
  </si>
  <si>
    <t>FF1 p214 2d + 9d + 22d</t>
  </si>
  <si>
    <t>FOAB (Soc Sec) and Unemp Tax</t>
  </si>
  <si>
    <t>BORA/LGBP</t>
  </si>
  <si>
    <t xml:space="preserve">1/ Firm Network Service For Self reported in the Form 1, page 400, column (e) is computed as column (b) minus (f) minus (g) minus (i).  In the Form 1, column (b) excludes Short Term Firm Point to Point Reservations (column I in the Form 1).  For purposes of computing the load divisor for the OATT, Firm Network Service For Self is the Total Schedule 5 (D) minus Firm Network Service For Others minus Long Term Firm PTP Reservations.  </t>
  </si>
  <si>
    <t>Transmission Power Boxes</t>
  </si>
  <si>
    <t xml:space="preserve"> FF1 p 350</t>
  </si>
  <si>
    <t>Overhead Line Safety Campaign</t>
  </si>
  <si>
    <t>Radio Ads</t>
  </si>
  <si>
    <t>Print Ads</t>
  </si>
  <si>
    <t>Transmission %</t>
  </si>
  <si>
    <t>Total Advertising</t>
  </si>
  <si>
    <t>Trans Alloc %</t>
  </si>
  <si>
    <t>Trans Amount</t>
  </si>
  <si>
    <t>Schedule 2 Workpaper, page 5</t>
  </si>
  <si>
    <t>FF1 p207 58g</t>
  </si>
  <si>
    <t>FF1 p207 75g</t>
  </si>
  <si>
    <t>SCHEDULE 2 WORKPAPER, PAGE 5</t>
  </si>
  <si>
    <t>Total Transmission O&amp;M less Retail Jurisdictional RTO Development Costs Amortized to Account 566</t>
  </si>
  <si>
    <t>1/ Excludes Other Long-Term Debt.  Other Long-Term Debt includes the American Falls Dam Bond and Milner Dam Note guarantees. These instruments are excluded in rate making calculations and therefore are omitted from this schedule.</t>
  </si>
  <si>
    <t>Transmission Projects Only</t>
  </si>
  <si>
    <t>2/  FF1 p 112 18c</t>
  </si>
  <si>
    <t>Long Term Debt  1/ 2/</t>
  </si>
  <si>
    <t>Changes in Plant Balance</t>
  </si>
  <si>
    <t>1/1/2014-1/1/2019</t>
  </si>
  <si>
    <t>11/04/2015 -7/1/2020</t>
  </si>
  <si>
    <t>81071569 (Redirect billed to 81071569)</t>
  </si>
  <si>
    <t>81825283 (Redirect billed to 78385690)</t>
  </si>
  <si>
    <t>80381490 (Redirect billed to 78385690)</t>
  </si>
  <si>
    <t>11/04/2015 -7/1/2019</t>
  </si>
  <si>
    <t>KPRT/HURR</t>
  </si>
  <si>
    <t>BORA/HURR</t>
  </si>
  <si>
    <t>Washington</t>
  </si>
  <si>
    <t>TOTAL WASHINGTON AD VALOREM TAXES</t>
  </si>
  <si>
    <t>Steam Electric Plants in Washington:</t>
  </si>
  <si>
    <t>TOTAL MONTANA AD VALOREM TAXES</t>
  </si>
  <si>
    <t xml:space="preserve">  3.65% Series due 2045...</t>
  </si>
  <si>
    <t>Joint Ownership and Operating Agreement with PacifiCorp for the Asset Exchange dated October 30, 2015</t>
  </si>
  <si>
    <t>Reimbursement for O&amp;M under Hemingway joint ownership and operating agreement with Pacificorp. To Schedule 4, line 7</t>
  </si>
  <si>
    <t>Reimbursement for O&amp;M charge under the asset exchange joint ownership and operating agreement with Pacificorp. To Schedule 4, line 7</t>
  </si>
  <si>
    <t xml:space="preserve">Distribution-related faciliites charges under Sch 66-(optional distribution services) such as devices for off-site meter reading; Schedules 9, 19, Street Lighting, Dusk to Dawn, etc  </t>
  </si>
  <si>
    <t>Tenaska Power Services Co.</t>
  </si>
  <si>
    <t>The Energy Authority, Inc.</t>
  </si>
  <si>
    <t>Transalta Energy Marketing Inc.</t>
  </si>
  <si>
    <t>Black Hills Power</t>
  </si>
  <si>
    <t>Oregon Idaho Utilities</t>
  </si>
  <si>
    <t>POWER</t>
  </si>
  <si>
    <t>United Electric Co-Op</t>
  </si>
  <si>
    <t>Pole attachment write-offs</t>
  </si>
  <si>
    <t>Barrett &amp; Clay Walker</t>
  </si>
  <si>
    <t>CASCADE HOUSE RENTAL 841</t>
  </si>
  <si>
    <t>MONTHLY LAND LEASE-ADJ</t>
  </si>
  <si>
    <t>Lloyd &amp; Darlene Stockton</t>
  </si>
  <si>
    <t>MCFARLAND</t>
  </si>
  <si>
    <t>NIELSEN GROUP</t>
  </si>
  <si>
    <t>MONTHLY OFFICE LEASE</t>
  </si>
  <si>
    <t>SPRINT NEXTEL</t>
  </si>
  <si>
    <t>STATE OF IDAHO</t>
  </si>
  <si>
    <t>TMOBILE</t>
  </si>
  <si>
    <t xml:space="preserve">USPS Oxbow </t>
  </si>
  <si>
    <t>Wallowa-Whitman Nat'l Forest</t>
  </si>
  <si>
    <t>FF1 p350-351  2h + 5h</t>
  </si>
  <si>
    <t>Property Taxes (ID,OR,MT,NV,WY,WA)</t>
  </si>
  <si>
    <t>V.  Interest Expense Reimbursed 1/</t>
  </si>
  <si>
    <t>1/ Interest expense reimbursed is a component of FERC Account 431 - Other Interest Expense.  Idaho Power queries Account 431 to determine interest amounts associated with network upgrade customer payments to be reported on Schedule 9.</t>
  </si>
  <si>
    <t>Contract Term</t>
  </si>
  <si>
    <t>1/1/2016 - 1/1/2021</t>
  </si>
  <si>
    <t>BPAP</t>
  </si>
  <si>
    <t>81841610 (Redirect billed to 788710967)</t>
  </si>
  <si>
    <t>81841623 (Redirect billed to 80678257)</t>
  </si>
  <si>
    <t>7/1/16 - 7/1/2021</t>
  </si>
  <si>
    <t>SMLK/KPRT</t>
  </si>
  <si>
    <t>M500/KPRT</t>
  </si>
  <si>
    <t xml:space="preserve">Cogeneration O&amp;M Charges Under Idaho Power's </t>
  </si>
  <si>
    <t>Retail Schedule 72 Recorded in Account 454</t>
  </si>
  <si>
    <t>Account 415 Joint Use Revenues that are included as Revenue Credits</t>
  </si>
  <si>
    <t>454152</t>
  </si>
  <si>
    <t>Blinsman</t>
  </si>
  <si>
    <t>Colyer Cattle</t>
  </si>
  <si>
    <t>Dale Meeks (Mayfield Sub)</t>
  </si>
  <si>
    <t>Dan Forsea (1200 Pasture)</t>
  </si>
  <si>
    <t>Dan Forsea (Upper/Lower Pastures)</t>
  </si>
  <si>
    <t>Deven Thompson - 44 Cattle</t>
  </si>
  <si>
    <t>Gary Holmstead - Brownlee</t>
  </si>
  <si>
    <t>Gary Holmstead - Daly Creek</t>
  </si>
  <si>
    <t>IPTV Picabo Communication Site</t>
  </si>
  <si>
    <t>Jeanne Warnock</t>
  </si>
  <si>
    <t>Jentzsch-Kearl - Paul Sub</t>
  </si>
  <si>
    <t>Kittleson</t>
  </si>
  <si>
    <t>Lamar Advertising - Boise Bench</t>
  </si>
  <si>
    <t>Lamar Advertising - Cloverdale Sub</t>
  </si>
  <si>
    <t>Lamar Advertising - Shoreline</t>
  </si>
  <si>
    <t>Lamar Outdoor Advertising - Prj</t>
  </si>
  <si>
    <t>Marlin Mussmann Hunt Sub Prj</t>
  </si>
  <si>
    <t>McKim Lease</t>
  </si>
  <si>
    <t>Meadow Outdoor Adv - COC Prj</t>
  </si>
  <si>
    <t>Oxbow Christian Fellowship - Oxbow</t>
  </si>
  <si>
    <t>Philip Bradley - Dry Crk Sub Prj</t>
  </si>
  <si>
    <t>Rick Wagstaff</t>
  </si>
  <si>
    <t>S Guthrie - Brownlee Cabin - Or</t>
  </si>
  <si>
    <t>Salmon Falls Land &amp; Cattle Co - Prj</t>
  </si>
  <si>
    <t>Salmon Falls Land &amp; Cattle Nonprj</t>
  </si>
  <si>
    <t>State of Idaho - Microwave Services</t>
  </si>
  <si>
    <t>Tara Farms - Brwnl Prj Lands</t>
  </si>
  <si>
    <t>T-Mobile CHQ Pent (SL01868A)</t>
  </si>
  <si>
    <t>Vanderwalker</t>
  </si>
  <si>
    <t>W Rowe - Am Fls Lands</t>
  </si>
  <si>
    <t>Williams Northwest Pipeline</t>
  </si>
  <si>
    <t>WilTel Comm - Prj T Lines (Level 3)</t>
  </si>
  <si>
    <t>City of Nampa</t>
  </si>
  <si>
    <t>United Water Idaho</t>
  </si>
  <si>
    <t>Rural Telephone</t>
  </si>
  <si>
    <t>Fatbeam</t>
  </si>
  <si>
    <t>Unite Private Networks</t>
  </si>
  <si>
    <t>LXI-CLEC</t>
  </si>
  <si>
    <t>Small Cell</t>
  </si>
  <si>
    <t>Recorded in Account 456 that are included as Revenue Credits</t>
  </si>
  <si>
    <t>Transactions are included in the Rate Divisor (Demand-Only Revenue)</t>
  </si>
  <si>
    <t>454001, 454003, 454004, 464161, 454702</t>
  </si>
  <si>
    <t>Water Lease</t>
  </si>
  <si>
    <t>Water leases</t>
  </si>
  <si>
    <t>(-1)(32) * (33)</t>
  </si>
  <si>
    <t>FF1 p 321 112b - (0+0)</t>
  </si>
  <si>
    <t xml:space="preserve">multiplied by Idaho Power's state apportionment factor for each.  </t>
  </si>
  <si>
    <t>Due to the immaterial amount of tax normally due the other states, the rate is simply an</t>
  </si>
  <si>
    <t>estimate based on history.</t>
  </si>
  <si>
    <t xml:space="preserve">  4.05% Series due 2046...</t>
  </si>
  <si>
    <t>Equity AFUDC Charged to CWIP</t>
  </si>
  <si>
    <t>Using 2016 PBOP</t>
  </si>
  <si>
    <t>BRADY REPLACE T232 DIFFERENTIA</t>
  </si>
  <si>
    <t>27365496</t>
  </si>
  <si>
    <t>Year 1</t>
  </si>
  <si>
    <t>Year 2</t>
  </si>
  <si>
    <t>Rebuild of the King to Wood River 138kV transmission line.</t>
  </si>
  <si>
    <t>FOR THE TWELVE MONTHS ENDED DECEMBER 31, 2017</t>
  </si>
  <si>
    <t>FOR RATES EFFECTIVE OCTOBER 1, 2018 - SEPTEMBER 30, 2019</t>
  </si>
  <si>
    <t>Form 1p400(b)</t>
  </si>
  <si>
    <t>This is the average rate for 2017.</t>
  </si>
  <si>
    <t>June 1, 2012 - May 31, 2017 Rates</t>
  </si>
  <si>
    <t>Post May 31, 2017 Rates</t>
  </si>
  <si>
    <t>Cargill-Alliant</t>
  </si>
  <si>
    <t>Pinnacle West Capital Corp.</t>
  </si>
  <si>
    <t>Avangrid Renewables, LLC</t>
  </si>
  <si>
    <t>Energy Keepers, Inc.</t>
  </si>
  <si>
    <t>Macquarie Energy, LLC</t>
  </si>
  <si>
    <t>Northwestern Energy</t>
  </si>
  <si>
    <t>Oregon Telephone Corp</t>
  </si>
  <si>
    <t>Gooding School District</t>
  </si>
  <si>
    <t>City of Kuna</t>
  </si>
  <si>
    <t>Total Fees for 2017</t>
  </si>
  <si>
    <t>454101 &amp; 454102 - G/L balance 12/31/17</t>
  </si>
  <si>
    <t>FF1 p 330 4n x 35%</t>
  </si>
  <si>
    <t>27365867</t>
  </si>
  <si>
    <t>27407468</t>
  </si>
  <si>
    <t>27438453</t>
  </si>
  <si>
    <t>27453373</t>
  </si>
  <si>
    <t>27398064</t>
  </si>
  <si>
    <t>27411064</t>
  </si>
  <si>
    <t>27419115</t>
  </si>
  <si>
    <t>27422788</t>
  </si>
  <si>
    <t>27439799</t>
  </si>
  <si>
    <t>27443365</t>
  </si>
  <si>
    <t>27438960</t>
  </si>
  <si>
    <t>27451578</t>
  </si>
  <si>
    <t>27401503</t>
  </si>
  <si>
    <t>27449581</t>
  </si>
  <si>
    <t>27397544</t>
  </si>
  <si>
    <t>27419123</t>
  </si>
  <si>
    <t>27412985</t>
  </si>
  <si>
    <t>27401346</t>
  </si>
  <si>
    <t>27419238</t>
  </si>
  <si>
    <t>27438958</t>
  </si>
  <si>
    <t>27459521</t>
  </si>
  <si>
    <t>27471681</t>
  </si>
  <si>
    <t>27436715</t>
  </si>
  <si>
    <t>27447054</t>
  </si>
  <si>
    <t>27467380</t>
  </si>
  <si>
    <t>27467131</t>
  </si>
  <si>
    <t>27443536</t>
  </si>
  <si>
    <t>27436312</t>
  </si>
  <si>
    <t>27424718</t>
  </si>
  <si>
    <t>27461005</t>
  </si>
  <si>
    <t>27454493</t>
  </si>
  <si>
    <t>27467045</t>
  </si>
  <si>
    <t>27439198</t>
  </si>
  <si>
    <t>27448962</t>
  </si>
  <si>
    <t>27455183</t>
  </si>
  <si>
    <t>27461147</t>
  </si>
  <si>
    <t>27472881</t>
  </si>
  <si>
    <t>27454240</t>
  </si>
  <si>
    <t>27488550</t>
  </si>
  <si>
    <t>27452561</t>
  </si>
  <si>
    <t>MPSN120004 REPL 302A</t>
  </si>
  <si>
    <t>AFTS-REPLACE 107A AND 131Z BRE</t>
  </si>
  <si>
    <t>DONN150005 RPL DONN-PNGE-BKFT</t>
  </si>
  <si>
    <t>MORA150001 REPLACE LINE RELAYI</t>
  </si>
  <si>
    <t>KPRT REPLACE KPRT-MPSN 345KV L</t>
  </si>
  <si>
    <t>KPRT150003, REPLACE T341 PROTE</t>
  </si>
  <si>
    <t>BOMT140001 UPGRADE CACK-SKPR L</t>
  </si>
  <si>
    <t>WELS REPLACE 063A AND POSS. 06</t>
  </si>
  <si>
    <t>QUTZ140001 REPL 3 138 BREAKERS</t>
  </si>
  <si>
    <t>OBSY150001 REPL 101A 102A 233L</t>
  </si>
  <si>
    <t>AFTS110001-REPLACE KRMR RELAYI</t>
  </si>
  <si>
    <t>GEMM150001 REPLACE 061A/062A/0</t>
  </si>
  <si>
    <t>CDAL130001 REPLACE THE T133REL</t>
  </si>
  <si>
    <t>COMMON ASSET-MPSN120004 REPL M</t>
  </si>
  <si>
    <t>POCO130001 REPLACE 054A AND 05</t>
  </si>
  <si>
    <t>BORA150001 REPLACE C341 SERIES</t>
  </si>
  <si>
    <t>DALE150001, PROVIDE CLOSE SUPE</t>
  </si>
  <si>
    <t>MLNR110102 - REPLACE HTSU-PAUL</t>
  </si>
  <si>
    <t>BOBN140003 - REPL 138KV BUS PR</t>
  </si>
  <si>
    <t>ADEL150002-REPLACE 345KV 301A</t>
  </si>
  <si>
    <t>JOINT ASSET - REPLACE 303A IPO</t>
  </si>
  <si>
    <t>VARI170002 BLPR EIM METERING</t>
  </si>
  <si>
    <t>T163 - PRIORITY 2 REPAIRS, BLA</t>
  </si>
  <si>
    <t>T248150001 T248 TEN YEAR MAINT</t>
  </si>
  <si>
    <t>T328170001 EMMETT-WMLK JCT PRI</t>
  </si>
  <si>
    <t>JOINT ASSET T951140001 MPSN BO</t>
  </si>
  <si>
    <t>T233150001 WESIER-CAMBRIDGE 69</t>
  </si>
  <si>
    <t>T220130001- 2016 LINE 220 MAIN</t>
  </si>
  <si>
    <t>T920130003  STRIKE-CALDWELL 13</t>
  </si>
  <si>
    <t>T328 PRIORITY 2 REPAIRS 69-KV</t>
  </si>
  <si>
    <t>T406150001 UPPER SALMON-MT HOM</t>
  </si>
  <si>
    <t>T906170001 - BOBN-MPSN #2 PRIO</t>
  </si>
  <si>
    <t>LINE 908 230KV PALLETTE JCT. -</t>
  </si>
  <si>
    <t>T203 - REPAIRS TO WORST PERFOR</t>
  </si>
  <si>
    <t>T407150001 10 YR MAINTENANCE</t>
  </si>
  <si>
    <t>T410160001 - 138KV KING TO BOI</t>
  </si>
  <si>
    <t>GOSHEN-JEFFERSON 161KV LINE RE</t>
  </si>
  <si>
    <t>T4331001-2017 KING TO WOOD RIV</t>
  </si>
  <si>
    <t>IPC T906 REPLACE STRS DUE TO R</t>
  </si>
  <si>
    <t>T226150002- T226 PRIORITY REPA</t>
  </si>
  <si>
    <t>Replacement of Midpoint - Kinport 345kV line protection and circuit breakers.</t>
  </si>
  <si>
    <t>Replacement of American Falls circuit breakers and line relays.</t>
  </si>
  <si>
    <t>Replacement of Donn - Pingree - Blackfoot 138kV line protection.</t>
  </si>
  <si>
    <t>Replacement of Mora - Bowmont line protection and circuit breaker.</t>
  </si>
  <si>
    <t>Replacement of Kinport - Midpoint 345kV line protection.</t>
  </si>
  <si>
    <t>Replacement of Kinport 345/230kV protection and circuit breaker.</t>
  </si>
  <si>
    <t>Replacement of Bowmont substation line protection systems.</t>
  </si>
  <si>
    <t>Replacement of Wells station circuit breakers.</t>
  </si>
  <si>
    <t>Replacement of Quartz substation line protection and circuit breakers.</t>
  </si>
  <si>
    <t>Replacement of Oxbow switchyard circuit breakers.</t>
  </si>
  <si>
    <t>Replacement of American Falls line protection systems.</t>
  </si>
  <si>
    <t>Replacement of Gem substation circuit breakers.</t>
  </si>
  <si>
    <t>Replacement of Cloverdale distribution transformer protection and feeder protection.</t>
  </si>
  <si>
    <t>Replacement of Pocatello substation circuit breakers.</t>
  </si>
  <si>
    <t>Replacement of Borah-Populus #1 345kV series capacitor bank.</t>
  </si>
  <si>
    <t>Replacement of Dale substation line protection and circuit breakers.</t>
  </si>
  <si>
    <t>Replacement of Brady substation transformers protection and bus protection systems.</t>
  </si>
  <si>
    <t>Replacement of Milner substation line protection systems.</t>
  </si>
  <si>
    <t>Replacement of Adelaide - Midpoint - Borah 345kV circuit breaker.</t>
  </si>
  <si>
    <t>Replacement of Midpoint - Humboldt 345kV circuit breaker.</t>
  </si>
  <si>
    <t>Metering upgrades for Energy Imbalance Market (EIM)</t>
  </si>
  <si>
    <t>Repairs of Blackfoot - Lava 46kV line.</t>
  </si>
  <si>
    <t>Capitalized maintenance on Bowmont - Gem 69kV line.</t>
  </si>
  <si>
    <t>Repairs of Emmett - Warm Lake Jct 69kV line.</t>
  </si>
  <si>
    <t>Repairs of Weiser - Cambridge 69kV line.</t>
  </si>
  <si>
    <t>Repairs of Thousand Springs - Jarbidge 69kV line.</t>
  </si>
  <si>
    <t>Capitalized maintenance on Strike - Caldwell 138kV line.</t>
  </si>
  <si>
    <t>Capitalized maintenance on Upper Salmon - Mountain Home 69kV line.</t>
  </si>
  <si>
    <t>Repairs of Boise Bench - Midpoint #2 230kV line.</t>
  </si>
  <si>
    <t>Repairs of Pallette - Imnaha 230kV line.</t>
  </si>
  <si>
    <t>Repairs of Cascade Jct. - Lake Fork 69kV line.</t>
  </si>
  <si>
    <t>Capitalized maintenance on Upper Salmon - Cliff 138kV line.</t>
  </si>
  <si>
    <t>Repairs of King - Boise Bench 138kV line.</t>
  </si>
  <si>
    <t>Repairs of Goshen - Jefferson 161kV line.</t>
  </si>
  <si>
    <t>Repairs of Vale - Drewsy 69kV line.</t>
  </si>
  <si>
    <t>Replacement of Boise Bench 138kV protection systems and circuit breakers.</t>
  </si>
  <si>
    <t>Replacement of structures for Midpoint to Borah #2 345kV line.</t>
  </si>
  <si>
    <r>
      <rPr>
        <sz val="10"/>
        <color rgb="FFFF0000"/>
        <rFont val="Arial"/>
        <family val="2"/>
      </rPr>
      <t>2017</t>
    </r>
    <r>
      <rPr>
        <sz val="10"/>
        <rFont val="Arial"/>
        <family val="2"/>
      </rPr>
      <t xml:space="preserve"> Amount in Account 926</t>
    </r>
  </si>
  <si>
    <r>
      <t>Less</t>
    </r>
    <r>
      <rPr>
        <sz val="10"/>
        <color rgb="FFFF0000"/>
        <rFont val="Arial"/>
        <family val="2"/>
      </rPr>
      <t xml:space="preserve"> 2016</t>
    </r>
    <r>
      <rPr>
        <sz val="10"/>
        <rFont val="Arial"/>
        <family val="2"/>
      </rPr>
      <t xml:space="preserve"> Amount in Account 926</t>
    </r>
  </si>
  <si>
    <t>-Use 2017 formula rate as the base</t>
  </si>
  <si>
    <t>-Substitute 2016 PBOPs for 2017 PBOPs in the 2017 formula rate</t>
  </si>
  <si>
    <t>Using 2017 PBOP</t>
  </si>
  <si>
    <t>2017 Monthly Rate minus 2017 Monthly Rate using 2016 PBOP</t>
  </si>
  <si>
    <t>Disclosure of Any Material Accounting Changes That Could Affect</t>
  </si>
  <si>
    <t>The initial implementation of an accounting standard or policy.</t>
  </si>
  <si>
    <t>The initial implementation of accounting practices for unusual or unconventional items where FERC has not provided specific accounting direction.</t>
  </si>
  <si>
    <t>Corrections of errors and prior period adjustments that impact the revenue requirement calculation.</t>
  </si>
  <si>
    <t>The implementation of new estimation methods or policies that change prior estimates.</t>
  </si>
  <si>
    <t>Changes to income tax elections.</t>
  </si>
  <si>
    <t>Accounting Changes</t>
  </si>
  <si>
    <t>Historic Cost Basis</t>
  </si>
  <si>
    <t>Identify items included in the formula rate at an amount other than on a historic cost basis.</t>
  </si>
  <si>
    <t>Reorganization or Merger Transactions</t>
  </si>
  <si>
    <t>Explain any reorganization or merger transactions and the effect of the accounting for such transaction on inputs to the formula rate.</t>
  </si>
  <si>
    <t>Identify any errors in the FERC Form 1, formula rate template, or accounting data that impacts the formula rate in previous rate years.</t>
  </si>
  <si>
    <t>None</t>
  </si>
  <si>
    <t>FF1 p 323 197 b - ($0 for 2017)</t>
  </si>
  <si>
    <t>FF1 pp262-263 3i, 4i, 9i, 19i</t>
  </si>
  <si>
    <t>Aaron &amp; Diana Adams</t>
  </si>
  <si>
    <t>856</t>
  </si>
  <si>
    <t>Cannon Builders</t>
  </si>
  <si>
    <t>Jason Qualls</t>
  </si>
  <si>
    <t>ANNUAL LAND LEASE-ADJ</t>
  </si>
  <si>
    <t>Lucas Quinn</t>
  </si>
  <si>
    <t>Mark Turner</t>
  </si>
  <si>
    <t>Miscellaneous Adjustment</t>
  </si>
  <si>
    <t>Nitzel</t>
  </si>
  <si>
    <t>T&amp;K Farms - Homedale Office</t>
  </si>
  <si>
    <t>Thomas Slyter</t>
  </si>
  <si>
    <t>Morgan Stanley Capital Group, Inc.</t>
  </si>
  <si>
    <t>FF1 pp262-263 10i, 20i, 27i, 31i, 35i, pp262.1-263.1 2i</t>
  </si>
  <si>
    <t>The TCJA permanently lowers the corporate tax rate to 21 percent from the existing maximum rate of 35 percent, provides for expanded bonus depreciation, limits the deductibility of interest expense, eliminates alternative minimum tax, repeals the manufacturing deduction, and imposes additional limitations on the deductibility of executive compensation.  Public utility companies, such as Idaho Power, retain the full deductibility of interest expense and are excluded from the bonus depreciation provisions; however, traditional accelerated tax depreciation methods are still available.</t>
  </si>
  <si>
    <r>
      <t xml:space="preserve">In February 2018, the Financial Accounting Standards Board (FASB) issued Accounting Standards Update (ASU) 2018-02, </t>
    </r>
    <r>
      <rPr>
        <i/>
        <sz val="10"/>
        <rFont val="Inherit"/>
      </rPr>
      <t>Income Statement—Reporting Comprehensive Income (Topic 220): Reclassification of Certain Tax Effects from Accumulated Other Comprehensive Income,</t>
    </r>
    <r>
      <rPr>
        <sz val="10"/>
        <rFont val="Inherit"/>
      </rPr>
      <t xml:space="preserve"> which permits a reclassification from Accumulated Other Comprehensive Income (AOCI) to retained earnings for the stranded tax effects resulting from the decrease in corporate tax rate from the enactment in December 2017 of a tax reform act, generally referred to as the “Tax Cuts and Jobs Act (TCJA).”</t>
    </r>
  </si>
  <si>
    <t xml:space="preserve">As permitted by the FASB, IDACORP and Idaho Power elected to early adopt the provisions of the new standard (ASU 2018-02) at December 31, 2017, resulting in a $4.1 million cumulative effect adjustment for a change in accounting principle to both AOCI and retained earnings. The amount relates to stranded tax effects in AOCI resulting from the TCJA related to annual valuation adjustments for two nonqualified defined benefit pension plans. </t>
  </si>
  <si>
    <t xml:space="preserve">The implementation of ASU 2018-02 is pending FERC approval (Docket No. AC18-59). </t>
  </si>
  <si>
    <t>As of December 31, 2017, Idaho Power accounted for the changes resulting from the enactment of the TCJA in accordance with ASC 740 and ASC 980. Additionally, Docket No. RM18-12-000, FERC's Inquiry Regarding the Effect of the Tax Cuts and Jobs Act on Commission-Jurisdictional Rates, is pending and may impact the manner in which Idaho Power will reflect changes resulting from the TCJA in its formula rate.  However, the Commission has noted that most electric transmission providers have formula rates that include an annual update component that will reflect the reduction in the corporate tax rate.</t>
  </si>
  <si>
    <t>FF1 p275 2k + 2h</t>
  </si>
  <si>
    <t>(1)  The Account 282 balance on line 4 includes an adjustment for the establishment of the Excess Deferred Income Tax (EDIT) regulatory liability pursuant to the change in the corporate tax rate as a result of the Tax Cuts and Jobs Act (TCJA) and described in the Footnote Data to Page 274 of the FERC Form 1.  The TCJA is explained in detail on Schedule 11.  The regulatory liability was a result of the remeasurement of Accumulated Deferred Income Taxes (ADIT) previously recorded in Account 282.  Beginning in 2018, the EDIT balance will reverse over time following the Average Rate Assumption Method (ARAM) as required by the Internal Revenue Code.  Idaho Power has updated the Account 282 balance on line 4 to properly reflect the rate base offset associated with the combined ADIT and EDIT balances.</t>
  </si>
  <si>
    <t>(1)  It has been determined that the project identified on line 13 was more appropriately classified as the replacement of distribution property units.  Idaho Power has corrected the property unit classification and removed this amount from the transmission plant amount reflected on line 1 of the Rate Calculation tab.</t>
  </si>
  <si>
    <t xml:space="preserve">FF1  p207 58(g) - 57(g) - Schedule 10 adjustment </t>
  </si>
  <si>
    <t>Idaho Power Company Informational Filing For Rates Effective October 1, 2018 through September 30,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</si>
</sst>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4">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0000_);_(* \(#,##0.00000\);_(* &quot;-&quot;??_);_(@_)"/>
    <numFmt numFmtId="166" formatCode="_(&quot;$&quot;* #,##0_);_(&quot;$&quot;* \(#,##0\);_(&quot;$&quot;* &quot;-&quot;??_);_(@_)"/>
    <numFmt numFmtId="167" formatCode="_(* #,##0.00_);_(* \(#,##0.00\);_(* &quot;-&quot;_);_(@_)"/>
    <numFmt numFmtId="168" formatCode="#,##0.0000_);\(#,##0.0000\)"/>
    <numFmt numFmtId="169" formatCode="0.00000"/>
    <numFmt numFmtId="170" formatCode="_(* #,##0.000000000_);_(* \(#,##0.000000000\);_(* &quot;-&quot;??_);_(@_)"/>
    <numFmt numFmtId="171" formatCode="#,##0.0"/>
    <numFmt numFmtId="172" formatCode="#,##0.000000000"/>
    <numFmt numFmtId="173" formatCode="_(* #,##0.0000_);_(* \(#,##0.0000\);_(* &quot;-&quot;_);_(@_)"/>
    <numFmt numFmtId="174" formatCode="_(* #,##0.0000000000_);_(* \(#,##0.0000000000\);_(* &quot;-&quot;??_);_(@_)"/>
    <numFmt numFmtId="175" formatCode="&quot;$&quot;#,##0"/>
    <numFmt numFmtId="176" formatCode="0.000"/>
    <numFmt numFmtId="177" formatCode="&quot;$&quot;#,##0.0"/>
    <numFmt numFmtId="178" formatCode="&quot;$&quot;#,##0.0_);\(&quot;$&quot;#,##0.0\)"/>
    <numFmt numFmtId="179" formatCode="0.000%"/>
    <numFmt numFmtId="180" formatCode="General_)"/>
    <numFmt numFmtId="181" formatCode="#,##0.0_);\(#,##0.0\)"/>
    <numFmt numFmtId="182" formatCode="0.000_)"/>
    <numFmt numFmtId="183" formatCode="_(* #,##0.0000_);_(* \(#,##0.0000\);_(* &quot;-&quot;??_);_(@_)"/>
    <numFmt numFmtId="184" formatCode="0.0000"/>
    <numFmt numFmtId="185" formatCode="&quot;$&quot;#,##0.00"/>
    <numFmt numFmtId="186" formatCode="m/d/yy"/>
    <numFmt numFmtId="187" formatCode="[$-409]mmmm\ d\,\ yyyy;@"/>
    <numFmt numFmtId="188" formatCode="&quot;$&quot;#,##0.0000"/>
    <numFmt numFmtId="189" formatCode="mm/dd/yy;@"/>
    <numFmt numFmtId="190" formatCode="dd\-mmm\-yy_)"/>
    <numFmt numFmtId="191" formatCode="0_);\(0\)"/>
    <numFmt numFmtId="192" formatCode="_(* #,##0.000_);_(* \(#,##0.000\);_(* &quot;-&quot;??_);_(@_)"/>
    <numFmt numFmtId="193" formatCode="0.0"/>
    <numFmt numFmtId="194" formatCode="_([$€-2]* #,##0.00_);_([$€-2]* \(#,##0.00\);_([$€-2]* &quot;-&quot;??_)"/>
    <numFmt numFmtId="195" formatCode="_(* #,##0.000000000000_);_(* \(#,##0.000000000000\);_(* &quot;-&quot;??_);_(@_)"/>
    <numFmt numFmtId="196" formatCode="_(* #,##0.00000_);_(* \(#,##0.00000\);_(* &quot;-&quot;_);_(@_)"/>
    <numFmt numFmtId="197" formatCode="mmmm\ d\,\ yyyy"/>
    <numFmt numFmtId="198" formatCode="&quot;$&quot;#,##0\ ;\(&quot;$&quot;#,##0\)"/>
    <numFmt numFmtId="199" formatCode="0.00_);\(0.00\)"/>
  </numFmts>
  <fonts count="14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2"/>
      <name val="Arial"/>
      <family val="2"/>
    </font>
    <font>
      <u/>
      <sz val="10"/>
      <name val="Arial"/>
      <family val="2"/>
    </font>
    <font>
      <b/>
      <u/>
      <sz val="10"/>
      <name val="Arial"/>
      <family val="2"/>
    </font>
    <font>
      <u val="singleAccounting"/>
      <sz val="10"/>
      <name val="Arial"/>
      <family val="2"/>
    </font>
    <font>
      <sz val="8"/>
      <name val="Arial"/>
      <family val="2"/>
    </font>
    <font>
      <sz val="10"/>
      <name val="Courier"/>
      <family val="3"/>
    </font>
    <font>
      <b/>
      <sz val="10"/>
      <name val="MS Sans Serif"/>
      <family val="2"/>
    </font>
    <font>
      <sz val="10"/>
      <name val="MS Sans Serif"/>
      <family val="2"/>
    </font>
    <font>
      <sz val="8"/>
      <name val="MS Sans Serif"/>
      <family val="2"/>
    </font>
    <font>
      <sz val="10"/>
      <color indexed="10"/>
      <name val="Arial"/>
      <family val="2"/>
    </font>
    <font>
      <sz val="10"/>
      <name val="Arial Unicode MS"/>
      <family val="2"/>
    </font>
    <font>
      <b/>
      <i/>
      <sz val="12"/>
      <name val="Arial"/>
      <family val="2"/>
    </font>
    <font>
      <b/>
      <sz val="12"/>
      <color indexed="10"/>
      <name val="Arial"/>
      <family val="2"/>
    </font>
    <font>
      <b/>
      <i/>
      <sz val="10"/>
      <name val="Arial"/>
      <family val="2"/>
    </font>
    <font>
      <sz val="11"/>
      <color indexed="8"/>
      <name val="Calibri"/>
      <family val="2"/>
    </font>
    <font>
      <sz val="10"/>
      <name val="Arial Unicode MS"/>
      <family val="2"/>
    </font>
    <font>
      <b/>
      <sz val="10"/>
      <name val="Arial Unicode MS"/>
      <family val="2"/>
    </font>
    <font>
      <sz val="11"/>
      <color theme="1"/>
      <name val="Calibri"/>
      <family val="2"/>
      <scheme val="minor"/>
    </font>
    <font>
      <i/>
      <sz val="10"/>
      <name val="Arial"/>
      <family val="2"/>
    </font>
    <font>
      <sz val="10"/>
      <name val="Tahoma"/>
      <family val="2"/>
    </font>
    <font>
      <sz val="10"/>
      <color rgb="FFFF0000"/>
      <name val="Arial"/>
      <family val="2"/>
    </font>
    <font>
      <b/>
      <sz val="12"/>
      <color rgb="FFFF0000"/>
      <name val="Arial"/>
      <family val="2"/>
    </font>
    <font>
      <b/>
      <i/>
      <sz val="12"/>
      <color rgb="FFFF0000"/>
      <name val="Arial"/>
      <family val="2"/>
    </font>
    <font>
      <u/>
      <sz val="10"/>
      <name val="Arial Unicode MS"/>
      <family val="2"/>
    </font>
    <font>
      <b/>
      <sz val="14"/>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0"/>
      <color indexed="8"/>
      <name val="Cambria"/>
      <family val="2"/>
    </font>
    <font>
      <sz val="10"/>
      <color indexed="9"/>
      <name val="Cambria"/>
      <family val="2"/>
    </font>
    <font>
      <sz val="10"/>
      <color indexed="20"/>
      <name val="Cambria"/>
      <family val="2"/>
    </font>
    <font>
      <b/>
      <sz val="10"/>
      <color indexed="52"/>
      <name val="Cambria"/>
      <family val="2"/>
    </font>
    <font>
      <b/>
      <sz val="10"/>
      <color indexed="9"/>
      <name val="Cambria"/>
      <family val="2"/>
    </font>
    <font>
      <i/>
      <sz val="10"/>
      <color indexed="23"/>
      <name val="Cambria"/>
      <family val="2"/>
    </font>
    <font>
      <sz val="10"/>
      <color indexed="17"/>
      <name val="Cambria"/>
      <family val="2"/>
    </font>
    <font>
      <b/>
      <sz val="15"/>
      <color indexed="56"/>
      <name val="Cambria"/>
      <family val="2"/>
    </font>
    <font>
      <b/>
      <sz val="13"/>
      <color indexed="56"/>
      <name val="Cambria"/>
      <family val="2"/>
    </font>
    <font>
      <b/>
      <sz val="11"/>
      <color indexed="56"/>
      <name val="Cambria"/>
      <family val="2"/>
    </font>
    <font>
      <sz val="10"/>
      <color indexed="62"/>
      <name val="Cambria"/>
      <family val="2"/>
    </font>
    <font>
      <sz val="10"/>
      <color indexed="52"/>
      <name val="Cambria"/>
      <family val="2"/>
    </font>
    <font>
      <sz val="10"/>
      <color indexed="60"/>
      <name val="Cambria"/>
      <family val="2"/>
    </font>
    <font>
      <b/>
      <sz val="10"/>
      <color indexed="63"/>
      <name val="Cambria"/>
      <family val="2"/>
    </font>
    <font>
      <b/>
      <sz val="18"/>
      <color indexed="56"/>
      <name val="Cambria"/>
      <family val="2"/>
    </font>
    <font>
      <b/>
      <sz val="10"/>
      <color indexed="8"/>
      <name val="Cambria"/>
      <family val="2"/>
    </font>
    <font>
      <sz val="10"/>
      <color indexed="10"/>
      <name val="Cambria"/>
      <family val="2"/>
    </font>
    <font>
      <sz val="12"/>
      <color theme="1"/>
      <name val="Arial"/>
      <family val="2"/>
    </font>
    <font>
      <u/>
      <sz val="10"/>
      <color indexed="12"/>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2"/>
      <color indexed="8"/>
      <name val="Arial"/>
      <family val="2"/>
    </font>
    <font>
      <sz val="12"/>
      <color indexed="10"/>
      <name val="Arial"/>
      <family val="2"/>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0"/>
      <name val="Arial Unicode MS"/>
      <family val="2"/>
    </font>
    <font>
      <b/>
      <sz val="10"/>
      <name val="Arial Unicode MS"/>
      <family val="2"/>
    </font>
    <font>
      <sz val="10"/>
      <name val="MS Sans Serif"/>
      <family val="2"/>
    </font>
    <font>
      <sz val="10"/>
      <color theme="1"/>
      <name val="Arial"/>
      <family val="2"/>
    </font>
    <font>
      <sz val="11"/>
      <color theme="1"/>
      <name val="Calibri"/>
      <family val="2"/>
    </font>
    <font>
      <sz val="12"/>
      <name val="Arial"/>
      <family val="2"/>
    </font>
    <font>
      <sz val="11"/>
      <color theme="1"/>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name val="Helv"/>
    </font>
    <font>
      <sz val="10"/>
      <color indexed="8"/>
      <name val="Arial"/>
      <family val="2"/>
    </font>
    <font>
      <sz val="8"/>
      <color indexed="8"/>
      <name val="Arial"/>
      <family val="2"/>
    </font>
    <font>
      <sz val="18"/>
      <name val="Times New Roman"/>
      <family val="1"/>
    </font>
    <font>
      <sz val="8"/>
      <name val="Times New Roman"/>
      <family val="1"/>
    </font>
    <font>
      <i/>
      <sz val="12"/>
      <name val="Times New Roman"/>
      <family val="1"/>
    </font>
    <font>
      <sz val="18"/>
      <name val="Arial"/>
      <family val="2"/>
    </font>
    <font>
      <i/>
      <sz val="12"/>
      <name val="Arial"/>
      <family val="2"/>
    </font>
    <font>
      <sz val="10"/>
      <name val="Tahoma"/>
      <family val="2"/>
    </font>
    <font>
      <sz val="10"/>
      <color rgb="FF0070C0"/>
      <name val="Arial"/>
      <family val="2"/>
    </font>
    <font>
      <sz val="10"/>
      <name val="Arial Unicode MS"/>
      <family val="2"/>
    </font>
    <font>
      <sz val="10"/>
      <name val="MS Sans Serif"/>
    </font>
    <font>
      <sz val="10"/>
      <name val="Arial Unicode MS"/>
    </font>
    <font>
      <sz val="10"/>
      <name val="Inherit"/>
    </font>
    <font>
      <i/>
      <sz val="10"/>
      <name val="Inherit"/>
    </font>
  </fonts>
  <fills count="56">
    <fill>
      <patternFill patternType="none"/>
    </fill>
    <fill>
      <patternFill patternType="gray125"/>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1">
    <border>
      <left/>
      <right/>
      <top/>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8"/>
      </bottom>
      <diagonal/>
    </border>
    <border>
      <left/>
      <right/>
      <top/>
      <bottom style="double">
        <color indexed="64"/>
      </bottom>
      <diagonal/>
    </border>
    <border>
      <left/>
      <right/>
      <top/>
      <bottom style="double">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s>
  <cellStyleXfs count="28711">
    <xf numFmtId="0" fontId="0" fillId="0" borderId="0"/>
    <xf numFmtId="43" fontId="13" fillId="0" borderId="0" applyFont="0" applyFill="0" applyBorder="0" applyAlignment="0" applyProtection="0"/>
    <xf numFmtId="40" fontId="21"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44" fontId="13" fillId="0" borderId="0" applyFont="0" applyFill="0" applyBorder="0" applyAlignment="0" applyProtection="0"/>
    <xf numFmtId="44" fontId="28" fillId="0" borderId="0" applyFont="0" applyFill="0" applyBorder="0" applyAlignment="0" applyProtection="0"/>
    <xf numFmtId="0" fontId="21" fillId="0" borderId="0"/>
    <xf numFmtId="0" fontId="13" fillId="0" borderId="0"/>
    <xf numFmtId="0" fontId="31" fillId="0" borderId="0"/>
    <xf numFmtId="0" fontId="13" fillId="0" borderId="0"/>
    <xf numFmtId="0" fontId="13" fillId="0" borderId="0"/>
    <xf numFmtId="0" fontId="29" fillId="0" borderId="0"/>
    <xf numFmtId="180" fontId="19" fillId="0" borderId="0"/>
    <xf numFmtId="0" fontId="21" fillId="0" borderId="0"/>
    <xf numFmtId="0" fontId="24" fillId="0" borderId="0"/>
    <xf numFmtId="0" fontId="21" fillId="0" borderId="0"/>
    <xf numFmtId="9" fontId="13" fillId="0" borderId="0" applyFont="0" applyFill="0" applyBorder="0" applyAlignment="0" applyProtection="0"/>
    <xf numFmtId="0" fontId="21" fillId="0" borderId="0" applyNumberFormat="0" applyFont="0" applyFill="0" applyBorder="0" applyAlignment="0" applyProtection="0">
      <alignment horizontal="left"/>
    </xf>
    <xf numFmtId="0" fontId="21" fillId="0" borderId="0" applyNumberFormat="0" applyFont="0" applyFill="0" applyBorder="0" applyAlignment="0" applyProtection="0">
      <alignment horizontal="left"/>
    </xf>
    <xf numFmtId="15" fontId="21" fillId="0" borderId="0" applyFont="0" applyFill="0" applyBorder="0" applyAlignment="0" applyProtection="0"/>
    <xf numFmtId="15" fontId="21"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0" fontId="20" fillId="0" borderId="1">
      <alignment horizontal="center"/>
    </xf>
    <xf numFmtId="0" fontId="20" fillId="0" borderId="1">
      <alignment horizontal="center"/>
    </xf>
    <xf numFmtId="3" fontId="21" fillId="0" borderId="0" applyFont="0" applyFill="0" applyBorder="0" applyAlignment="0" applyProtection="0"/>
    <xf numFmtId="3" fontId="21" fillId="0" borderId="0" applyFont="0" applyFill="0" applyBorder="0" applyAlignment="0" applyProtection="0"/>
    <xf numFmtId="0" fontId="21" fillId="2" borderId="0" applyNumberFormat="0" applyFont="0" applyBorder="0" applyAlignment="0" applyProtection="0"/>
    <xf numFmtId="0" fontId="21" fillId="2" borderId="0" applyNumberFormat="0" applyFont="0" applyBorder="0" applyAlignment="0" applyProtection="0"/>
    <xf numFmtId="0" fontId="13"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94" fontId="13" fillId="0" borderId="0" applyFont="0" applyFill="0" applyBorder="0" applyAlignment="0" applyProtection="0"/>
    <xf numFmtId="0" fontId="33" fillId="0" borderId="0"/>
    <xf numFmtId="0" fontId="33" fillId="0" borderId="0"/>
    <xf numFmtId="0" fontId="33" fillId="0" borderId="0"/>
    <xf numFmtId="0" fontId="33" fillId="0" borderId="0"/>
    <xf numFmtId="0" fontId="13" fillId="0" borderId="0"/>
    <xf numFmtId="0" fontId="13" fillId="0" borderId="0"/>
    <xf numFmtId="0" fontId="13" fillId="0" borderId="0"/>
    <xf numFmtId="0" fontId="33" fillId="0" borderId="0"/>
    <xf numFmtId="0" fontId="11" fillId="0" borderId="0"/>
    <xf numFmtId="43" fontId="11" fillId="0" borderId="0" applyFont="0" applyFill="0" applyBorder="0" applyAlignment="0" applyProtection="0"/>
    <xf numFmtId="0" fontId="10" fillId="0" borderId="0"/>
    <xf numFmtId="0" fontId="24" fillId="0" borderId="0"/>
    <xf numFmtId="0" fontId="56"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37" borderId="0" applyNumberFormat="0" applyBorder="0" applyAlignment="0" applyProtection="0"/>
    <xf numFmtId="0" fontId="56" fillId="40" borderId="0" applyNumberFormat="0" applyBorder="0" applyAlignment="0" applyProtection="0"/>
    <xf numFmtId="0" fontId="56" fillId="43" borderId="0" applyNumberFormat="0" applyBorder="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51" borderId="0" applyNumberFormat="0" applyBorder="0" applyAlignment="0" applyProtection="0"/>
    <xf numFmtId="0" fontId="58" fillId="35" borderId="0" applyNumberFormat="0" applyBorder="0" applyAlignment="0" applyProtection="0"/>
    <xf numFmtId="0" fontId="59" fillId="52" borderId="31" applyNumberFormat="0" applyAlignment="0" applyProtection="0"/>
    <xf numFmtId="0" fontId="60" fillId="53" borderId="32" applyNumberFormat="0" applyAlignment="0" applyProtection="0"/>
    <xf numFmtId="43" fontId="13" fillId="0" borderId="0" applyFont="0" applyFill="0" applyBorder="0" applyAlignment="0" applyProtection="0"/>
    <xf numFmtId="0" fontId="61" fillId="0" borderId="0" applyNumberFormat="0" applyFill="0" applyBorder="0" applyAlignment="0" applyProtection="0"/>
    <xf numFmtId="0" fontId="62" fillId="36" borderId="0" applyNumberFormat="0" applyBorder="0" applyAlignment="0" applyProtection="0"/>
    <xf numFmtId="0" fontId="63" fillId="0" borderId="33" applyNumberFormat="0" applyFill="0" applyAlignment="0" applyProtection="0"/>
    <xf numFmtId="0" fontId="64" fillId="0" borderId="34" applyNumberFormat="0" applyFill="0" applyAlignment="0" applyProtection="0"/>
    <xf numFmtId="0" fontId="65" fillId="0" borderId="35" applyNumberFormat="0" applyFill="0" applyAlignment="0" applyProtection="0"/>
    <xf numFmtId="0" fontId="65" fillId="0" borderId="0" applyNumberFormat="0" applyFill="0" applyBorder="0" applyAlignment="0" applyProtection="0"/>
    <xf numFmtId="0" fontId="66" fillId="39" borderId="31" applyNumberFormat="0" applyAlignment="0" applyProtection="0"/>
    <xf numFmtId="0" fontId="67" fillId="0" borderId="36" applyNumberFormat="0" applyFill="0" applyAlignment="0" applyProtection="0"/>
    <xf numFmtId="0" fontId="68" fillId="54" borderId="0" applyNumberFormat="0" applyBorder="0" applyAlignment="0" applyProtection="0"/>
    <xf numFmtId="0" fontId="13" fillId="55" borderId="37" applyNumberFormat="0" applyFont="0" applyAlignment="0" applyProtection="0"/>
    <xf numFmtId="0" fontId="69" fillId="52" borderId="38" applyNumberFormat="0" applyAlignment="0" applyProtection="0"/>
    <xf numFmtId="0" fontId="70" fillId="0" borderId="0" applyNumberFormat="0" applyFill="0" applyBorder="0" applyAlignment="0" applyProtection="0"/>
    <xf numFmtId="0" fontId="71" fillId="0" borderId="39" applyNumberFormat="0" applyFill="0" applyAlignment="0" applyProtection="0"/>
    <xf numFmtId="0" fontId="72"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44" fontId="13" fillId="0" borderId="0" applyFont="0" applyFill="0" applyBorder="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74" fillId="0" borderId="0" applyNumberFormat="0" applyFill="0" applyBorder="0" applyAlignment="0" applyProtection="0">
      <alignment vertical="top"/>
      <protection locked="0"/>
    </xf>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88" fillId="52" borderId="38" applyNumberFormat="0" applyAlignment="0" applyProtection="0"/>
    <xf numFmtId="0" fontId="89" fillId="0" borderId="39" applyNumberFormat="0" applyFill="0" applyAlignment="0" applyProtection="0"/>
    <xf numFmtId="0" fontId="90" fillId="0" borderId="0" applyNumberFormat="0" applyFill="0" applyBorder="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37" borderId="0" applyNumberFormat="0" applyBorder="0" applyAlignment="0" applyProtection="0"/>
    <xf numFmtId="0" fontId="56" fillId="40" borderId="0" applyNumberFormat="0" applyBorder="0" applyAlignment="0" applyProtection="0"/>
    <xf numFmtId="0" fontId="56" fillId="43" borderId="0" applyNumberFormat="0" applyBorder="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51" borderId="0" applyNumberFormat="0" applyBorder="0" applyAlignment="0" applyProtection="0"/>
    <xf numFmtId="0" fontId="58" fillId="35" borderId="0" applyNumberFormat="0" applyBorder="0" applyAlignment="0" applyProtection="0"/>
    <xf numFmtId="0" fontId="59" fillId="52" borderId="31" applyNumberFormat="0" applyAlignment="0" applyProtection="0"/>
    <xf numFmtId="0" fontId="60" fillId="53" borderId="32" applyNumberFormat="0" applyAlignment="0" applyProtection="0"/>
    <xf numFmtId="0" fontId="61" fillId="0" borderId="0" applyNumberFormat="0" applyFill="0" applyBorder="0" applyAlignment="0" applyProtection="0"/>
    <xf numFmtId="0" fontId="62" fillId="36" borderId="0" applyNumberFormat="0" applyBorder="0" applyAlignment="0" applyProtection="0"/>
    <xf numFmtId="0" fontId="63" fillId="0" borderId="33" applyNumberFormat="0" applyFill="0" applyAlignment="0" applyProtection="0"/>
    <xf numFmtId="0" fontId="64" fillId="0" borderId="34" applyNumberFormat="0" applyFill="0" applyAlignment="0" applyProtection="0"/>
    <xf numFmtId="0" fontId="65" fillId="0" borderId="35" applyNumberFormat="0" applyFill="0" applyAlignment="0" applyProtection="0"/>
    <xf numFmtId="0" fontId="65" fillId="0" borderId="0" applyNumberFormat="0" applyFill="0" applyBorder="0" applyAlignment="0" applyProtection="0"/>
    <xf numFmtId="0" fontId="66" fillId="39" borderId="31" applyNumberFormat="0" applyAlignment="0" applyProtection="0"/>
    <xf numFmtId="0" fontId="67" fillId="0" borderId="36" applyNumberFormat="0" applyFill="0" applyAlignment="0" applyProtection="0"/>
    <xf numFmtId="0" fontId="68" fillId="54" borderId="0" applyNumberFormat="0" applyBorder="0" applyAlignment="0" applyProtection="0"/>
    <xf numFmtId="0" fontId="13" fillId="55" borderId="37" applyNumberFormat="0" applyFont="0" applyAlignment="0" applyProtection="0"/>
    <xf numFmtId="0" fontId="69" fillId="52" borderId="38" applyNumberFormat="0" applyAlignment="0" applyProtection="0"/>
    <xf numFmtId="0" fontId="70" fillId="0" borderId="0" applyNumberFormat="0" applyFill="0" applyBorder="0" applyAlignment="0" applyProtection="0"/>
    <xf numFmtId="0" fontId="71" fillId="0" borderId="39" applyNumberFormat="0" applyFill="0" applyAlignment="0" applyProtection="0"/>
    <xf numFmtId="0" fontId="72" fillId="0" borderId="0" applyNumberFormat="0" applyFill="0" applyBorder="0" applyAlignment="0" applyProtection="0"/>
    <xf numFmtId="43" fontId="13" fillId="0" borderId="0" applyFont="0" applyFill="0" applyBorder="0" applyAlignment="0" applyProtection="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44" fontId="13" fillId="0" borderId="0" applyFont="0" applyFill="0" applyBorder="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88" fillId="52" borderId="38" applyNumberFormat="0" applyAlignment="0" applyProtection="0"/>
    <xf numFmtId="0" fontId="89" fillId="0" borderId="39" applyNumberFormat="0" applyFill="0" applyAlignment="0" applyProtection="0"/>
    <xf numFmtId="0" fontId="90" fillId="0" borderId="0" applyNumberFormat="0" applyFill="0" applyBorder="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9" fillId="11" borderId="0" applyNumberFormat="0" applyBorder="0" applyAlignment="0" applyProtection="0"/>
    <xf numFmtId="0" fontId="75" fillId="34"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9" fillId="15" borderId="0" applyNumberFormat="0" applyBorder="0" applyAlignment="0" applyProtection="0"/>
    <xf numFmtId="0" fontId="75" fillId="35"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9" fillId="19" borderId="0" applyNumberFormat="0" applyBorder="0" applyAlignment="0" applyProtection="0"/>
    <xf numFmtId="0" fontId="75" fillId="36"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9" fillId="23" borderId="0" applyNumberFormat="0" applyBorder="0" applyAlignment="0" applyProtection="0"/>
    <xf numFmtId="0" fontId="75" fillId="3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9" fillId="27" borderId="0" applyNumberFormat="0" applyBorder="0" applyAlignment="0" applyProtection="0"/>
    <xf numFmtId="0" fontId="75" fillId="38"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9" fillId="31" borderId="0" applyNumberFormat="0" applyBorder="0" applyAlignment="0" applyProtection="0"/>
    <xf numFmtId="0" fontId="75" fillId="39"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9" fillId="12" borderId="0" applyNumberFormat="0" applyBorder="0" applyAlignment="0" applyProtection="0"/>
    <xf numFmtId="0" fontId="75" fillId="40"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9" fillId="16" borderId="0" applyNumberFormat="0" applyBorder="0" applyAlignment="0" applyProtection="0"/>
    <xf numFmtId="0" fontId="75" fillId="41" borderId="0" applyNumberFormat="0" applyBorder="0" applyAlignment="0" applyProtection="0"/>
    <xf numFmtId="0" fontId="73" fillId="20" borderId="0" applyNumberFormat="0" applyBorder="0" applyAlignment="0" applyProtection="0"/>
    <xf numFmtId="0" fontId="75" fillId="42" borderId="0" applyNumberFormat="0" applyBorder="0" applyAlignment="0" applyProtection="0"/>
    <xf numFmtId="0" fontId="9" fillId="20" borderId="0" applyNumberFormat="0" applyBorder="0" applyAlignment="0" applyProtection="0"/>
    <xf numFmtId="0" fontId="75" fillId="42" borderId="0" applyNumberFormat="0" applyBorder="0" applyAlignment="0" applyProtection="0"/>
    <xf numFmtId="0" fontId="73" fillId="24" borderId="0" applyNumberFormat="0" applyBorder="0" applyAlignment="0" applyProtection="0"/>
    <xf numFmtId="0" fontId="75" fillId="37" borderId="0" applyNumberFormat="0" applyBorder="0" applyAlignment="0" applyProtection="0"/>
    <xf numFmtId="0" fontId="9" fillId="24" borderId="0" applyNumberFormat="0" applyBorder="0" applyAlignment="0" applyProtection="0"/>
    <xf numFmtId="0" fontId="75" fillId="37" borderId="0" applyNumberFormat="0" applyBorder="0" applyAlignment="0" applyProtection="0"/>
    <xf numFmtId="0" fontId="73" fillId="28" borderId="0" applyNumberFormat="0" applyBorder="0" applyAlignment="0" applyProtection="0"/>
    <xf numFmtId="0" fontId="75" fillId="40" borderId="0" applyNumberFormat="0" applyBorder="0" applyAlignment="0" applyProtection="0"/>
    <xf numFmtId="0" fontId="9" fillId="28" borderId="0" applyNumberFormat="0" applyBorder="0" applyAlignment="0" applyProtection="0"/>
    <xf numFmtId="0" fontId="75" fillId="40" borderId="0" applyNumberFormat="0" applyBorder="0" applyAlignment="0" applyProtection="0"/>
    <xf numFmtId="0" fontId="73" fillId="32" borderId="0" applyNumberFormat="0" applyBorder="0" applyAlignment="0" applyProtection="0"/>
    <xf numFmtId="0" fontId="75" fillId="43" borderId="0" applyNumberFormat="0" applyBorder="0" applyAlignment="0" applyProtection="0"/>
    <xf numFmtId="0" fontId="9" fillId="32" borderId="0" applyNumberFormat="0" applyBorder="0" applyAlignment="0" applyProtection="0"/>
    <xf numFmtId="0" fontId="75" fillId="43" borderId="0" applyNumberFormat="0" applyBorder="0" applyAlignment="0" applyProtection="0"/>
    <xf numFmtId="0" fontId="105" fillId="13" borderId="0" applyNumberFormat="0" applyBorder="0" applyAlignment="0" applyProtection="0"/>
    <xf numFmtId="0" fontId="76" fillId="44" borderId="0" applyNumberFormat="0" applyBorder="0" applyAlignment="0" applyProtection="0"/>
    <xf numFmtId="0" fontId="54" fillId="13" borderId="0" applyNumberFormat="0" applyBorder="0" applyAlignment="0" applyProtection="0"/>
    <xf numFmtId="0" fontId="76" fillId="44" borderId="0" applyNumberFormat="0" applyBorder="0" applyAlignment="0" applyProtection="0"/>
    <xf numFmtId="0" fontId="105" fillId="17" borderId="0" applyNumberFormat="0" applyBorder="0" applyAlignment="0" applyProtection="0"/>
    <xf numFmtId="0" fontId="76" fillId="41" borderId="0" applyNumberFormat="0" applyBorder="0" applyAlignment="0" applyProtection="0"/>
    <xf numFmtId="0" fontId="54" fillId="17" borderId="0" applyNumberFormat="0" applyBorder="0" applyAlignment="0" applyProtection="0"/>
    <xf numFmtId="0" fontId="76" fillId="41" borderId="0" applyNumberFormat="0" applyBorder="0" applyAlignment="0" applyProtection="0"/>
    <xf numFmtId="0" fontId="105" fillId="21" borderId="0" applyNumberFormat="0" applyBorder="0" applyAlignment="0" applyProtection="0"/>
    <xf numFmtId="0" fontId="76" fillId="42" borderId="0" applyNumberFormat="0" applyBorder="0" applyAlignment="0" applyProtection="0"/>
    <xf numFmtId="0" fontId="54" fillId="21" borderId="0" applyNumberFormat="0" applyBorder="0" applyAlignment="0" applyProtection="0"/>
    <xf numFmtId="0" fontId="76" fillId="42" borderId="0" applyNumberFormat="0" applyBorder="0" applyAlignment="0" applyProtection="0"/>
    <xf numFmtId="0" fontId="105" fillId="25" borderId="0" applyNumberFormat="0" applyBorder="0" applyAlignment="0" applyProtection="0"/>
    <xf numFmtId="0" fontId="76" fillId="45" borderId="0" applyNumberFormat="0" applyBorder="0" applyAlignment="0" applyProtection="0"/>
    <xf numFmtId="0" fontId="54" fillId="25" borderId="0" applyNumberFormat="0" applyBorder="0" applyAlignment="0" applyProtection="0"/>
    <xf numFmtId="0" fontId="76" fillId="45" borderId="0" applyNumberFormat="0" applyBorder="0" applyAlignment="0" applyProtection="0"/>
    <xf numFmtId="0" fontId="105" fillId="29" borderId="0" applyNumberFormat="0" applyBorder="0" applyAlignment="0" applyProtection="0"/>
    <xf numFmtId="0" fontId="76" fillId="46" borderId="0" applyNumberFormat="0" applyBorder="0" applyAlignment="0" applyProtection="0"/>
    <xf numFmtId="0" fontId="54" fillId="29" borderId="0" applyNumberFormat="0" applyBorder="0" applyAlignment="0" applyProtection="0"/>
    <xf numFmtId="0" fontId="76" fillId="46" borderId="0" applyNumberFormat="0" applyBorder="0" applyAlignment="0" applyProtection="0"/>
    <xf numFmtId="0" fontId="105" fillId="33" borderId="0" applyNumberFormat="0" applyBorder="0" applyAlignment="0" applyProtection="0"/>
    <xf numFmtId="0" fontId="76" fillId="47" borderId="0" applyNumberFormat="0" applyBorder="0" applyAlignment="0" applyProtection="0"/>
    <xf numFmtId="0" fontId="54" fillId="33" borderId="0" applyNumberFormat="0" applyBorder="0" applyAlignment="0" applyProtection="0"/>
    <xf numFmtId="0" fontId="76" fillId="47" borderId="0" applyNumberFormat="0" applyBorder="0" applyAlignment="0" applyProtection="0"/>
    <xf numFmtId="0" fontId="105" fillId="10" borderId="0" applyNumberFormat="0" applyBorder="0" applyAlignment="0" applyProtection="0"/>
    <xf numFmtId="0" fontId="76" fillId="48" borderId="0" applyNumberFormat="0" applyBorder="0" applyAlignment="0" applyProtection="0"/>
    <xf numFmtId="0" fontId="54" fillId="10" borderId="0" applyNumberFormat="0" applyBorder="0" applyAlignment="0" applyProtection="0"/>
    <xf numFmtId="0" fontId="76" fillId="48" borderId="0" applyNumberFormat="0" applyBorder="0" applyAlignment="0" applyProtection="0"/>
    <xf numFmtId="0" fontId="105" fillId="14" borderId="0" applyNumberFormat="0" applyBorder="0" applyAlignment="0" applyProtection="0"/>
    <xf numFmtId="0" fontId="76" fillId="49" borderId="0" applyNumberFormat="0" applyBorder="0" applyAlignment="0" applyProtection="0"/>
    <xf numFmtId="0" fontId="54" fillId="14" borderId="0" applyNumberFormat="0" applyBorder="0" applyAlignment="0" applyProtection="0"/>
    <xf numFmtId="0" fontId="76" fillId="49" borderId="0" applyNumberFormat="0" applyBorder="0" applyAlignment="0" applyProtection="0"/>
    <xf numFmtId="0" fontId="105" fillId="18" borderId="0" applyNumberFormat="0" applyBorder="0" applyAlignment="0" applyProtection="0"/>
    <xf numFmtId="0" fontId="76" fillId="50" borderId="0" applyNumberFormat="0" applyBorder="0" applyAlignment="0" applyProtection="0"/>
    <xf numFmtId="0" fontId="54" fillId="18" borderId="0" applyNumberFormat="0" applyBorder="0" applyAlignment="0" applyProtection="0"/>
    <xf numFmtId="0" fontId="76" fillId="50" borderId="0" applyNumberFormat="0" applyBorder="0" applyAlignment="0" applyProtection="0"/>
    <xf numFmtId="0" fontId="105" fillId="22" borderId="0" applyNumberFormat="0" applyBorder="0" applyAlignment="0" applyProtection="0"/>
    <xf numFmtId="0" fontId="76" fillId="45" borderId="0" applyNumberFormat="0" applyBorder="0" applyAlignment="0" applyProtection="0"/>
    <xf numFmtId="0" fontId="54" fillId="22" borderId="0" applyNumberFormat="0" applyBorder="0" applyAlignment="0" applyProtection="0"/>
    <xf numFmtId="0" fontId="76" fillId="45" borderId="0" applyNumberFormat="0" applyBorder="0" applyAlignment="0" applyProtection="0"/>
    <xf numFmtId="0" fontId="105" fillId="26" borderId="0" applyNumberFormat="0" applyBorder="0" applyAlignment="0" applyProtection="0"/>
    <xf numFmtId="0" fontId="76" fillId="46" borderId="0" applyNumberFormat="0" applyBorder="0" applyAlignment="0" applyProtection="0"/>
    <xf numFmtId="0" fontId="54" fillId="26" borderId="0" applyNumberFormat="0" applyBorder="0" applyAlignment="0" applyProtection="0"/>
    <xf numFmtId="0" fontId="76" fillId="46" borderId="0" applyNumberFormat="0" applyBorder="0" applyAlignment="0" applyProtection="0"/>
    <xf numFmtId="0" fontId="105" fillId="30" borderId="0" applyNumberFormat="0" applyBorder="0" applyAlignment="0" applyProtection="0"/>
    <xf numFmtId="0" fontId="76" fillId="51" borderId="0" applyNumberFormat="0" applyBorder="0" applyAlignment="0" applyProtection="0"/>
    <xf numFmtId="0" fontId="54" fillId="30" borderId="0" applyNumberFormat="0" applyBorder="0" applyAlignment="0" applyProtection="0"/>
    <xf numFmtId="0" fontId="76" fillId="51" borderId="0" applyNumberFormat="0" applyBorder="0" applyAlignment="0" applyProtection="0"/>
    <xf numFmtId="0" fontId="95" fillId="4" borderId="0" applyNumberFormat="0" applyBorder="0" applyAlignment="0" applyProtection="0"/>
    <xf numFmtId="0" fontId="77" fillId="35" borderId="0" applyNumberFormat="0" applyBorder="0" applyAlignment="0" applyProtection="0"/>
    <xf numFmtId="0" fontId="44" fillId="4" borderId="0" applyNumberFormat="0" applyBorder="0" applyAlignment="0" applyProtection="0"/>
    <xf numFmtId="0" fontId="77" fillId="35" borderId="0" applyNumberFormat="0" applyBorder="0" applyAlignment="0" applyProtection="0"/>
    <xf numFmtId="0" fontId="99" fillId="7" borderId="25" applyNumberFormat="0" applyAlignment="0" applyProtection="0"/>
    <xf numFmtId="0" fontId="78" fillId="52" borderId="31" applyNumberFormat="0" applyAlignment="0" applyProtection="0"/>
    <xf numFmtId="0" fontId="48" fillId="7" borderId="25" applyNumberFormat="0" applyAlignment="0" applyProtection="0"/>
    <xf numFmtId="0" fontId="78" fillId="52" borderId="31" applyNumberFormat="0" applyAlignment="0" applyProtection="0"/>
    <xf numFmtId="0" fontId="101" fillId="8" borderId="28" applyNumberFormat="0" applyAlignment="0" applyProtection="0"/>
    <xf numFmtId="0" fontId="79" fillId="53" borderId="32" applyNumberFormat="0" applyAlignment="0" applyProtection="0"/>
    <xf numFmtId="0" fontId="50" fillId="8" borderId="28" applyNumberFormat="0" applyAlignment="0" applyProtection="0"/>
    <xf numFmtId="0" fontId="79" fillId="53" borderId="32" applyNumberFormat="0" applyAlignment="0" applyProtection="0"/>
    <xf numFmtId="0" fontId="103" fillId="0" borderId="0" applyNumberFormat="0" applyFill="0" applyBorder="0" applyAlignment="0" applyProtection="0"/>
    <xf numFmtId="0" fontId="80" fillId="0" borderId="0" applyNumberFormat="0" applyFill="0" applyBorder="0" applyAlignment="0" applyProtection="0"/>
    <xf numFmtId="0" fontId="52" fillId="0" borderId="0" applyNumberFormat="0" applyFill="0" applyBorder="0" applyAlignment="0" applyProtection="0"/>
    <xf numFmtId="0" fontId="80" fillId="0" borderId="0" applyNumberFormat="0" applyFill="0" applyBorder="0" applyAlignment="0" applyProtection="0"/>
    <xf numFmtId="0" fontId="94" fillId="3" borderId="0" applyNumberFormat="0" applyBorder="0" applyAlignment="0" applyProtection="0"/>
    <xf numFmtId="0" fontId="81" fillId="36" borderId="0" applyNumberFormat="0" applyBorder="0" applyAlignment="0" applyProtection="0"/>
    <xf numFmtId="0" fontId="43" fillId="3" borderId="0" applyNumberFormat="0" applyBorder="0" applyAlignment="0" applyProtection="0"/>
    <xf numFmtId="0" fontId="81" fillId="36" borderId="0" applyNumberFormat="0" applyBorder="0" applyAlignment="0" applyProtection="0"/>
    <xf numFmtId="0" fontId="91" fillId="0" borderId="22" applyNumberFormat="0" applyFill="0" applyAlignment="0" applyProtection="0"/>
    <xf numFmtId="0" fontId="82" fillId="0" borderId="33" applyNumberFormat="0" applyFill="0" applyAlignment="0" applyProtection="0"/>
    <xf numFmtId="0" fontId="40" fillId="0" borderId="22" applyNumberFormat="0" applyFill="0" applyAlignment="0" applyProtection="0"/>
    <xf numFmtId="0" fontId="82" fillId="0" borderId="33" applyNumberFormat="0" applyFill="0" applyAlignment="0" applyProtection="0"/>
    <xf numFmtId="0" fontId="92" fillId="0" borderId="23" applyNumberFormat="0" applyFill="0" applyAlignment="0" applyProtection="0"/>
    <xf numFmtId="0" fontId="83" fillId="0" borderId="34" applyNumberFormat="0" applyFill="0" applyAlignment="0" applyProtection="0"/>
    <xf numFmtId="0" fontId="41" fillId="0" borderId="23" applyNumberFormat="0" applyFill="0" applyAlignment="0" applyProtection="0"/>
    <xf numFmtId="0" fontId="83" fillId="0" borderId="34" applyNumberFormat="0" applyFill="0" applyAlignment="0" applyProtection="0"/>
    <xf numFmtId="0" fontId="93" fillId="0" borderId="24" applyNumberFormat="0" applyFill="0" applyAlignment="0" applyProtection="0"/>
    <xf numFmtId="0" fontId="84" fillId="0" borderId="35" applyNumberFormat="0" applyFill="0" applyAlignment="0" applyProtection="0"/>
    <xf numFmtId="0" fontId="42" fillId="0" borderId="24" applyNumberFormat="0" applyFill="0" applyAlignment="0" applyProtection="0"/>
    <xf numFmtId="0" fontId="84" fillId="0" borderId="35" applyNumberFormat="0" applyFill="0" applyAlignment="0" applyProtection="0"/>
    <xf numFmtId="0" fontId="93" fillId="0" borderId="0" applyNumberFormat="0" applyFill="0" applyBorder="0" applyAlignment="0" applyProtection="0"/>
    <xf numFmtId="0" fontId="84" fillId="0" borderId="0" applyNumberFormat="0" applyFill="0" applyBorder="0" applyAlignment="0" applyProtection="0"/>
    <xf numFmtId="0" fontId="42" fillId="0" borderId="0" applyNumberFormat="0" applyFill="0" applyBorder="0" applyAlignment="0" applyProtection="0"/>
    <xf numFmtId="0" fontId="84" fillId="0" borderId="0" applyNumberFormat="0" applyFill="0" applyBorder="0" applyAlignment="0" applyProtection="0"/>
    <xf numFmtId="0" fontId="97" fillId="6" borderId="25" applyNumberFormat="0" applyAlignment="0" applyProtection="0"/>
    <xf numFmtId="0" fontId="85" fillId="39" borderId="31" applyNumberFormat="0" applyAlignment="0" applyProtection="0"/>
    <xf numFmtId="0" fontId="46" fillId="6" borderId="25" applyNumberFormat="0" applyAlignment="0" applyProtection="0"/>
    <xf numFmtId="0" fontId="85" fillId="39" borderId="31" applyNumberFormat="0" applyAlignment="0" applyProtection="0"/>
    <xf numFmtId="0" fontId="100" fillId="0" borderId="27" applyNumberFormat="0" applyFill="0" applyAlignment="0" applyProtection="0"/>
    <xf numFmtId="0" fontId="86" fillId="0" borderId="36" applyNumberFormat="0" applyFill="0" applyAlignment="0" applyProtection="0"/>
    <xf numFmtId="0" fontId="49" fillId="0" borderId="27" applyNumberFormat="0" applyFill="0" applyAlignment="0" applyProtection="0"/>
    <xf numFmtId="0" fontId="86" fillId="0" borderId="36" applyNumberFormat="0" applyFill="0" applyAlignment="0" applyProtection="0"/>
    <xf numFmtId="0" fontId="96" fillId="5" borderId="0" applyNumberFormat="0" applyBorder="0" applyAlignment="0" applyProtection="0"/>
    <xf numFmtId="0" fontId="87" fillId="54" borderId="0" applyNumberFormat="0" applyBorder="0" applyAlignment="0" applyProtection="0"/>
    <xf numFmtId="0" fontId="45" fillId="5" borderId="0" applyNumberFormat="0" applyBorder="0" applyAlignment="0" applyProtection="0"/>
    <xf numFmtId="0" fontId="87" fillId="54" borderId="0" applyNumberFormat="0" applyBorder="0" applyAlignment="0" applyProtection="0"/>
    <xf numFmtId="0" fontId="9" fillId="0" borderId="0"/>
    <xf numFmtId="0" fontId="13" fillId="55" borderId="37" applyNumberFormat="0" applyFont="0" applyAlignment="0" applyProtection="0"/>
    <xf numFmtId="0" fontId="9" fillId="9" borderId="29" applyNumberFormat="0" applyFont="0" applyAlignment="0" applyProtection="0"/>
    <xf numFmtId="0" fontId="13" fillId="55" borderId="37" applyNumberFormat="0" applyFont="0" applyAlignment="0" applyProtection="0"/>
    <xf numFmtId="0" fontId="98" fillId="7" borderId="26" applyNumberFormat="0" applyAlignment="0" applyProtection="0"/>
    <xf numFmtId="0" fontId="88" fillId="52" borderId="38" applyNumberFormat="0" applyAlignment="0" applyProtection="0"/>
    <xf numFmtId="0" fontId="47" fillId="7" borderId="26" applyNumberFormat="0" applyAlignment="0" applyProtection="0"/>
    <xf numFmtId="0" fontId="88" fillId="52" borderId="38" applyNumberFormat="0" applyAlignment="0" applyProtection="0"/>
    <xf numFmtId="0" fontId="39" fillId="0" borderId="0" applyNumberFormat="0" applyFill="0" applyBorder="0" applyAlignment="0" applyProtection="0"/>
    <xf numFmtId="0" fontId="104" fillId="0" borderId="30" applyNumberFormat="0" applyFill="0" applyAlignment="0" applyProtection="0"/>
    <xf numFmtId="0" fontId="89" fillId="0" borderId="39" applyNumberFormat="0" applyFill="0" applyAlignment="0" applyProtection="0"/>
    <xf numFmtId="0" fontId="53" fillId="0" borderId="30" applyNumberFormat="0" applyFill="0" applyAlignment="0" applyProtection="0"/>
    <xf numFmtId="0" fontId="89" fillId="0" borderId="39" applyNumberFormat="0" applyFill="0" applyAlignment="0" applyProtection="0"/>
    <xf numFmtId="0" fontId="102" fillId="0" borderId="0" applyNumberFormat="0" applyFill="0" applyBorder="0" applyAlignment="0" applyProtection="0"/>
    <xf numFmtId="0" fontId="90" fillId="0" borderId="0" applyNumberFormat="0" applyFill="0" applyBorder="0" applyAlignment="0" applyProtection="0"/>
    <xf numFmtId="0" fontId="51" fillId="0" borderId="0" applyNumberFormat="0" applyFill="0" applyBorder="0" applyAlignment="0" applyProtection="0"/>
    <xf numFmtId="0" fontId="90" fillId="0" borderId="0" applyNumberFormat="0" applyFill="0" applyBorder="0" applyAlignment="0" applyProtection="0"/>
    <xf numFmtId="0" fontId="73" fillId="11" borderId="0" applyNumberFormat="0" applyBorder="0" applyAlignment="0" applyProtection="0"/>
    <xf numFmtId="0" fontId="9" fillId="11" borderId="0" applyNumberFormat="0" applyBorder="0" applyAlignment="0" applyProtection="0"/>
    <xf numFmtId="0" fontId="75" fillId="34" borderId="0" applyNumberFormat="0" applyBorder="0" applyAlignment="0" applyProtection="0"/>
    <xf numFmtId="0" fontId="73" fillId="15" borderId="0" applyNumberFormat="0" applyBorder="0" applyAlignment="0" applyProtection="0"/>
    <xf numFmtId="0" fontId="9" fillId="15" borderId="0" applyNumberFormat="0" applyBorder="0" applyAlignment="0" applyProtection="0"/>
    <xf numFmtId="0" fontId="75" fillId="35" borderId="0" applyNumberFormat="0" applyBorder="0" applyAlignment="0" applyProtection="0"/>
    <xf numFmtId="0" fontId="73" fillId="19" borderId="0" applyNumberFormat="0" applyBorder="0" applyAlignment="0" applyProtection="0"/>
    <xf numFmtId="0" fontId="9" fillId="19" borderId="0" applyNumberFormat="0" applyBorder="0" applyAlignment="0" applyProtection="0"/>
    <xf numFmtId="0" fontId="75" fillId="36" borderId="0" applyNumberFormat="0" applyBorder="0" applyAlignment="0" applyProtection="0"/>
    <xf numFmtId="0" fontId="73" fillId="23" borderId="0" applyNumberFormat="0" applyBorder="0" applyAlignment="0" applyProtection="0"/>
    <xf numFmtId="0" fontId="9" fillId="23" borderId="0" applyNumberFormat="0" applyBorder="0" applyAlignment="0" applyProtection="0"/>
    <xf numFmtId="0" fontId="75" fillId="37" borderId="0" applyNumberFormat="0" applyBorder="0" applyAlignment="0" applyProtection="0"/>
    <xf numFmtId="0" fontId="73" fillId="27" borderId="0" applyNumberFormat="0" applyBorder="0" applyAlignment="0" applyProtection="0"/>
    <xf numFmtId="0" fontId="9" fillId="27" borderId="0" applyNumberFormat="0" applyBorder="0" applyAlignment="0" applyProtection="0"/>
    <xf numFmtId="0" fontId="75" fillId="38" borderId="0" applyNumberFormat="0" applyBorder="0" applyAlignment="0" applyProtection="0"/>
    <xf numFmtId="0" fontId="73" fillId="31" borderId="0" applyNumberFormat="0" applyBorder="0" applyAlignment="0" applyProtection="0"/>
    <xf numFmtId="0" fontId="9" fillId="31" borderId="0" applyNumberFormat="0" applyBorder="0" applyAlignment="0" applyProtection="0"/>
    <xf numFmtId="0" fontId="75" fillId="39" borderId="0" applyNumberFormat="0" applyBorder="0" applyAlignment="0" applyProtection="0"/>
    <xf numFmtId="0" fontId="73" fillId="12" borderId="0" applyNumberFormat="0" applyBorder="0" applyAlignment="0" applyProtection="0"/>
    <xf numFmtId="0" fontId="9" fillId="12" borderId="0" applyNumberFormat="0" applyBorder="0" applyAlignment="0" applyProtection="0"/>
    <xf numFmtId="0" fontId="75" fillId="40" borderId="0" applyNumberFormat="0" applyBorder="0" applyAlignment="0" applyProtection="0"/>
    <xf numFmtId="0" fontId="73" fillId="16" borderId="0" applyNumberFormat="0" applyBorder="0" applyAlignment="0" applyProtection="0"/>
    <xf numFmtId="0" fontId="9" fillId="16" borderId="0" applyNumberFormat="0" applyBorder="0" applyAlignment="0" applyProtection="0"/>
    <xf numFmtId="0" fontId="75" fillId="41" borderId="0" applyNumberFormat="0" applyBorder="0" applyAlignment="0" applyProtection="0"/>
    <xf numFmtId="0" fontId="73" fillId="20" borderId="0" applyNumberFormat="0" applyBorder="0" applyAlignment="0" applyProtection="0"/>
    <xf numFmtId="0" fontId="9" fillId="20" borderId="0" applyNumberFormat="0" applyBorder="0" applyAlignment="0" applyProtection="0"/>
    <xf numFmtId="0" fontId="75" fillId="42" borderId="0" applyNumberFormat="0" applyBorder="0" applyAlignment="0" applyProtection="0"/>
    <xf numFmtId="0" fontId="73" fillId="24" borderId="0" applyNumberFormat="0" applyBorder="0" applyAlignment="0" applyProtection="0"/>
    <xf numFmtId="0" fontId="9" fillId="24" borderId="0" applyNumberFormat="0" applyBorder="0" applyAlignment="0" applyProtection="0"/>
    <xf numFmtId="0" fontId="75" fillId="37" borderId="0" applyNumberFormat="0" applyBorder="0" applyAlignment="0" applyProtection="0"/>
    <xf numFmtId="0" fontId="73" fillId="28" borderId="0" applyNumberFormat="0" applyBorder="0" applyAlignment="0" applyProtection="0"/>
    <xf numFmtId="0" fontId="9" fillId="28" borderId="0" applyNumberFormat="0" applyBorder="0" applyAlignment="0" applyProtection="0"/>
    <xf numFmtId="0" fontId="75" fillId="40" borderId="0" applyNumberFormat="0" applyBorder="0" applyAlignment="0" applyProtection="0"/>
    <xf numFmtId="0" fontId="73" fillId="32" borderId="0" applyNumberFormat="0" applyBorder="0" applyAlignment="0" applyProtection="0"/>
    <xf numFmtId="0" fontId="9" fillId="32" borderId="0" applyNumberFormat="0" applyBorder="0" applyAlignment="0" applyProtection="0"/>
    <xf numFmtId="0" fontId="75" fillId="43" borderId="0" applyNumberFormat="0" applyBorder="0" applyAlignment="0" applyProtection="0"/>
    <xf numFmtId="0" fontId="105" fillId="13" borderId="0" applyNumberFormat="0" applyBorder="0" applyAlignment="0" applyProtection="0"/>
    <xf numFmtId="0" fontId="54" fillId="13" borderId="0" applyNumberFormat="0" applyBorder="0" applyAlignment="0" applyProtection="0"/>
    <xf numFmtId="0" fontId="76" fillId="44" borderId="0" applyNumberFormat="0" applyBorder="0" applyAlignment="0" applyProtection="0"/>
    <xf numFmtId="0" fontId="105" fillId="17" borderId="0" applyNumberFormat="0" applyBorder="0" applyAlignment="0" applyProtection="0"/>
    <xf numFmtId="0" fontId="54" fillId="17" borderId="0" applyNumberFormat="0" applyBorder="0" applyAlignment="0" applyProtection="0"/>
    <xf numFmtId="0" fontId="76" fillId="41" borderId="0" applyNumberFormat="0" applyBorder="0" applyAlignment="0" applyProtection="0"/>
    <xf numFmtId="0" fontId="105" fillId="21" borderId="0" applyNumberFormat="0" applyBorder="0" applyAlignment="0" applyProtection="0"/>
    <xf numFmtId="0" fontId="54" fillId="21" borderId="0" applyNumberFormat="0" applyBorder="0" applyAlignment="0" applyProtection="0"/>
    <xf numFmtId="0" fontId="76" fillId="42" borderId="0" applyNumberFormat="0" applyBorder="0" applyAlignment="0" applyProtection="0"/>
    <xf numFmtId="0" fontId="105" fillId="25" borderId="0" applyNumberFormat="0" applyBorder="0" applyAlignment="0" applyProtection="0"/>
    <xf numFmtId="0" fontId="54" fillId="25" borderId="0" applyNumberFormat="0" applyBorder="0" applyAlignment="0" applyProtection="0"/>
    <xf numFmtId="0" fontId="76" fillId="45" borderId="0" applyNumberFormat="0" applyBorder="0" applyAlignment="0" applyProtection="0"/>
    <xf numFmtId="0" fontId="105" fillId="29" borderId="0" applyNumberFormat="0" applyBorder="0" applyAlignment="0" applyProtection="0"/>
    <xf numFmtId="0" fontId="54" fillId="29" borderId="0" applyNumberFormat="0" applyBorder="0" applyAlignment="0" applyProtection="0"/>
    <xf numFmtId="0" fontId="76" fillId="46" borderId="0" applyNumberFormat="0" applyBorder="0" applyAlignment="0" applyProtection="0"/>
    <xf numFmtId="0" fontId="105" fillId="33" borderId="0" applyNumberFormat="0" applyBorder="0" applyAlignment="0" applyProtection="0"/>
    <xf numFmtId="0" fontId="54" fillId="33" borderId="0" applyNumberFormat="0" applyBorder="0" applyAlignment="0" applyProtection="0"/>
    <xf numFmtId="0" fontId="76" fillId="47" borderId="0" applyNumberFormat="0" applyBorder="0" applyAlignment="0" applyProtection="0"/>
    <xf numFmtId="0" fontId="105" fillId="10" borderId="0" applyNumberFormat="0" applyBorder="0" applyAlignment="0" applyProtection="0"/>
    <xf numFmtId="0" fontId="54" fillId="10" borderId="0" applyNumberFormat="0" applyBorder="0" applyAlignment="0" applyProtection="0"/>
    <xf numFmtId="0" fontId="76" fillId="48" borderId="0" applyNumberFormat="0" applyBorder="0" applyAlignment="0" applyProtection="0"/>
    <xf numFmtId="0" fontId="105" fillId="14" borderId="0" applyNumberFormat="0" applyBorder="0" applyAlignment="0" applyProtection="0"/>
    <xf numFmtId="0" fontId="54" fillId="14" borderId="0" applyNumberFormat="0" applyBorder="0" applyAlignment="0" applyProtection="0"/>
    <xf numFmtId="0" fontId="76" fillId="49" borderId="0" applyNumberFormat="0" applyBorder="0" applyAlignment="0" applyProtection="0"/>
    <xf numFmtId="0" fontId="105" fillId="18" borderId="0" applyNumberFormat="0" applyBorder="0" applyAlignment="0" applyProtection="0"/>
    <xf numFmtId="0" fontId="54" fillId="18" borderId="0" applyNumberFormat="0" applyBorder="0" applyAlignment="0" applyProtection="0"/>
    <xf numFmtId="0" fontId="76" fillId="50" borderId="0" applyNumberFormat="0" applyBorder="0" applyAlignment="0" applyProtection="0"/>
    <xf numFmtId="0" fontId="105" fillId="22" borderId="0" applyNumberFormat="0" applyBorder="0" applyAlignment="0" applyProtection="0"/>
    <xf numFmtId="0" fontId="54" fillId="22" borderId="0" applyNumberFormat="0" applyBorder="0" applyAlignment="0" applyProtection="0"/>
    <xf numFmtId="0" fontId="76" fillId="45" borderId="0" applyNumberFormat="0" applyBorder="0" applyAlignment="0" applyProtection="0"/>
    <xf numFmtId="0" fontId="105" fillId="26" borderId="0" applyNumberFormat="0" applyBorder="0" applyAlignment="0" applyProtection="0"/>
    <xf numFmtId="0" fontId="54" fillId="26" borderId="0" applyNumberFormat="0" applyBorder="0" applyAlignment="0" applyProtection="0"/>
    <xf numFmtId="0" fontId="76" fillId="46" borderId="0" applyNumberFormat="0" applyBorder="0" applyAlignment="0" applyProtection="0"/>
    <xf numFmtId="0" fontId="105" fillId="30" borderId="0" applyNumberFormat="0" applyBorder="0" applyAlignment="0" applyProtection="0"/>
    <xf numFmtId="0" fontId="54" fillId="30" borderId="0" applyNumberFormat="0" applyBorder="0" applyAlignment="0" applyProtection="0"/>
    <xf numFmtId="0" fontId="76" fillId="51" borderId="0" applyNumberFormat="0" applyBorder="0" applyAlignment="0" applyProtection="0"/>
    <xf numFmtId="0" fontId="95" fillId="4" borderId="0" applyNumberFormat="0" applyBorder="0" applyAlignment="0" applyProtection="0"/>
    <xf numFmtId="0" fontId="44" fillId="4" borderId="0" applyNumberFormat="0" applyBorder="0" applyAlignment="0" applyProtection="0"/>
    <xf numFmtId="0" fontId="77" fillId="35" borderId="0" applyNumberFormat="0" applyBorder="0" applyAlignment="0" applyProtection="0"/>
    <xf numFmtId="0" fontId="99" fillId="7" borderId="25" applyNumberFormat="0" applyAlignment="0" applyProtection="0"/>
    <xf numFmtId="0" fontId="48" fillId="7" borderId="25" applyNumberFormat="0" applyAlignment="0" applyProtection="0"/>
    <xf numFmtId="0" fontId="78" fillId="52" borderId="31" applyNumberFormat="0" applyAlignment="0" applyProtection="0"/>
    <xf numFmtId="0" fontId="101" fillId="8" borderId="28" applyNumberFormat="0" applyAlignment="0" applyProtection="0"/>
    <xf numFmtId="0" fontId="50" fillId="8" borderId="28" applyNumberFormat="0" applyAlignment="0" applyProtection="0"/>
    <xf numFmtId="0" fontId="79" fillId="53" borderId="32" applyNumberFormat="0" applyAlignment="0" applyProtection="0"/>
    <xf numFmtId="0" fontId="103" fillId="0" borderId="0" applyNumberFormat="0" applyFill="0" applyBorder="0" applyAlignment="0" applyProtection="0"/>
    <xf numFmtId="0" fontId="52" fillId="0" borderId="0" applyNumberFormat="0" applyFill="0" applyBorder="0" applyAlignment="0" applyProtection="0"/>
    <xf numFmtId="0" fontId="80" fillId="0" borderId="0" applyNumberFormat="0" applyFill="0" applyBorder="0" applyAlignment="0" applyProtection="0"/>
    <xf numFmtId="0" fontId="94" fillId="3" borderId="0" applyNumberFormat="0" applyBorder="0" applyAlignment="0" applyProtection="0"/>
    <xf numFmtId="0" fontId="43" fillId="3" borderId="0" applyNumberFormat="0" applyBorder="0" applyAlignment="0" applyProtection="0"/>
    <xf numFmtId="0" fontId="81" fillId="36" borderId="0" applyNumberFormat="0" applyBorder="0" applyAlignment="0" applyProtection="0"/>
    <xf numFmtId="0" fontId="91" fillId="0" borderId="22" applyNumberFormat="0" applyFill="0" applyAlignment="0" applyProtection="0"/>
    <xf numFmtId="0" fontId="40" fillId="0" borderId="22" applyNumberFormat="0" applyFill="0" applyAlignment="0" applyProtection="0"/>
    <xf numFmtId="0" fontId="82" fillId="0" borderId="33" applyNumberFormat="0" applyFill="0" applyAlignment="0" applyProtection="0"/>
    <xf numFmtId="0" fontId="92" fillId="0" borderId="23" applyNumberFormat="0" applyFill="0" applyAlignment="0" applyProtection="0"/>
    <xf numFmtId="0" fontId="41" fillId="0" borderId="23" applyNumberFormat="0" applyFill="0" applyAlignment="0" applyProtection="0"/>
    <xf numFmtId="0" fontId="83" fillId="0" borderId="34" applyNumberFormat="0" applyFill="0" applyAlignment="0" applyProtection="0"/>
    <xf numFmtId="0" fontId="93" fillId="0" borderId="24" applyNumberFormat="0" applyFill="0" applyAlignment="0" applyProtection="0"/>
    <xf numFmtId="0" fontId="42" fillId="0" borderId="24" applyNumberFormat="0" applyFill="0" applyAlignment="0" applyProtection="0"/>
    <xf numFmtId="0" fontId="84" fillId="0" borderId="35" applyNumberFormat="0" applyFill="0" applyAlignment="0" applyProtection="0"/>
    <xf numFmtId="0" fontId="93" fillId="0" borderId="0" applyNumberFormat="0" applyFill="0" applyBorder="0" applyAlignment="0" applyProtection="0"/>
    <xf numFmtId="0" fontId="42" fillId="0" borderId="0" applyNumberFormat="0" applyFill="0" applyBorder="0" applyAlignment="0" applyProtection="0"/>
    <xf numFmtId="0" fontId="84" fillId="0" borderId="0" applyNumberFormat="0" applyFill="0" applyBorder="0" applyAlignment="0" applyProtection="0"/>
    <xf numFmtId="0" fontId="97" fillId="6" borderId="25" applyNumberFormat="0" applyAlignment="0" applyProtection="0"/>
    <xf numFmtId="0" fontId="46" fillId="6" borderId="25" applyNumberFormat="0" applyAlignment="0" applyProtection="0"/>
    <xf numFmtId="0" fontId="85" fillId="39" borderId="31" applyNumberFormat="0" applyAlignment="0" applyProtection="0"/>
    <xf numFmtId="0" fontId="100" fillId="0" borderId="27" applyNumberFormat="0" applyFill="0" applyAlignment="0" applyProtection="0"/>
    <xf numFmtId="0" fontId="49" fillId="0" borderId="27" applyNumberFormat="0" applyFill="0" applyAlignment="0" applyProtection="0"/>
    <xf numFmtId="0" fontId="86" fillId="0" borderId="36" applyNumberFormat="0" applyFill="0" applyAlignment="0" applyProtection="0"/>
    <xf numFmtId="0" fontId="96" fillId="5" borderId="0" applyNumberFormat="0" applyBorder="0" applyAlignment="0" applyProtection="0"/>
    <xf numFmtId="0" fontId="45" fillId="5" borderId="0" applyNumberFormat="0" applyBorder="0" applyAlignment="0" applyProtection="0"/>
    <xf numFmtId="0" fontId="87" fillId="54" borderId="0" applyNumberFormat="0" applyBorder="0" applyAlignment="0" applyProtection="0"/>
    <xf numFmtId="0" fontId="9" fillId="0" borderId="0"/>
    <xf numFmtId="0" fontId="9" fillId="9" borderId="29" applyNumberFormat="0" applyFont="0" applyAlignment="0" applyProtection="0"/>
    <xf numFmtId="0" fontId="13" fillId="55" borderId="37" applyNumberFormat="0" applyFont="0" applyAlignment="0" applyProtection="0"/>
    <xf numFmtId="0" fontId="98" fillId="7" borderId="26" applyNumberFormat="0" applyAlignment="0" applyProtection="0"/>
    <xf numFmtId="0" fontId="47" fillId="7" borderId="26" applyNumberFormat="0" applyAlignment="0" applyProtection="0"/>
    <xf numFmtId="0" fontId="88" fillId="52" borderId="38" applyNumberFormat="0" applyAlignment="0" applyProtection="0"/>
    <xf numFmtId="0" fontId="39" fillId="0" borderId="0" applyNumberFormat="0" applyFill="0" applyBorder="0" applyAlignment="0" applyProtection="0"/>
    <xf numFmtId="0" fontId="104" fillId="0" borderId="30" applyNumberFormat="0" applyFill="0" applyAlignment="0" applyProtection="0"/>
    <xf numFmtId="0" fontId="53" fillId="0" borderId="30" applyNumberFormat="0" applyFill="0" applyAlignment="0" applyProtection="0"/>
    <xf numFmtId="0" fontId="89" fillId="0" borderId="39" applyNumberFormat="0" applyFill="0" applyAlignment="0" applyProtection="0"/>
    <xf numFmtId="0" fontId="102" fillId="0" borderId="0" applyNumberFormat="0" applyFill="0" applyBorder="0" applyAlignment="0" applyProtection="0"/>
    <xf numFmtId="0" fontId="51" fillId="0" borderId="0" applyNumberFormat="0" applyFill="0" applyBorder="0" applyAlignment="0" applyProtection="0"/>
    <xf numFmtId="0" fontId="90" fillId="0" borderId="0" applyNumberFormat="0" applyFill="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105" fillId="13" borderId="0" applyNumberFormat="0" applyBorder="0" applyAlignment="0" applyProtection="0"/>
    <xf numFmtId="0" fontId="105" fillId="13"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105" fillId="29" borderId="0" applyNumberFormat="0" applyBorder="0" applyAlignment="0" applyProtection="0"/>
    <xf numFmtId="0" fontId="105" fillId="29"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105" fillId="33" borderId="0" applyNumberFormat="0" applyBorder="0" applyAlignment="0" applyProtection="0"/>
    <xf numFmtId="0" fontId="105" fillId="33"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105" fillId="10" borderId="0" applyNumberFormat="0" applyBorder="0" applyAlignment="0" applyProtection="0"/>
    <xf numFmtId="0" fontId="105" fillId="10"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105" fillId="14" borderId="0" applyNumberFormat="0" applyBorder="0" applyAlignment="0" applyProtection="0"/>
    <xf numFmtId="0" fontId="105" fillId="14"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105" fillId="26" borderId="0" applyNumberFormat="0" applyBorder="0" applyAlignment="0" applyProtection="0"/>
    <xf numFmtId="0" fontId="105" fillId="26"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105" fillId="30" borderId="0" applyNumberFormat="0" applyBorder="0" applyAlignment="0" applyProtection="0"/>
    <xf numFmtId="0" fontId="105" fillId="30"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78" fillId="52" borderId="31" applyNumberFormat="0" applyAlignment="0" applyProtection="0"/>
    <xf numFmtId="0" fontId="78" fillId="52" borderId="31" applyNumberFormat="0" applyAlignment="0" applyProtection="0"/>
    <xf numFmtId="0" fontId="99" fillId="7" borderId="25" applyNumberFormat="0" applyAlignment="0" applyProtection="0"/>
    <xf numFmtId="0" fontId="99" fillId="7" borderId="25" applyNumberFormat="0" applyAlignment="0" applyProtection="0"/>
    <xf numFmtId="0" fontId="79" fillId="53" borderId="32" applyNumberFormat="0" applyAlignment="0" applyProtection="0"/>
    <xf numFmtId="0" fontId="79" fillId="53" borderId="32" applyNumberFormat="0" applyAlignment="0" applyProtection="0"/>
    <xf numFmtId="0" fontId="101" fillId="8" borderId="28" applyNumberFormat="0" applyAlignment="0" applyProtection="0"/>
    <xf numFmtId="0" fontId="101" fillId="8" borderId="28" applyNumberFormat="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81" fillId="36" borderId="0" applyNumberFormat="0" applyBorder="0" applyAlignment="0" applyProtection="0"/>
    <xf numFmtId="0" fontId="81" fillId="36"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82" fillId="0" borderId="33" applyNumberFormat="0" applyFill="0" applyAlignment="0" applyProtection="0"/>
    <xf numFmtId="0" fontId="82" fillId="0" borderId="33" applyNumberFormat="0" applyFill="0" applyAlignment="0" applyProtection="0"/>
    <xf numFmtId="0" fontId="91" fillId="0" borderId="22" applyNumberFormat="0" applyFill="0" applyAlignment="0" applyProtection="0"/>
    <xf numFmtId="0" fontId="91" fillId="0" borderId="22" applyNumberFormat="0" applyFill="0" applyAlignment="0" applyProtection="0"/>
    <xf numFmtId="0" fontId="83" fillId="0" borderId="34" applyNumberFormat="0" applyFill="0" applyAlignment="0" applyProtection="0"/>
    <xf numFmtId="0" fontId="83" fillId="0" borderId="34" applyNumberFormat="0" applyFill="0" applyAlignment="0" applyProtection="0"/>
    <xf numFmtId="0" fontId="92" fillId="0" borderId="23" applyNumberFormat="0" applyFill="0" applyAlignment="0" applyProtection="0"/>
    <xf numFmtId="0" fontId="92" fillId="0" borderId="23" applyNumberFormat="0" applyFill="0" applyAlignment="0" applyProtection="0"/>
    <xf numFmtId="0" fontId="84" fillId="0" borderId="35" applyNumberFormat="0" applyFill="0" applyAlignment="0" applyProtection="0"/>
    <xf numFmtId="0" fontId="84" fillId="0" borderId="35" applyNumberFormat="0" applyFill="0" applyAlignment="0" applyProtection="0"/>
    <xf numFmtId="0" fontId="93" fillId="0" borderId="24" applyNumberFormat="0" applyFill="0" applyAlignment="0" applyProtection="0"/>
    <xf numFmtId="0" fontId="93" fillId="0" borderId="24"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85" fillId="39" borderId="31" applyNumberFormat="0" applyAlignment="0" applyProtection="0"/>
    <xf numFmtId="0" fontId="85" fillId="39" borderId="31" applyNumberFormat="0" applyAlignment="0" applyProtection="0"/>
    <xf numFmtId="0" fontId="97" fillId="6" borderId="25" applyNumberFormat="0" applyAlignment="0" applyProtection="0"/>
    <xf numFmtId="0" fontId="97" fillId="6" borderId="25" applyNumberFormat="0" applyAlignment="0" applyProtection="0"/>
    <xf numFmtId="0" fontId="86" fillId="0" borderId="36" applyNumberFormat="0" applyFill="0" applyAlignment="0" applyProtection="0"/>
    <xf numFmtId="0" fontId="86" fillId="0" borderId="36" applyNumberFormat="0" applyFill="0" applyAlignment="0" applyProtection="0"/>
    <xf numFmtId="0" fontId="100" fillId="0" borderId="27" applyNumberFormat="0" applyFill="0" applyAlignment="0" applyProtection="0"/>
    <xf numFmtId="0" fontId="100" fillId="0" borderId="27" applyNumberFormat="0" applyFill="0" applyAlignment="0" applyProtection="0"/>
    <xf numFmtId="0" fontId="87" fillId="54" borderId="0" applyNumberFormat="0" applyBorder="0" applyAlignment="0" applyProtection="0"/>
    <xf numFmtId="0" fontId="87" fillId="54"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13" fillId="55" borderId="37" applyNumberFormat="0" applyFont="0" applyAlignment="0" applyProtection="0"/>
    <xf numFmtId="0" fontId="13" fillId="55" borderId="37" applyNumberFormat="0" applyFont="0" applyAlignment="0" applyProtection="0"/>
    <xf numFmtId="0" fontId="88" fillId="52" borderId="38" applyNumberFormat="0" applyAlignment="0" applyProtection="0"/>
    <xf numFmtId="0" fontId="88" fillId="52" borderId="38" applyNumberFormat="0" applyAlignment="0" applyProtection="0"/>
    <xf numFmtId="0" fontId="98" fillId="7" borderId="26" applyNumberFormat="0" applyAlignment="0" applyProtection="0"/>
    <xf numFmtId="0" fontId="98" fillId="7" borderId="26" applyNumberFormat="0" applyAlignment="0" applyProtection="0"/>
    <xf numFmtId="0" fontId="89" fillId="0" borderId="39" applyNumberFormat="0" applyFill="0" applyAlignment="0" applyProtection="0"/>
    <xf numFmtId="0" fontId="89" fillId="0" borderId="3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75" fillId="34" borderId="0" applyNumberFormat="0" applyBorder="0" applyAlignment="0" applyProtection="0"/>
    <xf numFmtId="0" fontId="9" fillId="11" borderId="0" applyNumberFormat="0" applyBorder="0" applyAlignment="0" applyProtection="0"/>
    <xf numFmtId="0" fontId="73" fillId="11" borderId="0" applyNumberFormat="0" applyBorder="0" applyAlignment="0" applyProtection="0"/>
    <xf numFmtId="0" fontId="75" fillId="35" borderId="0" applyNumberFormat="0" applyBorder="0" applyAlignment="0" applyProtection="0"/>
    <xf numFmtId="0" fontId="9" fillId="15" borderId="0" applyNumberFormat="0" applyBorder="0" applyAlignment="0" applyProtection="0"/>
    <xf numFmtId="0" fontId="73" fillId="15" borderId="0" applyNumberFormat="0" applyBorder="0" applyAlignment="0" applyProtection="0"/>
    <xf numFmtId="0" fontId="75" fillId="36" borderId="0" applyNumberFormat="0" applyBorder="0" applyAlignment="0" applyProtection="0"/>
    <xf numFmtId="0" fontId="9" fillId="19" borderId="0" applyNumberFormat="0" applyBorder="0" applyAlignment="0" applyProtection="0"/>
    <xf numFmtId="0" fontId="73" fillId="19" borderId="0" applyNumberFormat="0" applyBorder="0" applyAlignment="0" applyProtection="0"/>
    <xf numFmtId="0" fontId="75" fillId="37" borderId="0" applyNumberFormat="0" applyBorder="0" applyAlignment="0" applyProtection="0"/>
    <xf numFmtId="0" fontId="9" fillId="23" borderId="0" applyNumberFormat="0" applyBorder="0" applyAlignment="0" applyProtection="0"/>
    <xf numFmtId="0" fontId="73" fillId="23" borderId="0" applyNumberFormat="0" applyBorder="0" applyAlignment="0" applyProtection="0"/>
    <xf numFmtId="0" fontId="75" fillId="38" borderId="0" applyNumberFormat="0" applyBorder="0" applyAlignment="0" applyProtection="0"/>
    <xf numFmtId="0" fontId="9" fillId="27" borderId="0" applyNumberFormat="0" applyBorder="0" applyAlignment="0" applyProtection="0"/>
    <xf numFmtId="0" fontId="73" fillId="27" borderId="0" applyNumberFormat="0" applyBorder="0" applyAlignment="0" applyProtection="0"/>
    <xf numFmtId="0" fontId="75" fillId="39" borderId="0" applyNumberFormat="0" applyBorder="0" applyAlignment="0" applyProtection="0"/>
    <xf numFmtId="0" fontId="9" fillId="31" borderId="0" applyNumberFormat="0" applyBorder="0" applyAlignment="0" applyProtection="0"/>
    <xf numFmtId="0" fontId="73" fillId="31" borderId="0" applyNumberFormat="0" applyBorder="0" applyAlignment="0" applyProtection="0"/>
    <xf numFmtId="0" fontId="75" fillId="40" borderId="0" applyNumberFormat="0" applyBorder="0" applyAlignment="0" applyProtection="0"/>
    <xf numFmtId="0" fontId="9" fillId="12" borderId="0" applyNumberFormat="0" applyBorder="0" applyAlignment="0" applyProtection="0"/>
    <xf numFmtId="0" fontId="73" fillId="12" borderId="0" applyNumberFormat="0" applyBorder="0" applyAlignment="0" applyProtection="0"/>
    <xf numFmtId="0" fontId="75" fillId="41" borderId="0" applyNumberFormat="0" applyBorder="0" applyAlignment="0" applyProtection="0"/>
    <xf numFmtId="0" fontId="9" fillId="16" borderId="0" applyNumberFormat="0" applyBorder="0" applyAlignment="0" applyProtection="0"/>
    <xf numFmtId="0" fontId="73" fillId="16" borderId="0" applyNumberFormat="0" applyBorder="0" applyAlignment="0" applyProtection="0"/>
    <xf numFmtId="0" fontId="75" fillId="42" borderId="0" applyNumberFormat="0" applyBorder="0" applyAlignment="0" applyProtection="0"/>
    <xf numFmtId="0" fontId="9" fillId="20" borderId="0" applyNumberFormat="0" applyBorder="0" applyAlignment="0" applyProtection="0"/>
    <xf numFmtId="0" fontId="73" fillId="20" borderId="0" applyNumberFormat="0" applyBorder="0" applyAlignment="0" applyProtection="0"/>
    <xf numFmtId="0" fontId="75" fillId="37" borderId="0" applyNumberFormat="0" applyBorder="0" applyAlignment="0" applyProtection="0"/>
    <xf numFmtId="0" fontId="9" fillId="24" borderId="0" applyNumberFormat="0" applyBorder="0" applyAlignment="0" applyProtection="0"/>
    <xf numFmtId="0" fontId="73" fillId="24" borderId="0" applyNumberFormat="0" applyBorder="0" applyAlignment="0" applyProtection="0"/>
    <xf numFmtId="0" fontId="75" fillId="40" borderId="0" applyNumberFormat="0" applyBorder="0" applyAlignment="0" applyProtection="0"/>
    <xf numFmtId="0" fontId="9" fillId="28" borderId="0" applyNumberFormat="0" applyBorder="0" applyAlignment="0" applyProtection="0"/>
    <xf numFmtId="0" fontId="73" fillId="28" borderId="0" applyNumberFormat="0" applyBorder="0" applyAlignment="0" applyProtection="0"/>
    <xf numFmtId="0" fontId="75" fillId="43" borderId="0" applyNumberFormat="0" applyBorder="0" applyAlignment="0" applyProtection="0"/>
    <xf numFmtId="0" fontId="9" fillId="32" borderId="0" applyNumberFormat="0" applyBorder="0" applyAlignment="0" applyProtection="0"/>
    <xf numFmtId="0" fontId="73" fillId="32" borderId="0" applyNumberFormat="0" applyBorder="0" applyAlignment="0" applyProtection="0"/>
    <xf numFmtId="0" fontId="76" fillId="44" borderId="0" applyNumberFormat="0" applyBorder="0" applyAlignment="0" applyProtection="0"/>
    <xf numFmtId="0" fontId="54" fillId="13" borderId="0" applyNumberFormat="0" applyBorder="0" applyAlignment="0" applyProtection="0"/>
    <xf numFmtId="0" fontId="105" fillId="13" borderId="0" applyNumberFormat="0" applyBorder="0" applyAlignment="0" applyProtection="0"/>
    <xf numFmtId="0" fontId="76" fillId="41" borderId="0" applyNumberFormat="0" applyBorder="0" applyAlignment="0" applyProtection="0"/>
    <xf numFmtId="0" fontId="54" fillId="17" borderId="0" applyNumberFormat="0" applyBorder="0" applyAlignment="0" applyProtection="0"/>
    <xf numFmtId="0" fontId="105" fillId="17" borderId="0" applyNumberFormat="0" applyBorder="0" applyAlignment="0" applyProtection="0"/>
    <xf numFmtId="0" fontId="76" fillId="42" borderId="0" applyNumberFormat="0" applyBorder="0" applyAlignment="0" applyProtection="0"/>
    <xf numFmtId="0" fontId="54" fillId="21" borderId="0" applyNumberFormat="0" applyBorder="0" applyAlignment="0" applyProtection="0"/>
    <xf numFmtId="0" fontId="105" fillId="21" borderId="0" applyNumberFormat="0" applyBorder="0" applyAlignment="0" applyProtection="0"/>
    <xf numFmtId="0" fontId="76" fillId="45" borderId="0" applyNumberFormat="0" applyBorder="0" applyAlignment="0" applyProtection="0"/>
    <xf numFmtId="0" fontId="54" fillId="25" borderId="0" applyNumberFormat="0" applyBorder="0" applyAlignment="0" applyProtection="0"/>
    <xf numFmtId="0" fontId="105" fillId="25" borderId="0" applyNumberFormat="0" applyBorder="0" applyAlignment="0" applyProtection="0"/>
    <xf numFmtId="0" fontId="76" fillId="46" borderId="0" applyNumberFormat="0" applyBorder="0" applyAlignment="0" applyProtection="0"/>
    <xf numFmtId="0" fontId="54" fillId="29" borderId="0" applyNumberFormat="0" applyBorder="0" applyAlignment="0" applyProtection="0"/>
    <xf numFmtId="0" fontId="105" fillId="29" borderId="0" applyNumberFormat="0" applyBorder="0" applyAlignment="0" applyProtection="0"/>
    <xf numFmtId="0" fontId="76" fillId="47" borderId="0" applyNumberFormat="0" applyBorder="0" applyAlignment="0" applyProtection="0"/>
    <xf numFmtId="0" fontId="54" fillId="33" borderId="0" applyNumberFormat="0" applyBorder="0" applyAlignment="0" applyProtection="0"/>
    <xf numFmtId="0" fontId="105" fillId="33" borderId="0" applyNumberFormat="0" applyBorder="0" applyAlignment="0" applyProtection="0"/>
    <xf numFmtId="0" fontId="76" fillId="48" borderId="0" applyNumberFormat="0" applyBorder="0" applyAlignment="0" applyProtection="0"/>
    <xf numFmtId="0" fontId="54" fillId="10" borderId="0" applyNumberFormat="0" applyBorder="0" applyAlignment="0" applyProtection="0"/>
    <xf numFmtId="0" fontId="105" fillId="10" borderId="0" applyNumberFormat="0" applyBorder="0" applyAlignment="0" applyProtection="0"/>
    <xf numFmtId="0" fontId="76" fillId="49" borderId="0" applyNumberFormat="0" applyBorder="0" applyAlignment="0" applyProtection="0"/>
    <xf numFmtId="0" fontId="54" fillId="14" borderId="0" applyNumberFormat="0" applyBorder="0" applyAlignment="0" applyProtection="0"/>
    <xf numFmtId="0" fontId="105" fillId="14" borderId="0" applyNumberFormat="0" applyBorder="0" applyAlignment="0" applyProtection="0"/>
    <xf numFmtId="0" fontId="76" fillId="50" borderId="0" applyNumberFormat="0" applyBorder="0" applyAlignment="0" applyProtection="0"/>
    <xf numFmtId="0" fontId="54" fillId="18" borderId="0" applyNumberFormat="0" applyBorder="0" applyAlignment="0" applyProtection="0"/>
    <xf numFmtId="0" fontId="105" fillId="18" borderId="0" applyNumberFormat="0" applyBorder="0" applyAlignment="0" applyProtection="0"/>
    <xf numFmtId="0" fontId="76" fillId="45" borderId="0" applyNumberFormat="0" applyBorder="0" applyAlignment="0" applyProtection="0"/>
    <xf numFmtId="0" fontId="54" fillId="22" borderId="0" applyNumberFormat="0" applyBorder="0" applyAlignment="0" applyProtection="0"/>
    <xf numFmtId="0" fontId="105" fillId="22" borderId="0" applyNumberFormat="0" applyBorder="0" applyAlignment="0" applyProtection="0"/>
    <xf numFmtId="0" fontId="76" fillId="46" borderId="0" applyNumberFormat="0" applyBorder="0" applyAlignment="0" applyProtection="0"/>
    <xf numFmtId="0" fontId="54" fillId="26" borderId="0" applyNumberFormat="0" applyBorder="0" applyAlignment="0" applyProtection="0"/>
    <xf numFmtId="0" fontId="105" fillId="26" borderId="0" applyNumberFormat="0" applyBorder="0" applyAlignment="0" applyProtection="0"/>
    <xf numFmtId="0" fontId="76" fillId="51" borderId="0" applyNumberFormat="0" applyBorder="0" applyAlignment="0" applyProtection="0"/>
    <xf numFmtId="0" fontId="54" fillId="30" borderId="0" applyNumberFormat="0" applyBorder="0" applyAlignment="0" applyProtection="0"/>
    <xf numFmtId="0" fontId="105" fillId="30" borderId="0" applyNumberFormat="0" applyBorder="0" applyAlignment="0" applyProtection="0"/>
    <xf numFmtId="0" fontId="77" fillId="35" borderId="0" applyNumberFormat="0" applyBorder="0" applyAlignment="0" applyProtection="0"/>
    <xf numFmtId="0" fontId="44" fillId="4" borderId="0" applyNumberFormat="0" applyBorder="0" applyAlignment="0" applyProtection="0"/>
    <xf numFmtId="0" fontId="95" fillId="4" borderId="0" applyNumberFormat="0" applyBorder="0" applyAlignment="0" applyProtection="0"/>
    <xf numFmtId="0" fontId="78" fillId="52" borderId="31" applyNumberFormat="0" applyAlignment="0" applyProtection="0"/>
    <xf numFmtId="0" fontId="48" fillId="7" borderId="25" applyNumberFormat="0" applyAlignment="0" applyProtection="0"/>
    <xf numFmtId="0" fontId="99" fillId="7" borderId="25" applyNumberFormat="0" applyAlignment="0" applyProtection="0"/>
    <xf numFmtId="0" fontId="79" fillId="53" borderId="32" applyNumberFormat="0" applyAlignment="0" applyProtection="0"/>
    <xf numFmtId="0" fontId="50" fillId="8" borderId="28" applyNumberFormat="0" applyAlignment="0" applyProtection="0"/>
    <xf numFmtId="0" fontId="101" fillId="8" borderId="28" applyNumberFormat="0" applyAlignment="0" applyProtection="0"/>
    <xf numFmtId="0" fontId="80" fillId="0" borderId="0" applyNumberFormat="0" applyFill="0" applyBorder="0" applyAlignment="0" applyProtection="0"/>
    <xf numFmtId="0" fontId="52" fillId="0" borderId="0" applyNumberFormat="0" applyFill="0" applyBorder="0" applyAlignment="0" applyProtection="0"/>
    <xf numFmtId="0" fontId="103" fillId="0" borderId="0" applyNumberFormat="0" applyFill="0" applyBorder="0" applyAlignment="0" applyProtection="0"/>
    <xf numFmtId="0" fontId="81" fillId="36" borderId="0" applyNumberFormat="0" applyBorder="0" applyAlignment="0" applyProtection="0"/>
    <xf numFmtId="0" fontId="43" fillId="3" borderId="0" applyNumberFormat="0" applyBorder="0" applyAlignment="0" applyProtection="0"/>
    <xf numFmtId="0" fontId="94" fillId="3" borderId="0" applyNumberFormat="0" applyBorder="0" applyAlignment="0" applyProtection="0"/>
    <xf numFmtId="0" fontId="82" fillId="0" borderId="33" applyNumberFormat="0" applyFill="0" applyAlignment="0" applyProtection="0"/>
    <xf numFmtId="0" fontId="40" fillId="0" borderId="22" applyNumberFormat="0" applyFill="0" applyAlignment="0" applyProtection="0"/>
    <xf numFmtId="0" fontId="91" fillId="0" borderId="22" applyNumberFormat="0" applyFill="0" applyAlignment="0" applyProtection="0"/>
    <xf numFmtId="0" fontId="83" fillId="0" borderId="34" applyNumberFormat="0" applyFill="0" applyAlignment="0" applyProtection="0"/>
    <xf numFmtId="0" fontId="41" fillId="0" borderId="23" applyNumberFormat="0" applyFill="0" applyAlignment="0" applyProtection="0"/>
    <xf numFmtId="0" fontId="92" fillId="0" borderId="23" applyNumberFormat="0" applyFill="0" applyAlignment="0" applyProtection="0"/>
    <xf numFmtId="0" fontId="84" fillId="0" borderId="35" applyNumberFormat="0" applyFill="0" applyAlignment="0" applyProtection="0"/>
    <xf numFmtId="0" fontId="42" fillId="0" borderId="24" applyNumberFormat="0" applyFill="0" applyAlignment="0" applyProtection="0"/>
    <xf numFmtId="0" fontId="93" fillId="0" borderId="24" applyNumberFormat="0" applyFill="0" applyAlignment="0" applyProtection="0"/>
    <xf numFmtId="0" fontId="84" fillId="0" borderId="0" applyNumberFormat="0" applyFill="0" applyBorder="0" applyAlignment="0" applyProtection="0"/>
    <xf numFmtId="0" fontId="42" fillId="0" borderId="0" applyNumberFormat="0" applyFill="0" applyBorder="0" applyAlignment="0" applyProtection="0"/>
    <xf numFmtId="0" fontId="93" fillId="0" borderId="0" applyNumberFormat="0" applyFill="0" applyBorder="0" applyAlignment="0" applyProtection="0"/>
    <xf numFmtId="0" fontId="85" fillId="39" borderId="31" applyNumberFormat="0" applyAlignment="0" applyProtection="0"/>
    <xf numFmtId="0" fontId="46" fillId="6" borderId="25" applyNumberFormat="0" applyAlignment="0" applyProtection="0"/>
    <xf numFmtId="0" fontId="97" fillId="6" borderId="25" applyNumberFormat="0" applyAlignment="0" applyProtection="0"/>
    <xf numFmtId="0" fontId="86" fillId="0" borderId="36" applyNumberFormat="0" applyFill="0" applyAlignment="0" applyProtection="0"/>
    <xf numFmtId="0" fontId="49" fillId="0" borderId="27" applyNumberFormat="0" applyFill="0" applyAlignment="0" applyProtection="0"/>
    <xf numFmtId="0" fontId="100" fillId="0" borderId="27" applyNumberFormat="0" applyFill="0" applyAlignment="0" applyProtection="0"/>
    <xf numFmtId="0" fontId="87" fillId="54" borderId="0" applyNumberFormat="0" applyBorder="0" applyAlignment="0" applyProtection="0"/>
    <xf numFmtId="0" fontId="45" fillId="5" borderId="0" applyNumberFormat="0" applyBorder="0" applyAlignment="0" applyProtection="0"/>
    <xf numFmtId="0" fontId="96" fillId="5" borderId="0" applyNumberFormat="0" applyBorder="0" applyAlignment="0" applyProtection="0"/>
    <xf numFmtId="0" fontId="13" fillId="0" borderId="0"/>
    <xf numFmtId="0" fontId="13" fillId="0" borderId="0"/>
    <xf numFmtId="0" fontId="13" fillId="0" borderId="0"/>
    <xf numFmtId="0" fontId="13" fillId="55" borderId="37" applyNumberFormat="0" applyFont="0" applyAlignment="0" applyProtection="0"/>
    <xf numFmtId="0" fontId="9" fillId="9" borderId="29" applyNumberFormat="0" applyFont="0" applyAlignment="0" applyProtection="0"/>
    <xf numFmtId="0" fontId="88" fillId="52" borderId="38" applyNumberFormat="0" applyAlignment="0" applyProtection="0"/>
    <xf numFmtId="0" fontId="47" fillId="7" borderId="26" applyNumberFormat="0" applyAlignment="0" applyProtection="0"/>
    <xf numFmtId="0" fontId="98" fillId="7" borderId="26" applyNumberFormat="0" applyAlignment="0" applyProtection="0"/>
    <xf numFmtId="0" fontId="39" fillId="0" borderId="0" applyNumberFormat="0" applyFill="0" applyBorder="0" applyAlignment="0" applyProtection="0"/>
    <xf numFmtId="0" fontId="89" fillId="0" borderId="39" applyNumberFormat="0" applyFill="0" applyAlignment="0" applyProtection="0"/>
    <xf numFmtId="0" fontId="53" fillId="0" borderId="30" applyNumberFormat="0" applyFill="0" applyAlignment="0" applyProtection="0"/>
    <xf numFmtId="0" fontId="104" fillId="0" borderId="30" applyNumberFormat="0" applyFill="0" applyAlignment="0" applyProtection="0"/>
    <xf numFmtId="0" fontId="90" fillId="0" borderId="0" applyNumberFormat="0" applyFill="0" applyBorder="0" applyAlignment="0" applyProtection="0"/>
    <xf numFmtId="0" fontId="51" fillId="0" borderId="0" applyNumberFormat="0" applyFill="0" applyBorder="0" applyAlignment="0" applyProtection="0"/>
    <xf numFmtId="0" fontId="102" fillId="0" borderId="0" applyNumberFormat="0" applyFill="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5" fillId="42" borderId="0" applyNumberFormat="0" applyBorder="0" applyAlignment="0" applyProtection="0"/>
    <xf numFmtId="0" fontId="73" fillId="20" borderId="0" applyNumberFormat="0" applyBorder="0" applyAlignment="0" applyProtection="0"/>
    <xf numFmtId="0" fontId="75" fillId="37" borderId="0" applyNumberFormat="0" applyBorder="0" applyAlignment="0" applyProtection="0"/>
    <xf numFmtId="0" fontId="73" fillId="24" borderId="0" applyNumberFormat="0" applyBorder="0" applyAlignment="0" applyProtection="0"/>
    <xf numFmtId="0" fontId="75" fillId="40" borderId="0" applyNumberFormat="0" applyBorder="0" applyAlignment="0" applyProtection="0"/>
    <xf numFmtId="0" fontId="73" fillId="28" borderId="0" applyNumberFormat="0" applyBorder="0" applyAlignment="0" applyProtection="0"/>
    <xf numFmtId="0" fontId="75" fillId="43" borderId="0" applyNumberFormat="0" applyBorder="0" applyAlignment="0" applyProtection="0"/>
    <xf numFmtId="0" fontId="73" fillId="32" borderId="0" applyNumberFormat="0" applyBorder="0" applyAlignment="0" applyProtection="0"/>
    <xf numFmtId="0" fontId="76" fillId="44" borderId="0" applyNumberFormat="0" applyBorder="0" applyAlignment="0" applyProtection="0"/>
    <xf numFmtId="0" fontId="105" fillId="13" borderId="0" applyNumberFormat="0" applyBorder="0" applyAlignment="0" applyProtection="0"/>
    <xf numFmtId="0" fontId="76" fillId="41" borderId="0" applyNumberFormat="0" applyBorder="0" applyAlignment="0" applyProtection="0"/>
    <xf numFmtId="0" fontId="105" fillId="17" borderId="0" applyNumberFormat="0" applyBorder="0" applyAlignment="0" applyProtection="0"/>
    <xf numFmtId="0" fontId="76" fillId="42" borderId="0" applyNumberFormat="0" applyBorder="0" applyAlignment="0" applyProtection="0"/>
    <xf numFmtId="0" fontId="105" fillId="21" borderId="0" applyNumberFormat="0" applyBorder="0" applyAlignment="0" applyProtection="0"/>
    <xf numFmtId="0" fontId="76" fillId="45" borderId="0" applyNumberFormat="0" applyBorder="0" applyAlignment="0" applyProtection="0"/>
    <xf numFmtId="0" fontId="105" fillId="25" borderId="0" applyNumberFormat="0" applyBorder="0" applyAlignment="0" applyProtection="0"/>
    <xf numFmtId="0" fontId="76" fillId="46" borderId="0" applyNumberFormat="0" applyBorder="0" applyAlignment="0" applyProtection="0"/>
    <xf numFmtId="0" fontId="105" fillId="29" borderId="0" applyNumberFormat="0" applyBorder="0" applyAlignment="0" applyProtection="0"/>
    <xf numFmtId="0" fontId="76" fillId="47" borderId="0" applyNumberFormat="0" applyBorder="0" applyAlignment="0" applyProtection="0"/>
    <xf numFmtId="0" fontId="105" fillId="33" borderId="0" applyNumberFormat="0" applyBorder="0" applyAlignment="0" applyProtection="0"/>
    <xf numFmtId="0" fontId="76" fillId="48" borderId="0" applyNumberFormat="0" applyBorder="0" applyAlignment="0" applyProtection="0"/>
    <xf numFmtId="0" fontId="105" fillId="10" borderId="0" applyNumberFormat="0" applyBorder="0" applyAlignment="0" applyProtection="0"/>
    <xf numFmtId="0" fontId="76" fillId="49" borderId="0" applyNumberFormat="0" applyBorder="0" applyAlignment="0" applyProtection="0"/>
    <xf numFmtId="0" fontId="105" fillId="14" borderId="0" applyNumberFormat="0" applyBorder="0" applyAlignment="0" applyProtection="0"/>
    <xf numFmtId="0" fontId="76" fillId="50" borderId="0" applyNumberFormat="0" applyBorder="0" applyAlignment="0" applyProtection="0"/>
    <xf numFmtId="0" fontId="105" fillId="18" borderId="0" applyNumberFormat="0" applyBorder="0" applyAlignment="0" applyProtection="0"/>
    <xf numFmtId="0" fontId="76" fillId="45" borderId="0" applyNumberFormat="0" applyBorder="0" applyAlignment="0" applyProtection="0"/>
    <xf numFmtId="0" fontId="105" fillId="22" borderId="0" applyNumberFormat="0" applyBorder="0" applyAlignment="0" applyProtection="0"/>
    <xf numFmtId="0" fontId="76" fillId="46" borderId="0" applyNumberFormat="0" applyBorder="0" applyAlignment="0" applyProtection="0"/>
    <xf numFmtId="0" fontId="105" fillId="26" borderId="0" applyNumberFormat="0" applyBorder="0" applyAlignment="0" applyProtection="0"/>
    <xf numFmtId="0" fontId="76" fillId="51" borderId="0" applyNumberFormat="0" applyBorder="0" applyAlignment="0" applyProtection="0"/>
    <xf numFmtId="0" fontId="105" fillId="30" borderId="0" applyNumberFormat="0" applyBorder="0" applyAlignment="0" applyProtection="0"/>
    <xf numFmtId="0" fontId="77" fillId="35" borderId="0" applyNumberFormat="0" applyBorder="0" applyAlignment="0" applyProtection="0"/>
    <xf numFmtId="0" fontId="95" fillId="4" borderId="0" applyNumberFormat="0" applyBorder="0" applyAlignment="0" applyProtection="0"/>
    <xf numFmtId="0" fontId="78" fillId="52" borderId="31" applyNumberFormat="0" applyAlignment="0" applyProtection="0"/>
    <xf numFmtId="0" fontId="99" fillId="7" borderId="25" applyNumberFormat="0" applyAlignment="0" applyProtection="0"/>
    <xf numFmtId="0" fontId="79" fillId="53" borderId="32" applyNumberFormat="0" applyAlignment="0" applyProtection="0"/>
    <xf numFmtId="0" fontId="101" fillId="8" borderId="28" applyNumberFormat="0" applyAlignment="0" applyProtection="0"/>
    <xf numFmtId="0" fontId="80" fillId="0" borderId="0" applyNumberFormat="0" applyFill="0" applyBorder="0" applyAlignment="0" applyProtection="0"/>
    <xf numFmtId="0" fontId="103" fillId="0" borderId="0" applyNumberFormat="0" applyFill="0" applyBorder="0" applyAlignment="0" applyProtection="0"/>
    <xf numFmtId="0" fontId="81" fillId="36" borderId="0" applyNumberFormat="0" applyBorder="0" applyAlignment="0" applyProtection="0"/>
    <xf numFmtId="0" fontId="94" fillId="3" borderId="0" applyNumberFormat="0" applyBorder="0" applyAlignment="0" applyProtection="0"/>
    <xf numFmtId="0" fontId="82" fillId="0" borderId="33" applyNumberFormat="0" applyFill="0" applyAlignment="0" applyProtection="0"/>
    <xf numFmtId="0" fontId="91" fillId="0" borderId="22" applyNumberFormat="0" applyFill="0" applyAlignment="0" applyProtection="0"/>
    <xf numFmtId="0" fontId="83" fillId="0" borderId="34" applyNumberFormat="0" applyFill="0" applyAlignment="0" applyProtection="0"/>
    <xf numFmtId="0" fontId="92" fillId="0" borderId="23" applyNumberFormat="0" applyFill="0" applyAlignment="0" applyProtection="0"/>
    <xf numFmtId="0" fontId="84" fillId="0" borderId="35" applyNumberFormat="0" applyFill="0" applyAlignment="0" applyProtection="0"/>
    <xf numFmtId="0" fontId="93" fillId="0" borderId="24" applyNumberFormat="0" applyFill="0" applyAlignment="0" applyProtection="0"/>
    <xf numFmtId="0" fontId="84" fillId="0" borderId="0" applyNumberFormat="0" applyFill="0" applyBorder="0" applyAlignment="0" applyProtection="0"/>
    <xf numFmtId="0" fontId="93" fillId="0" borderId="0" applyNumberFormat="0" applyFill="0" applyBorder="0" applyAlignment="0" applyProtection="0"/>
    <xf numFmtId="0" fontId="85" fillId="39" borderId="31" applyNumberFormat="0" applyAlignment="0" applyProtection="0"/>
    <xf numFmtId="0" fontId="97" fillId="6" borderId="25" applyNumberFormat="0" applyAlignment="0" applyProtection="0"/>
    <xf numFmtId="0" fontId="86" fillId="0" borderId="36" applyNumberFormat="0" applyFill="0" applyAlignment="0" applyProtection="0"/>
    <xf numFmtId="0" fontId="100" fillId="0" borderId="27" applyNumberFormat="0" applyFill="0" applyAlignment="0" applyProtection="0"/>
    <xf numFmtId="0" fontId="87" fillId="54" borderId="0" applyNumberFormat="0" applyBorder="0" applyAlignment="0" applyProtection="0"/>
    <xf numFmtId="0" fontId="96" fillId="5" borderId="0" applyNumberFormat="0" applyBorder="0" applyAlignment="0" applyProtection="0"/>
    <xf numFmtId="0" fontId="13" fillId="0" borderId="0"/>
    <xf numFmtId="0" fontId="13" fillId="55" borderId="37" applyNumberFormat="0" applyFont="0" applyAlignment="0" applyProtection="0"/>
    <xf numFmtId="0" fontId="88" fillId="52" borderId="38" applyNumberFormat="0" applyAlignment="0" applyProtection="0"/>
    <xf numFmtId="0" fontId="98" fillId="7" borderId="26" applyNumberFormat="0" applyAlignment="0" applyProtection="0"/>
    <xf numFmtId="0" fontId="89" fillId="0" borderId="39" applyNumberFormat="0" applyFill="0" applyAlignment="0" applyProtection="0"/>
    <xf numFmtId="0" fontId="104" fillId="0" borderId="30" applyNumberFormat="0" applyFill="0" applyAlignment="0" applyProtection="0"/>
    <xf numFmtId="0" fontId="90" fillId="0" borderId="0" applyNumberFormat="0" applyFill="0" applyBorder="0" applyAlignment="0" applyProtection="0"/>
    <xf numFmtId="0" fontId="102" fillId="0" borderId="0" applyNumberFormat="0" applyFill="0" applyBorder="0" applyAlignment="0" applyProtection="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44" fontId="33" fillId="0" borderId="0" applyFont="0" applyFill="0" applyBorder="0" applyAlignment="0" applyProtection="0"/>
    <xf numFmtId="43" fontId="13" fillId="0" borderId="0" applyFont="0" applyFill="0" applyBorder="0" applyAlignment="0" applyProtection="0"/>
    <xf numFmtId="0" fontId="13" fillId="0" borderId="0"/>
    <xf numFmtId="0" fontId="9" fillId="0" borderId="0"/>
    <xf numFmtId="0" fontId="39" fillId="0" borderId="0" applyNumberFormat="0" applyFill="0" applyBorder="0" applyAlignment="0" applyProtection="0"/>
    <xf numFmtId="0" fontId="40" fillId="0" borderId="22" applyNumberFormat="0" applyFill="0" applyAlignment="0" applyProtection="0"/>
    <xf numFmtId="0" fontId="41" fillId="0" borderId="23" applyNumberFormat="0" applyFill="0" applyAlignment="0" applyProtection="0"/>
    <xf numFmtId="0" fontId="42" fillId="0" borderId="24" applyNumberFormat="0" applyFill="0" applyAlignment="0" applyProtection="0"/>
    <xf numFmtId="0" fontId="42" fillId="0" borderId="0" applyNumberFormat="0" applyFill="0" applyBorder="0" applyAlignment="0" applyProtection="0"/>
    <xf numFmtId="0" fontId="43" fillId="3" borderId="0" applyNumberFormat="0" applyBorder="0" applyAlignment="0" applyProtection="0"/>
    <xf numFmtId="0" fontId="44" fillId="4" borderId="0" applyNumberFormat="0" applyBorder="0" applyAlignment="0" applyProtection="0"/>
    <xf numFmtId="0" fontId="45" fillId="5" borderId="0" applyNumberFormat="0" applyBorder="0" applyAlignment="0" applyProtection="0"/>
    <xf numFmtId="0" fontId="46" fillId="6" borderId="25" applyNumberFormat="0" applyAlignment="0" applyProtection="0"/>
    <xf numFmtId="0" fontId="47" fillId="7" borderId="26" applyNumberFormat="0" applyAlignment="0" applyProtection="0"/>
    <xf numFmtId="0" fontId="48" fillId="7" borderId="25" applyNumberFormat="0" applyAlignment="0" applyProtection="0"/>
    <xf numFmtId="0" fontId="49" fillId="0" borderId="27" applyNumberFormat="0" applyFill="0" applyAlignment="0" applyProtection="0"/>
    <xf numFmtId="0" fontId="50" fillId="8" borderId="28" applyNumberFormat="0" applyAlignment="0" applyProtection="0"/>
    <xf numFmtId="0" fontId="51" fillId="0" borderId="0" applyNumberFormat="0" applyFill="0" applyBorder="0" applyAlignment="0" applyProtection="0"/>
    <xf numFmtId="0" fontId="9" fillId="9" borderId="29" applyNumberFormat="0" applyFont="0" applyAlignment="0" applyProtection="0"/>
    <xf numFmtId="0" fontId="52" fillId="0" borderId="0" applyNumberFormat="0" applyFill="0" applyBorder="0" applyAlignment="0" applyProtection="0"/>
    <xf numFmtId="0" fontId="53" fillId="0" borderId="30" applyNumberFormat="0" applyFill="0" applyAlignment="0" applyProtection="0"/>
    <xf numFmtId="0" fontId="54"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54" fillId="29" borderId="0" applyNumberFormat="0" applyBorder="0" applyAlignment="0" applyProtection="0"/>
    <xf numFmtId="0" fontId="54"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54" fillId="33" borderId="0" applyNumberFormat="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9" fillId="9" borderId="29" applyNumberFormat="0" applyFont="0" applyAlignment="0" applyProtection="0"/>
    <xf numFmtId="0" fontId="9" fillId="19" borderId="0" applyNumberFormat="0" applyBorder="0" applyAlignment="0" applyProtection="0"/>
    <xf numFmtId="0" fontId="9" fillId="0" borderId="0"/>
    <xf numFmtId="0" fontId="9" fillId="16" borderId="0" applyNumberFormat="0" applyBorder="0" applyAlignment="0" applyProtection="0"/>
    <xf numFmtId="0" fontId="9" fillId="32"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9" fillId="23" borderId="0" applyNumberFormat="0" applyBorder="0" applyAlignment="0" applyProtection="0"/>
    <xf numFmtId="0" fontId="9" fillId="28" borderId="0" applyNumberFormat="0" applyBorder="0" applyAlignment="0" applyProtection="0"/>
    <xf numFmtId="0" fontId="9" fillId="27" borderId="0" applyNumberFormat="0" applyBorder="0" applyAlignment="0" applyProtection="0"/>
    <xf numFmtId="0" fontId="9" fillId="0" borderId="0"/>
    <xf numFmtId="0" fontId="9" fillId="9" borderId="29"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13" fillId="0" borderId="0"/>
    <xf numFmtId="0" fontId="13" fillId="0" borderId="0"/>
    <xf numFmtId="0" fontId="13" fillId="0" borderId="0"/>
    <xf numFmtId="0" fontId="75" fillId="34" borderId="0" applyNumberFormat="0" applyBorder="0" applyAlignment="0" applyProtection="0"/>
    <xf numFmtId="0" fontId="13" fillId="0" borderId="0"/>
    <xf numFmtId="0" fontId="13" fillId="0" borderId="0"/>
    <xf numFmtId="0" fontId="76" fillId="46" borderId="0" applyNumberFormat="0" applyBorder="0" applyAlignment="0" applyProtection="0"/>
    <xf numFmtId="0" fontId="13" fillId="0" borderId="0"/>
    <xf numFmtId="0" fontId="75" fillId="35" borderId="0" applyNumberFormat="0" applyBorder="0" applyAlignment="0" applyProtection="0"/>
    <xf numFmtId="0" fontId="13" fillId="0" borderId="0"/>
    <xf numFmtId="0" fontId="13" fillId="0" borderId="0"/>
    <xf numFmtId="0" fontId="75" fillId="40"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76" fillId="44" borderId="0" applyNumberFormat="0" applyBorder="0" applyAlignment="0" applyProtection="0"/>
    <xf numFmtId="0" fontId="9" fillId="0" borderId="0"/>
    <xf numFmtId="0" fontId="75" fillId="43" borderId="0" applyNumberFormat="0" applyBorder="0" applyAlignment="0" applyProtection="0"/>
    <xf numFmtId="0" fontId="75" fillId="38" borderId="0" applyNumberFormat="0" applyBorder="0" applyAlignment="0" applyProtection="0"/>
    <xf numFmtId="0" fontId="75" fillId="40" borderId="0" applyNumberFormat="0" applyBorder="0" applyAlignment="0" applyProtection="0"/>
    <xf numFmtId="0" fontId="75" fillId="37" borderId="0" applyNumberFormat="0" applyBorder="0" applyAlignment="0" applyProtection="0"/>
    <xf numFmtId="0" fontId="9" fillId="0" borderId="0"/>
    <xf numFmtId="0" fontId="75" fillId="42" borderId="0" applyNumberFormat="0" applyBorder="0" applyAlignment="0" applyProtection="0"/>
    <xf numFmtId="0" fontId="75" fillId="41" borderId="0" applyNumberFormat="0" applyBorder="0" applyAlignment="0" applyProtection="0"/>
    <xf numFmtId="0" fontId="75" fillId="37" borderId="0" applyNumberFormat="0" applyBorder="0" applyAlignment="0" applyProtection="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75" fillId="39" borderId="0" applyNumberFormat="0" applyBorder="0" applyAlignment="0" applyProtection="0"/>
    <xf numFmtId="0" fontId="9" fillId="0" borderId="0"/>
    <xf numFmtId="0" fontId="75" fillId="36" borderId="0" applyNumberFormat="0" applyBorder="0" applyAlignment="0" applyProtection="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9" fillId="0" borderId="0"/>
    <xf numFmtId="0" fontId="9" fillId="0" borderId="0"/>
    <xf numFmtId="0" fontId="9" fillId="0" borderId="0"/>
    <xf numFmtId="0" fontId="9" fillId="0" borderId="0"/>
    <xf numFmtId="43" fontId="13" fillId="0" borderId="0" applyFont="0" applyFill="0" applyBorder="0" applyAlignment="0" applyProtection="0"/>
    <xf numFmtId="0" fontId="90" fillId="0" borderId="0" applyNumberFormat="0" applyFill="0" applyBorder="0" applyAlignment="0" applyProtection="0"/>
    <xf numFmtId="0" fontId="89" fillId="0" borderId="39" applyNumberFormat="0" applyFill="0" applyAlignment="0" applyProtection="0"/>
    <xf numFmtId="0" fontId="70" fillId="0" borderId="0" applyNumberFormat="0" applyFill="0" applyBorder="0" applyAlignment="0" applyProtection="0"/>
    <xf numFmtId="0" fontId="13" fillId="0" borderId="0"/>
    <xf numFmtId="0" fontId="13" fillId="0" borderId="0"/>
    <xf numFmtId="0" fontId="88" fillId="52" borderId="38" applyNumberFormat="0" applyAlignment="0" applyProtection="0"/>
    <xf numFmtId="0" fontId="13" fillId="55" borderId="37" applyNumberFormat="0" applyFont="0" applyAlignment="0" applyProtection="0"/>
    <xf numFmtId="0" fontId="87" fillId="54" borderId="0" applyNumberFormat="0" applyBorder="0" applyAlignment="0" applyProtection="0"/>
    <xf numFmtId="0" fontId="86" fillId="0" borderId="36" applyNumberFormat="0" applyFill="0" applyAlignment="0" applyProtection="0"/>
    <xf numFmtId="0" fontId="85" fillId="39" borderId="31" applyNumberFormat="0" applyAlignment="0" applyProtection="0"/>
    <xf numFmtId="0" fontId="84" fillId="0" borderId="0" applyNumberFormat="0" applyFill="0" applyBorder="0" applyAlignment="0" applyProtection="0"/>
    <xf numFmtId="0" fontId="84" fillId="0" borderId="35" applyNumberFormat="0" applyFill="0" applyAlignment="0" applyProtection="0"/>
    <xf numFmtId="0" fontId="83" fillId="0" borderId="34" applyNumberFormat="0" applyFill="0" applyAlignment="0" applyProtection="0"/>
    <xf numFmtId="0" fontId="82" fillId="0" borderId="33" applyNumberFormat="0" applyFill="0" applyAlignment="0" applyProtection="0"/>
    <xf numFmtId="0" fontId="81" fillId="36" borderId="0" applyNumberFormat="0" applyBorder="0" applyAlignment="0" applyProtection="0"/>
    <xf numFmtId="0" fontId="80" fillId="0" borderId="0" applyNumberFormat="0" applyFill="0" applyBorder="0" applyAlignment="0" applyProtection="0"/>
    <xf numFmtId="0" fontId="79" fillId="53" borderId="32" applyNumberFormat="0" applyAlignment="0" applyProtection="0"/>
    <xf numFmtId="0" fontId="78" fillId="52" borderId="31" applyNumberFormat="0" applyAlignment="0" applyProtection="0"/>
    <xf numFmtId="0" fontId="77" fillId="35" borderId="0" applyNumberFormat="0" applyBorder="0" applyAlignment="0" applyProtection="0"/>
    <xf numFmtId="0" fontId="76" fillId="51" borderId="0" applyNumberFormat="0" applyBorder="0" applyAlignment="0" applyProtection="0"/>
    <xf numFmtId="0" fontId="76" fillId="46" borderId="0" applyNumberFormat="0" applyBorder="0" applyAlignment="0" applyProtection="0"/>
    <xf numFmtId="0" fontId="76" fillId="45" borderId="0" applyNumberFormat="0" applyBorder="0" applyAlignment="0" applyProtection="0"/>
    <xf numFmtId="0" fontId="76" fillId="50" borderId="0" applyNumberFormat="0" applyBorder="0" applyAlignment="0" applyProtection="0"/>
    <xf numFmtId="0" fontId="76" fillId="49" borderId="0" applyNumberFormat="0" applyBorder="0" applyAlignment="0" applyProtection="0"/>
    <xf numFmtId="0" fontId="76" fillId="48" borderId="0" applyNumberFormat="0" applyBorder="0" applyAlignment="0" applyProtection="0"/>
    <xf numFmtId="0" fontId="76" fillId="47" borderId="0" applyNumberFormat="0" applyBorder="0" applyAlignment="0" applyProtection="0"/>
    <xf numFmtId="0" fontId="76" fillId="45" borderId="0" applyNumberFormat="0" applyBorder="0" applyAlignment="0" applyProtection="0"/>
    <xf numFmtId="0" fontId="76" fillId="42" borderId="0" applyNumberFormat="0" applyBorder="0" applyAlignment="0" applyProtection="0"/>
    <xf numFmtId="0" fontId="76" fillId="41" borderId="0" applyNumberFormat="0" applyBorder="0" applyAlignment="0" applyProtection="0"/>
    <xf numFmtId="0" fontId="13" fillId="0" borderId="0"/>
    <xf numFmtId="0" fontId="70" fillId="0" borderId="0" applyNumberFormat="0" applyFill="0" applyBorder="0" applyAlignment="0" applyProtection="0"/>
    <xf numFmtId="0" fontId="9" fillId="0" borderId="0"/>
    <xf numFmtId="0" fontId="9" fillId="0" borderId="0"/>
    <xf numFmtId="0" fontId="9" fillId="0" borderId="0"/>
    <xf numFmtId="0" fontId="9" fillId="0" borderId="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9" fillId="0" borderId="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9" fillId="0" borderId="0"/>
    <xf numFmtId="0" fontId="13" fillId="0" borderId="0"/>
    <xf numFmtId="0" fontId="70" fillId="0" borderId="0" applyNumberFormat="0" applyFill="0" applyBorder="0" applyAlignment="0" applyProtection="0"/>
    <xf numFmtId="0" fontId="9" fillId="0" borderId="0"/>
    <xf numFmtId="0" fontId="75" fillId="41" borderId="0" applyNumberFormat="0" applyBorder="0" applyAlignment="0" applyProtection="0"/>
    <xf numFmtId="0" fontId="75" fillId="36" borderId="0" applyNumberFormat="0" applyBorder="0" applyAlignment="0" applyProtection="0"/>
    <xf numFmtId="0" fontId="75" fillId="35"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42" borderId="0" applyNumberFormat="0" applyBorder="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37" borderId="0" applyNumberFormat="0" applyBorder="0" applyAlignment="0" applyProtection="0"/>
    <xf numFmtId="0" fontId="56" fillId="40" borderId="0" applyNumberFormat="0" applyBorder="0" applyAlignment="0" applyProtection="0"/>
    <xf numFmtId="0" fontId="56" fillId="43" borderId="0" applyNumberFormat="0" applyBorder="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51" borderId="0" applyNumberFormat="0" applyBorder="0" applyAlignment="0" applyProtection="0"/>
    <xf numFmtId="0" fontId="58" fillId="35" borderId="0" applyNumberFormat="0" applyBorder="0" applyAlignment="0" applyProtection="0"/>
    <xf numFmtId="0" fontId="59" fillId="52" borderId="31" applyNumberFormat="0" applyAlignment="0" applyProtection="0"/>
    <xf numFmtId="0" fontId="60" fillId="53" borderId="32" applyNumberFormat="0" applyAlignment="0" applyProtection="0"/>
    <xf numFmtId="0" fontId="57" fillId="46" borderId="0" applyNumberFormat="0" applyBorder="0" applyAlignment="0" applyProtection="0"/>
    <xf numFmtId="0" fontId="57" fillId="45" borderId="0" applyNumberFormat="0" applyBorder="0" applyAlignment="0" applyProtection="0"/>
    <xf numFmtId="0" fontId="61" fillId="0" borderId="0" applyNumberFormat="0" applyFill="0" applyBorder="0" applyAlignment="0" applyProtection="0"/>
    <xf numFmtId="0" fontId="62" fillId="36" borderId="0" applyNumberFormat="0" applyBorder="0" applyAlignment="0" applyProtection="0"/>
    <xf numFmtId="0" fontId="63" fillId="0" borderId="33" applyNumberFormat="0" applyFill="0" applyAlignment="0" applyProtection="0"/>
    <xf numFmtId="0" fontId="64" fillId="0" borderId="34" applyNumberFormat="0" applyFill="0" applyAlignment="0" applyProtection="0"/>
    <xf numFmtId="0" fontId="65" fillId="0" borderId="35" applyNumberFormat="0" applyFill="0" applyAlignment="0" applyProtection="0"/>
    <xf numFmtId="0" fontId="65" fillId="0" borderId="0" applyNumberFormat="0" applyFill="0" applyBorder="0" applyAlignment="0" applyProtection="0"/>
    <xf numFmtId="0" fontId="57" fillId="42" borderId="0" applyNumberFormat="0" applyBorder="0" applyAlignment="0" applyProtection="0"/>
    <xf numFmtId="0" fontId="66" fillId="39" borderId="31" applyNumberFormat="0" applyAlignment="0" applyProtection="0"/>
    <xf numFmtId="0" fontId="67" fillId="0" borderId="36" applyNumberFormat="0" applyFill="0" applyAlignment="0" applyProtection="0"/>
    <xf numFmtId="0" fontId="68" fillId="54" borderId="0" applyNumberFormat="0" applyBorder="0" applyAlignment="0" applyProtection="0"/>
    <xf numFmtId="0" fontId="56" fillId="40" borderId="0" applyNumberFormat="0" applyBorder="0" applyAlignment="0" applyProtection="0"/>
    <xf numFmtId="0" fontId="56" fillId="37" borderId="0" applyNumberFormat="0" applyBorder="0" applyAlignment="0" applyProtection="0"/>
    <xf numFmtId="0" fontId="13" fillId="55" borderId="37" applyNumberFormat="0" applyFont="0" applyAlignment="0" applyProtection="0"/>
    <xf numFmtId="0" fontId="69" fillId="52" borderId="38" applyNumberFormat="0" applyAlignment="0" applyProtection="0"/>
    <xf numFmtId="0" fontId="56" fillId="41" borderId="0" applyNumberFormat="0" applyBorder="0" applyAlignment="0" applyProtection="0"/>
    <xf numFmtId="0" fontId="70" fillId="0" borderId="0" applyNumberFormat="0" applyFill="0" applyBorder="0" applyAlignment="0" applyProtection="0"/>
    <xf numFmtId="0" fontId="71" fillId="0" borderId="39" applyNumberFormat="0" applyFill="0" applyAlignment="0" applyProtection="0"/>
    <xf numFmtId="0" fontId="72"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8" fillId="54" borderId="0" applyNumberFormat="0" applyBorder="0" applyAlignment="0" applyProtection="0"/>
    <xf numFmtId="0" fontId="67" fillId="0" borderId="36" applyNumberFormat="0" applyFill="0" applyAlignment="0" applyProtection="0"/>
    <xf numFmtId="0" fontId="72" fillId="0" borderId="0" applyNumberFormat="0" applyFill="0" applyBorder="0" applyAlignment="0" applyProtection="0"/>
    <xf numFmtId="0" fontId="71" fillId="0" borderId="39" applyNumberFormat="0" applyFill="0" applyAlignment="0" applyProtection="0"/>
    <xf numFmtId="0" fontId="70" fillId="0" borderId="0" applyNumberFormat="0" applyFill="0" applyBorder="0" applyAlignment="0" applyProtection="0"/>
    <xf numFmtId="0" fontId="56" fillId="37" borderId="0" applyNumberFormat="0" applyBorder="0" applyAlignment="0" applyProtection="0"/>
    <xf numFmtId="0" fontId="69" fillId="52" borderId="38" applyNumberFormat="0" applyAlignment="0" applyProtection="0"/>
    <xf numFmtId="0" fontId="13" fillId="55" borderId="37" applyNumberFormat="0" applyFont="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68" fillId="54" borderId="0" applyNumberFormat="0" applyBorder="0" applyAlignment="0" applyProtection="0"/>
    <xf numFmtId="0" fontId="67" fillId="0" borderId="36" applyNumberFormat="0" applyFill="0" applyAlignment="0" applyProtection="0"/>
    <xf numFmtId="0" fontId="66" fillId="39" borderId="31" applyNumberFormat="0" applyAlignment="0" applyProtection="0"/>
    <xf numFmtId="0" fontId="57" fillId="46" borderId="0" applyNumberFormat="0" applyBorder="0" applyAlignment="0" applyProtection="0"/>
    <xf numFmtId="0" fontId="65" fillId="0" borderId="0" applyNumberFormat="0" applyFill="0" applyBorder="0" applyAlignment="0" applyProtection="0"/>
    <xf numFmtId="0" fontId="65" fillId="0" borderId="35" applyNumberFormat="0" applyFill="0" applyAlignment="0" applyProtection="0"/>
    <xf numFmtId="0" fontId="64" fillId="0" borderId="34" applyNumberFormat="0" applyFill="0" applyAlignment="0" applyProtection="0"/>
    <xf numFmtId="0" fontId="63" fillId="0" borderId="33" applyNumberFormat="0" applyFill="0" applyAlignment="0" applyProtection="0"/>
    <xf numFmtId="0" fontId="62" fillId="36" borderId="0" applyNumberFormat="0" applyBorder="0" applyAlignment="0" applyProtection="0"/>
    <xf numFmtId="0" fontId="61" fillId="0" borderId="0" applyNumberFormat="0" applyFill="0" applyBorder="0" applyAlignment="0" applyProtection="0"/>
    <xf numFmtId="0" fontId="66" fillId="39" borderId="31" applyNumberFormat="0" applyAlignment="0" applyProtection="0"/>
    <xf numFmtId="0" fontId="60" fillId="53" borderId="32" applyNumberFormat="0" applyAlignment="0" applyProtection="0"/>
    <xf numFmtId="0" fontId="59" fillId="52" borderId="31" applyNumberFormat="0" applyAlignment="0" applyProtection="0"/>
    <xf numFmtId="0" fontId="58" fillId="35" borderId="0" applyNumberFormat="0" applyBorder="0" applyAlignment="0" applyProtection="0"/>
    <xf numFmtId="0" fontId="57" fillId="51" borderId="0" applyNumberFormat="0" applyBorder="0" applyAlignment="0" applyProtection="0"/>
    <xf numFmtId="0" fontId="57" fillId="50" borderId="0" applyNumberFormat="0" applyBorder="0" applyAlignment="0" applyProtection="0"/>
    <xf numFmtId="0" fontId="57" fillId="49" borderId="0" applyNumberFormat="0" applyBorder="0" applyAlignment="0" applyProtection="0"/>
    <xf numFmtId="0" fontId="57" fillId="48" borderId="0" applyNumberFormat="0" applyBorder="0" applyAlignment="0" applyProtection="0"/>
    <xf numFmtId="0" fontId="57" fillId="47" borderId="0" applyNumberFormat="0" applyBorder="0" applyAlignment="0" applyProtection="0"/>
    <xf numFmtId="0" fontId="57" fillId="46" borderId="0" applyNumberFormat="0" applyBorder="0" applyAlignment="0" applyProtection="0"/>
    <xf numFmtId="0" fontId="57" fillId="45" borderId="0" applyNumberFormat="0" applyBorder="0" applyAlignment="0" applyProtection="0"/>
    <xf numFmtId="0" fontId="75" fillId="40" borderId="0" applyNumberFormat="0" applyBorder="0" applyAlignment="0" applyProtection="0"/>
    <xf numFmtId="0" fontId="57" fillId="41" borderId="0" applyNumberFormat="0" applyBorder="0" applyAlignment="0" applyProtection="0"/>
    <xf numFmtId="0" fontId="57" fillId="44" borderId="0" applyNumberFormat="0" applyBorder="0" applyAlignment="0" applyProtection="0"/>
    <xf numFmtId="0" fontId="56" fillId="43" borderId="0" applyNumberFormat="0" applyBorder="0" applyAlignment="0" applyProtection="0"/>
    <xf numFmtId="0" fontId="56" fillId="42"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6" borderId="0" applyNumberFormat="0" applyBorder="0" applyAlignment="0" applyProtection="0"/>
    <xf numFmtId="0" fontId="56" fillId="35" borderId="0" applyNumberFormat="0" applyBorder="0" applyAlignment="0" applyProtection="0"/>
    <xf numFmtId="0" fontId="56" fillId="34" borderId="0" applyNumberFormat="0" applyBorder="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9" borderId="0" applyNumberFormat="0" applyBorder="0" applyAlignment="0" applyProtection="0"/>
    <xf numFmtId="0" fontId="72" fillId="0" borderId="0" applyNumberFormat="0" applyFill="0" applyBorder="0" applyAlignment="0" applyProtection="0"/>
    <xf numFmtId="0" fontId="70" fillId="0" borderId="0" applyNumberFormat="0" applyFill="0" applyBorder="0" applyAlignment="0" applyProtection="0"/>
    <xf numFmtId="0" fontId="69" fillId="52" borderId="38" applyNumberFormat="0" applyAlignment="0" applyProtection="0"/>
    <xf numFmtId="0" fontId="65" fillId="0" borderId="0" applyNumberFormat="0" applyFill="0" applyBorder="0" applyAlignment="0" applyProtection="0"/>
    <xf numFmtId="0" fontId="64" fillId="0" borderId="34" applyNumberFormat="0" applyFill="0" applyAlignment="0" applyProtection="0"/>
    <xf numFmtId="0" fontId="62" fillId="36" borderId="0" applyNumberFormat="0" applyBorder="0" applyAlignment="0" applyProtection="0"/>
    <xf numFmtId="0" fontId="60" fillId="53" borderId="32" applyNumberFormat="0" applyAlignment="0" applyProtection="0"/>
    <xf numFmtId="0" fontId="58" fillId="35" borderId="0" applyNumberFormat="0" applyBorder="0" applyAlignment="0" applyProtection="0"/>
    <xf numFmtId="0" fontId="57" fillId="45" borderId="0" applyNumberFormat="0" applyBorder="0" applyAlignment="0" applyProtection="0"/>
    <xf numFmtId="0" fontId="57" fillId="50" borderId="0" applyNumberFormat="0" applyBorder="0" applyAlignment="0" applyProtection="0"/>
    <xf numFmtId="0" fontId="57" fillId="48" borderId="0" applyNumberFormat="0" applyBorder="0" applyAlignment="0" applyProtection="0"/>
    <xf numFmtId="0" fontId="57" fillId="46" borderId="0" applyNumberFormat="0" applyBorder="0" applyAlignment="0" applyProtection="0"/>
    <xf numFmtId="0" fontId="56" fillId="43" borderId="0" applyNumberFormat="0" applyBorder="0" applyAlignment="0" applyProtection="0"/>
    <xf numFmtId="0" fontId="56" fillId="42" borderId="0" applyNumberFormat="0" applyBorder="0" applyAlignment="0" applyProtection="0"/>
    <xf numFmtId="0" fontId="56" fillId="41"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6" borderId="0" applyNumberFormat="0" applyBorder="0" applyAlignment="0" applyProtection="0"/>
    <xf numFmtId="0" fontId="56" fillId="34" borderId="0" applyNumberFormat="0" applyBorder="0" applyAlignment="0" applyProtection="0"/>
    <xf numFmtId="0" fontId="39" fillId="0" borderId="0" applyNumberFormat="0" applyFill="0" applyBorder="0" applyAlignment="0" applyProtection="0"/>
    <xf numFmtId="0" fontId="61" fillId="0" borderId="0" applyNumberFormat="0" applyFill="0" applyBorder="0" applyAlignment="0" applyProtection="0"/>
    <xf numFmtId="0" fontId="59" fillId="52" borderId="31" applyNumberFormat="0" applyAlignment="0" applyProtection="0"/>
    <xf numFmtId="0" fontId="57" fillId="51" borderId="0" applyNumberFormat="0" applyBorder="0" applyAlignment="0" applyProtection="0"/>
    <xf numFmtId="0" fontId="63" fillId="0" borderId="33" applyNumberFormat="0" applyFill="0" applyAlignment="0" applyProtection="0"/>
    <xf numFmtId="0" fontId="57" fillId="45" borderId="0" applyNumberFormat="0" applyBorder="0" applyAlignment="0" applyProtection="0"/>
    <xf numFmtId="0" fontId="57" fillId="49" borderId="0" applyNumberFormat="0" applyBorder="0" applyAlignment="0" applyProtection="0"/>
    <xf numFmtId="0" fontId="56" fillId="40" borderId="0" applyNumberFormat="0" applyBorder="0" applyAlignment="0" applyProtection="0"/>
    <xf numFmtId="0" fontId="75" fillId="34" borderId="0" applyNumberFormat="0" applyBorder="0" applyAlignment="0" applyProtection="0"/>
    <xf numFmtId="0" fontId="57" fillId="47" borderId="0" applyNumberFormat="0" applyBorder="0" applyAlignment="0" applyProtection="0"/>
    <xf numFmtId="0" fontId="73" fillId="9" borderId="29" applyNumberFormat="0" applyFont="0" applyAlignment="0" applyProtection="0"/>
    <xf numFmtId="0" fontId="65" fillId="0" borderId="35" applyNumberFormat="0" applyFill="0" applyAlignment="0" applyProtection="0"/>
    <xf numFmtId="0" fontId="56" fillId="35" borderId="0" applyNumberFormat="0" applyBorder="0" applyAlignment="0" applyProtection="0"/>
    <xf numFmtId="0" fontId="71" fillId="0" borderId="39" applyNumberFormat="0" applyFill="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8" borderId="0" applyNumberFormat="0" applyBorder="0" applyAlignment="0" applyProtection="0"/>
    <xf numFmtId="0" fontId="39" fillId="0" borderId="0" applyNumberFormat="0" applyFill="0" applyBorder="0" applyAlignment="0" applyProtection="0"/>
    <xf numFmtId="0" fontId="73" fillId="9" borderId="29" applyNumberFormat="0" applyFont="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7" borderId="0" applyNumberFormat="0" applyBorder="0" applyAlignment="0" applyProtection="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42" borderId="0" applyNumberFormat="0" applyBorder="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37" borderId="0" applyNumberFormat="0" applyBorder="0" applyAlignment="0" applyProtection="0"/>
    <xf numFmtId="0" fontId="56" fillId="40" borderId="0" applyNumberFormat="0" applyBorder="0" applyAlignment="0" applyProtection="0"/>
    <xf numFmtId="0" fontId="56" fillId="43" borderId="0" applyNumberFormat="0" applyBorder="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51" borderId="0" applyNumberFormat="0" applyBorder="0" applyAlignment="0" applyProtection="0"/>
    <xf numFmtId="0" fontId="58" fillId="35" borderId="0" applyNumberFormat="0" applyBorder="0" applyAlignment="0" applyProtection="0"/>
    <xf numFmtId="0" fontId="59" fillId="52" borderId="31" applyNumberFormat="0" applyAlignment="0" applyProtection="0"/>
    <xf numFmtId="0" fontId="60" fillId="53" borderId="32" applyNumberFormat="0" applyAlignment="0" applyProtection="0"/>
    <xf numFmtId="0" fontId="57" fillId="46" borderId="0" applyNumberFormat="0" applyBorder="0" applyAlignment="0" applyProtection="0"/>
    <xf numFmtId="0" fontId="57" fillId="45" borderId="0" applyNumberFormat="0" applyBorder="0" applyAlignment="0" applyProtection="0"/>
    <xf numFmtId="0" fontId="61" fillId="0" borderId="0" applyNumberFormat="0" applyFill="0" applyBorder="0" applyAlignment="0" applyProtection="0"/>
    <xf numFmtId="0" fontId="62" fillId="36" borderId="0" applyNumberFormat="0" applyBorder="0" applyAlignment="0" applyProtection="0"/>
    <xf numFmtId="0" fontId="63" fillId="0" borderId="33" applyNumberFormat="0" applyFill="0" applyAlignment="0" applyProtection="0"/>
    <xf numFmtId="0" fontId="64" fillId="0" borderId="34" applyNumberFormat="0" applyFill="0" applyAlignment="0" applyProtection="0"/>
    <xf numFmtId="0" fontId="65" fillId="0" borderId="35" applyNumberFormat="0" applyFill="0" applyAlignment="0" applyProtection="0"/>
    <xf numFmtId="0" fontId="65" fillId="0" borderId="0" applyNumberFormat="0" applyFill="0" applyBorder="0" applyAlignment="0" applyProtection="0"/>
    <xf numFmtId="0" fontId="57" fillId="42" borderId="0" applyNumberFormat="0" applyBorder="0" applyAlignment="0" applyProtection="0"/>
    <xf numFmtId="0" fontId="66" fillId="39" borderId="31" applyNumberFormat="0" applyAlignment="0" applyProtection="0"/>
    <xf numFmtId="0" fontId="67" fillId="0" borderId="36" applyNumberFormat="0" applyFill="0" applyAlignment="0" applyProtection="0"/>
    <xf numFmtId="0" fontId="68" fillId="54" borderId="0" applyNumberFormat="0" applyBorder="0" applyAlignment="0" applyProtection="0"/>
    <xf numFmtId="0" fontId="56" fillId="40" borderId="0" applyNumberFormat="0" applyBorder="0" applyAlignment="0" applyProtection="0"/>
    <xf numFmtId="0" fontId="56" fillId="37" borderId="0" applyNumberFormat="0" applyBorder="0" applyAlignment="0" applyProtection="0"/>
    <xf numFmtId="0" fontId="13" fillId="55" borderId="37" applyNumberFormat="0" applyFont="0" applyAlignment="0" applyProtection="0"/>
    <xf numFmtId="0" fontId="69" fillId="52" borderId="38" applyNumberFormat="0" applyAlignment="0" applyProtection="0"/>
    <xf numFmtId="0" fontId="56" fillId="41" borderId="0" applyNumberFormat="0" applyBorder="0" applyAlignment="0" applyProtection="0"/>
    <xf numFmtId="0" fontId="70" fillId="0" borderId="0" applyNumberFormat="0" applyFill="0" applyBorder="0" applyAlignment="0" applyProtection="0"/>
    <xf numFmtId="0" fontId="71" fillId="0" borderId="39" applyNumberFormat="0" applyFill="0" applyAlignment="0" applyProtection="0"/>
    <xf numFmtId="0" fontId="72"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8" fillId="54" borderId="0" applyNumberFormat="0" applyBorder="0" applyAlignment="0" applyProtection="0"/>
    <xf numFmtId="0" fontId="67" fillId="0" borderId="36" applyNumberFormat="0" applyFill="0" applyAlignment="0" applyProtection="0"/>
    <xf numFmtId="0" fontId="72" fillId="0" borderId="0" applyNumberFormat="0" applyFill="0" applyBorder="0" applyAlignment="0" applyProtection="0"/>
    <xf numFmtId="0" fontId="71" fillId="0" borderId="39" applyNumberFormat="0" applyFill="0" applyAlignment="0" applyProtection="0"/>
    <xf numFmtId="0" fontId="70" fillId="0" borderId="0" applyNumberFormat="0" applyFill="0" applyBorder="0" applyAlignment="0" applyProtection="0"/>
    <xf numFmtId="0" fontId="56" fillId="37" borderId="0" applyNumberFormat="0" applyBorder="0" applyAlignment="0" applyProtection="0"/>
    <xf numFmtId="0" fontId="69" fillId="52" borderId="38" applyNumberFormat="0" applyAlignment="0" applyProtection="0"/>
    <xf numFmtId="0" fontId="13" fillId="55" borderId="37" applyNumberFormat="0" applyFont="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68" fillId="54" borderId="0" applyNumberFormat="0" applyBorder="0" applyAlignment="0" applyProtection="0"/>
    <xf numFmtId="0" fontId="67" fillId="0" borderId="36" applyNumberFormat="0" applyFill="0" applyAlignment="0" applyProtection="0"/>
    <xf numFmtId="0" fontId="66" fillId="39" borderId="31" applyNumberFormat="0" applyAlignment="0" applyProtection="0"/>
    <xf numFmtId="0" fontId="57" fillId="46" borderId="0" applyNumberFormat="0" applyBorder="0" applyAlignment="0" applyProtection="0"/>
    <xf numFmtId="0" fontId="65" fillId="0" borderId="0" applyNumberFormat="0" applyFill="0" applyBorder="0" applyAlignment="0" applyProtection="0"/>
    <xf numFmtId="0" fontId="65" fillId="0" borderId="35" applyNumberFormat="0" applyFill="0" applyAlignment="0" applyProtection="0"/>
    <xf numFmtId="0" fontId="64" fillId="0" borderId="34" applyNumberFormat="0" applyFill="0" applyAlignment="0" applyProtection="0"/>
    <xf numFmtId="0" fontId="63" fillId="0" borderId="33" applyNumberFormat="0" applyFill="0" applyAlignment="0" applyProtection="0"/>
    <xf numFmtId="0" fontId="62" fillId="36" borderId="0" applyNumberFormat="0" applyBorder="0" applyAlignment="0" applyProtection="0"/>
    <xf numFmtId="0" fontId="61" fillId="0" borderId="0" applyNumberFormat="0" applyFill="0" applyBorder="0" applyAlignment="0" applyProtection="0"/>
    <xf numFmtId="0" fontId="66" fillId="39" borderId="31" applyNumberFormat="0" applyAlignment="0" applyProtection="0"/>
    <xf numFmtId="0" fontId="60" fillId="53" borderId="32" applyNumberFormat="0" applyAlignment="0" applyProtection="0"/>
    <xf numFmtId="0" fontId="59" fillId="52" borderId="31" applyNumberFormat="0" applyAlignment="0" applyProtection="0"/>
    <xf numFmtId="0" fontId="58" fillId="35" borderId="0" applyNumberFormat="0" applyBorder="0" applyAlignment="0" applyProtection="0"/>
    <xf numFmtId="0" fontId="57" fillId="51" borderId="0" applyNumberFormat="0" applyBorder="0" applyAlignment="0" applyProtection="0"/>
    <xf numFmtId="44" fontId="13" fillId="0" borderId="0" applyFont="0" applyFill="0" applyBorder="0" applyAlignment="0" applyProtection="0"/>
    <xf numFmtId="0" fontId="57" fillId="50" borderId="0" applyNumberFormat="0" applyBorder="0" applyAlignment="0" applyProtection="0"/>
    <xf numFmtId="0" fontId="57" fillId="49" borderId="0" applyNumberFormat="0" applyBorder="0" applyAlignment="0" applyProtection="0"/>
    <xf numFmtId="0" fontId="57" fillId="48" borderId="0" applyNumberFormat="0" applyBorder="0" applyAlignment="0" applyProtection="0"/>
    <xf numFmtId="0" fontId="57" fillId="47" borderId="0" applyNumberFormat="0" applyBorder="0" applyAlignment="0" applyProtection="0"/>
    <xf numFmtId="0" fontId="57" fillId="46" borderId="0" applyNumberFormat="0" applyBorder="0" applyAlignment="0" applyProtection="0"/>
    <xf numFmtId="0" fontId="57" fillId="45" borderId="0" applyNumberFormat="0" applyBorder="0" applyAlignment="0" applyProtection="0"/>
    <xf numFmtId="0" fontId="75" fillId="41" borderId="0" applyNumberFormat="0" applyBorder="0" applyAlignment="0" applyProtection="0"/>
    <xf numFmtId="0" fontId="57" fillId="41" borderId="0" applyNumberFormat="0" applyBorder="0" applyAlignment="0" applyProtection="0"/>
    <xf numFmtId="0" fontId="57" fillId="44" borderId="0" applyNumberFormat="0" applyBorder="0" applyAlignment="0" applyProtection="0"/>
    <xf numFmtId="0" fontId="56" fillId="43" borderId="0" applyNumberFormat="0" applyBorder="0" applyAlignment="0" applyProtection="0"/>
    <xf numFmtId="0" fontId="56" fillId="42"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6" borderId="0" applyNumberFormat="0" applyBorder="0" applyAlignment="0" applyProtection="0"/>
    <xf numFmtId="0" fontId="56" fillId="35" borderId="0" applyNumberFormat="0" applyBorder="0" applyAlignment="0" applyProtection="0"/>
    <xf numFmtId="0" fontId="56" fillId="34" borderId="0" applyNumberFormat="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40" borderId="0" applyNumberFormat="0" applyBorder="0" applyAlignment="0" applyProtection="0"/>
    <xf numFmtId="0" fontId="72" fillId="0" borderId="0" applyNumberFormat="0" applyFill="0" applyBorder="0" applyAlignment="0" applyProtection="0"/>
    <xf numFmtId="0" fontId="70" fillId="0" borderId="0" applyNumberFormat="0" applyFill="0" applyBorder="0" applyAlignment="0" applyProtection="0"/>
    <xf numFmtId="0" fontId="69" fillId="52" borderId="38" applyNumberFormat="0" applyAlignment="0" applyProtection="0"/>
    <xf numFmtId="0" fontId="65" fillId="0" borderId="0" applyNumberFormat="0" applyFill="0" applyBorder="0" applyAlignment="0" applyProtection="0"/>
    <xf numFmtId="0" fontId="64" fillId="0" borderId="34" applyNumberFormat="0" applyFill="0" applyAlignment="0" applyProtection="0"/>
    <xf numFmtId="0" fontId="62" fillId="36" borderId="0" applyNumberFormat="0" applyBorder="0" applyAlignment="0" applyProtection="0"/>
    <xf numFmtId="0" fontId="60" fillId="53" borderId="32" applyNumberFormat="0" applyAlignment="0" applyProtection="0"/>
    <xf numFmtId="0" fontId="58" fillId="35" borderId="0" applyNumberFormat="0" applyBorder="0" applyAlignment="0" applyProtection="0"/>
    <xf numFmtId="0" fontId="57" fillId="45" borderId="0" applyNumberFormat="0" applyBorder="0" applyAlignment="0" applyProtection="0"/>
    <xf numFmtId="0" fontId="57" fillId="50" borderId="0" applyNumberFormat="0" applyBorder="0" applyAlignment="0" applyProtection="0"/>
    <xf numFmtId="0" fontId="57" fillId="48" borderId="0" applyNumberFormat="0" applyBorder="0" applyAlignment="0" applyProtection="0"/>
    <xf numFmtId="0" fontId="57" fillId="46" borderId="0" applyNumberFormat="0" applyBorder="0" applyAlignment="0" applyProtection="0"/>
    <xf numFmtId="0" fontId="56" fillId="43" borderId="0" applyNumberFormat="0" applyBorder="0" applyAlignment="0" applyProtection="0"/>
    <xf numFmtId="0" fontId="56" fillId="42" borderId="0" applyNumberFormat="0" applyBorder="0" applyAlignment="0" applyProtection="0"/>
    <xf numFmtId="0" fontId="56" fillId="41"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6" borderId="0" applyNumberFormat="0" applyBorder="0" applyAlignment="0" applyProtection="0"/>
    <xf numFmtId="0" fontId="56" fillId="34" borderId="0" applyNumberFormat="0" applyBorder="0" applyAlignment="0" applyProtection="0"/>
    <xf numFmtId="0" fontId="39" fillId="0" borderId="0" applyNumberFormat="0" applyFill="0" applyBorder="0" applyAlignment="0" applyProtection="0"/>
    <xf numFmtId="0" fontId="61" fillId="0" borderId="0" applyNumberFormat="0" applyFill="0" applyBorder="0" applyAlignment="0" applyProtection="0"/>
    <xf numFmtId="0" fontId="59" fillId="52" borderId="31" applyNumberFormat="0" applyAlignment="0" applyProtection="0"/>
    <xf numFmtId="0" fontId="57" fillId="51" borderId="0" applyNumberFormat="0" applyBorder="0" applyAlignment="0" applyProtection="0"/>
    <xf numFmtId="0" fontId="63" fillId="0" borderId="33" applyNumberFormat="0" applyFill="0" applyAlignment="0" applyProtection="0"/>
    <xf numFmtId="0" fontId="57" fillId="45" borderId="0" applyNumberFormat="0" applyBorder="0" applyAlignment="0" applyProtection="0"/>
    <xf numFmtId="0" fontId="57" fillId="49" borderId="0" applyNumberFormat="0" applyBorder="0" applyAlignment="0" applyProtection="0"/>
    <xf numFmtId="0" fontId="56" fillId="40" borderId="0" applyNumberFormat="0" applyBorder="0" applyAlignment="0" applyProtection="0"/>
    <xf numFmtId="0" fontId="75" fillId="34" borderId="0" applyNumberFormat="0" applyBorder="0" applyAlignment="0" applyProtection="0"/>
    <xf numFmtId="0" fontId="57" fillId="47" borderId="0" applyNumberFormat="0" applyBorder="0" applyAlignment="0" applyProtection="0"/>
    <xf numFmtId="0" fontId="73" fillId="9" borderId="29" applyNumberFormat="0" applyFont="0" applyAlignment="0" applyProtection="0"/>
    <xf numFmtId="0" fontId="65" fillId="0" borderId="35" applyNumberFormat="0" applyFill="0" applyAlignment="0" applyProtection="0"/>
    <xf numFmtId="0" fontId="56" fillId="35" borderId="0" applyNumberFormat="0" applyBorder="0" applyAlignment="0" applyProtection="0"/>
    <xf numFmtId="0" fontId="71" fillId="0" borderId="39" applyNumberFormat="0" applyFill="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9" borderId="0" applyNumberFormat="0" applyBorder="0" applyAlignment="0" applyProtection="0"/>
    <xf numFmtId="0" fontId="39" fillId="0" borderId="0" applyNumberFormat="0" applyFill="0" applyBorder="0" applyAlignment="0" applyProtection="0"/>
    <xf numFmtId="0" fontId="73" fillId="9" borderId="29" applyNumberFormat="0" applyFont="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8" borderId="0" applyNumberFormat="0" applyBorder="0" applyAlignment="0" applyProtection="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41" borderId="0" applyNumberFormat="0" applyBorder="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37" borderId="0" applyNumberFormat="0" applyBorder="0" applyAlignment="0" applyProtection="0"/>
    <xf numFmtId="0" fontId="56" fillId="40" borderId="0" applyNumberFormat="0" applyBorder="0" applyAlignment="0" applyProtection="0"/>
    <xf numFmtId="0" fontId="56" fillId="43" borderId="0" applyNumberFormat="0" applyBorder="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51" borderId="0" applyNumberFormat="0" applyBorder="0" applyAlignment="0" applyProtection="0"/>
    <xf numFmtId="0" fontId="58" fillId="35" borderId="0" applyNumberFormat="0" applyBorder="0" applyAlignment="0" applyProtection="0"/>
    <xf numFmtId="0" fontId="59" fillId="52" borderId="31" applyNumberFormat="0" applyAlignment="0" applyProtection="0"/>
    <xf numFmtId="0" fontId="60" fillId="53" borderId="32" applyNumberFormat="0" applyAlignment="0" applyProtection="0"/>
    <xf numFmtId="0" fontId="57" fillId="46" borderId="0" applyNumberFormat="0" applyBorder="0" applyAlignment="0" applyProtection="0"/>
    <xf numFmtId="0" fontId="57" fillId="45" borderId="0" applyNumberFormat="0" applyBorder="0" applyAlignment="0" applyProtection="0"/>
    <xf numFmtId="0" fontId="61" fillId="0" borderId="0" applyNumberFormat="0" applyFill="0" applyBorder="0" applyAlignment="0" applyProtection="0"/>
    <xf numFmtId="0" fontId="62" fillId="36" borderId="0" applyNumberFormat="0" applyBorder="0" applyAlignment="0" applyProtection="0"/>
    <xf numFmtId="0" fontId="63" fillId="0" borderId="33" applyNumberFormat="0" applyFill="0" applyAlignment="0" applyProtection="0"/>
    <xf numFmtId="0" fontId="64" fillId="0" borderId="34" applyNumberFormat="0" applyFill="0" applyAlignment="0" applyProtection="0"/>
    <xf numFmtId="0" fontId="65" fillId="0" borderId="35" applyNumberFormat="0" applyFill="0" applyAlignment="0" applyProtection="0"/>
    <xf numFmtId="0" fontId="65" fillId="0" borderId="0" applyNumberFormat="0" applyFill="0" applyBorder="0" applyAlignment="0" applyProtection="0"/>
    <xf numFmtId="0" fontId="57" fillId="42" borderId="0" applyNumberFormat="0" applyBorder="0" applyAlignment="0" applyProtection="0"/>
    <xf numFmtId="0" fontId="66" fillId="39" borderId="31" applyNumberFormat="0" applyAlignment="0" applyProtection="0"/>
    <xf numFmtId="0" fontId="67" fillId="0" borderId="36" applyNumberFormat="0" applyFill="0" applyAlignment="0" applyProtection="0"/>
    <xf numFmtId="0" fontId="68" fillId="54" borderId="0" applyNumberFormat="0" applyBorder="0" applyAlignment="0" applyProtection="0"/>
    <xf numFmtId="0" fontId="56" fillId="40" borderId="0" applyNumberFormat="0" applyBorder="0" applyAlignment="0" applyProtection="0"/>
    <xf numFmtId="0" fontId="56" fillId="37" borderId="0" applyNumberFormat="0" applyBorder="0" applyAlignment="0" applyProtection="0"/>
    <xf numFmtId="0" fontId="13" fillId="55" borderId="37" applyNumberFormat="0" applyFont="0" applyAlignment="0" applyProtection="0"/>
    <xf numFmtId="0" fontId="69" fillId="52" borderId="38" applyNumberFormat="0" applyAlignment="0" applyProtection="0"/>
    <xf numFmtId="0" fontId="56" fillId="41" borderId="0" applyNumberFormat="0" applyBorder="0" applyAlignment="0" applyProtection="0"/>
    <xf numFmtId="0" fontId="70" fillId="0" borderId="0" applyNumberFormat="0" applyFill="0" applyBorder="0" applyAlignment="0" applyProtection="0"/>
    <xf numFmtId="0" fontId="71" fillId="0" borderId="39" applyNumberFormat="0" applyFill="0" applyAlignment="0" applyProtection="0"/>
    <xf numFmtId="0" fontId="72"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8" fillId="54" borderId="0" applyNumberFormat="0" applyBorder="0" applyAlignment="0" applyProtection="0"/>
    <xf numFmtId="0" fontId="67" fillId="0" borderId="36" applyNumberFormat="0" applyFill="0" applyAlignment="0" applyProtection="0"/>
    <xf numFmtId="0" fontId="72" fillId="0" borderId="0" applyNumberFormat="0" applyFill="0" applyBorder="0" applyAlignment="0" applyProtection="0"/>
    <xf numFmtId="0" fontId="71" fillId="0" borderId="39" applyNumberFormat="0" applyFill="0" applyAlignment="0" applyProtection="0"/>
    <xf numFmtId="0" fontId="70" fillId="0" borderId="0" applyNumberFormat="0" applyFill="0" applyBorder="0" applyAlignment="0" applyProtection="0"/>
    <xf numFmtId="0" fontId="56" fillId="37" borderId="0" applyNumberFormat="0" applyBorder="0" applyAlignment="0" applyProtection="0"/>
    <xf numFmtId="0" fontId="69" fillId="52" borderId="38" applyNumberFormat="0" applyAlignment="0" applyProtection="0"/>
    <xf numFmtId="0" fontId="13" fillId="55" borderId="37" applyNumberFormat="0" applyFont="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68" fillId="54" borderId="0" applyNumberFormat="0" applyBorder="0" applyAlignment="0" applyProtection="0"/>
    <xf numFmtId="0" fontId="67" fillId="0" borderId="36" applyNumberFormat="0" applyFill="0" applyAlignment="0" applyProtection="0"/>
    <xf numFmtId="0" fontId="66" fillId="39" borderId="31" applyNumberFormat="0" applyAlignment="0" applyProtection="0"/>
    <xf numFmtId="0" fontId="57" fillId="46" borderId="0" applyNumberFormat="0" applyBorder="0" applyAlignment="0" applyProtection="0"/>
    <xf numFmtId="0" fontId="65" fillId="0" borderId="0" applyNumberFormat="0" applyFill="0" applyBorder="0" applyAlignment="0" applyProtection="0"/>
    <xf numFmtId="0" fontId="65" fillId="0" borderId="35" applyNumberFormat="0" applyFill="0" applyAlignment="0" applyProtection="0"/>
    <xf numFmtId="0" fontId="64" fillId="0" borderId="34" applyNumberFormat="0" applyFill="0" applyAlignment="0" applyProtection="0"/>
    <xf numFmtId="0" fontId="63" fillId="0" borderId="33" applyNumberFormat="0" applyFill="0" applyAlignment="0" applyProtection="0"/>
    <xf numFmtId="0" fontId="62" fillId="36" borderId="0" applyNumberFormat="0" applyBorder="0" applyAlignment="0" applyProtection="0"/>
    <xf numFmtId="0" fontId="61" fillId="0" borderId="0" applyNumberFormat="0" applyFill="0" applyBorder="0" applyAlignment="0" applyProtection="0"/>
    <xf numFmtId="0" fontId="66" fillId="39" borderId="31" applyNumberFormat="0" applyAlignment="0" applyProtection="0"/>
    <xf numFmtId="0" fontId="60" fillId="53" borderId="32" applyNumberFormat="0" applyAlignment="0" applyProtection="0"/>
    <xf numFmtId="0" fontId="59" fillId="52" borderId="31" applyNumberFormat="0" applyAlignment="0" applyProtection="0"/>
    <xf numFmtId="0" fontId="58" fillId="35" borderId="0" applyNumberFormat="0" applyBorder="0" applyAlignment="0" applyProtection="0"/>
    <xf numFmtId="0" fontId="57" fillId="51" borderId="0" applyNumberFormat="0" applyBorder="0" applyAlignment="0" applyProtection="0"/>
    <xf numFmtId="44" fontId="13" fillId="0" borderId="0" applyFont="0" applyFill="0" applyBorder="0" applyAlignment="0" applyProtection="0"/>
    <xf numFmtId="0" fontId="57" fillId="50" borderId="0" applyNumberFormat="0" applyBorder="0" applyAlignment="0" applyProtection="0"/>
    <xf numFmtId="0" fontId="57" fillId="49" borderId="0" applyNumberFormat="0" applyBorder="0" applyAlignment="0" applyProtection="0"/>
    <xf numFmtId="0" fontId="57" fillId="48" borderId="0" applyNumberFormat="0" applyBorder="0" applyAlignment="0" applyProtection="0"/>
    <xf numFmtId="0" fontId="57" fillId="47" borderId="0" applyNumberFormat="0" applyBorder="0" applyAlignment="0" applyProtection="0"/>
    <xf numFmtId="0" fontId="57" fillId="46" borderId="0" applyNumberFormat="0" applyBorder="0" applyAlignment="0" applyProtection="0"/>
    <xf numFmtId="0" fontId="57" fillId="45" borderId="0" applyNumberFormat="0" applyBorder="0" applyAlignment="0" applyProtection="0"/>
    <xf numFmtId="0" fontId="75" fillId="41" borderId="0" applyNumberFormat="0" applyBorder="0" applyAlignment="0" applyProtection="0"/>
    <xf numFmtId="0" fontId="57" fillId="41" borderId="0" applyNumberFormat="0" applyBorder="0" applyAlignment="0" applyProtection="0"/>
    <xf numFmtId="0" fontId="57" fillId="44" borderId="0" applyNumberFormat="0" applyBorder="0" applyAlignment="0" applyProtection="0"/>
    <xf numFmtId="0" fontId="56" fillId="43" borderId="0" applyNumberFormat="0" applyBorder="0" applyAlignment="0" applyProtection="0"/>
    <xf numFmtId="0" fontId="56" fillId="42"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6" borderId="0" applyNumberFormat="0" applyBorder="0" applyAlignment="0" applyProtection="0"/>
    <xf numFmtId="0" fontId="56" fillId="35" borderId="0" applyNumberFormat="0" applyBorder="0" applyAlignment="0" applyProtection="0"/>
    <xf numFmtId="0" fontId="56" fillId="34" borderId="0" applyNumberFormat="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40" borderId="0" applyNumberFormat="0" applyBorder="0" applyAlignment="0" applyProtection="0"/>
    <xf numFmtId="0" fontId="72" fillId="0" borderId="0" applyNumberFormat="0" applyFill="0" applyBorder="0" applyAlignment="0" applyProtection="0"/>
    <xf numFmtId="0" fontId="70" fillId="0" borderId="0" applyNumberFormat="0" applyFill="0" applyBorder="0" applyAlignment="0" applyProtection="0"/>
    <xf numFmtId="0" fontId="69" fillId="52" borderId="38" applyNumberFormat="0" applyAlignment="0" applyProtection="0"/>
    <xf numFmtId="0" fontId="65" fillId="0" borderId="0" applyNumberFormat="0" applyFill="0" applyBorder="0" applyAlignment="0" applyProtection="0"/>
    <xf numFmtId="0" fontId="64" fillId="0" borderId="34" applyNumberFormat="0" applyFill="0" applyAlignment="0" applyProtection="0"/>
    <xf numFmtId="0" fontId="62" fillId="36" borderId="0" applyNumberFormat="0" applyBorder="0" applyAlignment="0" applyProtection="0"/>
    <xf numFmtId="0" fontId="60" fillId="53" borderId="32" applyNumberFormat="0" applyAlignment="0" applyProtection="0"/>
    <xf numFmtId="0" fontId="58" fillId="35" borderId="0" applyNumberFormat="0" applyBorder="0" applyAlignment="0" applyProtection="0"/>
    <xf numFmtId="0" fontId="57" fillId="45" borderId="0" applyNumberFormat="0" applyBorder="0" applyAlignment="0" applyProtection="0"/>
    <xf numFmtId="0" fontId="57" fillId="50" borderId="0" applyNumberFormat="0" applyBorder="0" applyAlignment="0" applyProtection="0"/>
    <xf numFmtId="0" fontId="57" fillId="48" borderId="0" applyNumberFormat="0" applyBorder="0" applyAlignment="0" applyProtection="0"/>
    <xf numFmtId="0" fontId="57" fillId="46" borderId="0" applyNumberFormat="0" applyBorder="0" applyAlignment="0" applyProtection="0"/>
    <xf numFmtId="0" fontId="56" fillId="43" borderId="0" applyNumberFormat="0" applyBorder="0" applyAlignment="0" applyProtection="0"/>
    <xf numFmtId="0" fontId="56" fillId="42" borderId="0" applyNumberFormat="0" applyBorder="0" applyAlignment="0" applyProtection="0"/>
    <xf numFmtId="0" fontId="56" fillId="41"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6" borderId="0" applyNumberFormat="0" applyBorder="0" applyAlignment="0" applyProtection="0"/>
    <xf numFmtId="0" fontId="56" fillId="34" borderId="0" applyNumberFormat="0" applyBorder="0" applyAlignment="0" applyProtection="0"/>
    <xf numFmtId="0" fontId="39" fillId="0" borderId="0" applyNumberFormat="0" applyFill="0" applyBorder="0" applyAlignment="0" applyProtection="0"/>
    <xf numFmtId="0" fontId="61" fillId="0" borderId="0" applyNumberFormat="0" applyFill="0" applyBorder="0" applyAlignment="0" applyProtection="0"/>
    <xf numFmtId="0" fontId="59" fillId="52" borderId="31" applyNumberFormat="0" applyAlignment="0" applyProtection="0"/>
    <xf numFmtId="0" fontId="57" fillId="51" borderId="0" applyNumberFormat="0" applyBorder="0" applyAlignment="0" applyProtection="0"/>
    <xf numFmtId="0" fontId="63" fillId="0" borderId="33" applyNumberFormat="0" applyFill="0" applyAlignment="0" applyProtection="0"/>
    <xf numFmtId="0" fontId="57" fillId="45" borderId="0" applyNumberFormat="0" applyBorder="0" applyAlignment="0" applyProtection="0"/>
    <xf numFmtId="0" fontId="57" fillId="49" borderId="0" applyNumberFormat="0" applyBorder="0" applyAlignment="0" applyProtection="0"/>
    <xf numFmtId="0" fontId="56" fillId="40" borderId="0" applyNumberFormat="0" applyBorder="0" applyAlignment="0" applyProtection="0"/>
    <xf numFmtId="0" fontId="57" fillId="47" borderId="0" applyNumberFormat="0" applyBorder="0" applyAlignment="0" applyProtection="0"/>
    <xf numFmtId="0" fontId="73" fillId="9" borderId="29" applyNumberFormat="0" applyFont="0" applyAlignment="0" applyProtection="0"/>
    <xf numFmtId="0" fontId="65" fillId="0" borderId="35" applyNumberFormat="0" applyFill="0" applyAlignment="0" applyProtection="0"/>
    <xf numFmtId="0" fontId="56" fillId="35" borderId="0" applyNumberFormat="0" applyBorder="0" applyAlignment="0" applyProtection="0"/>
    <xf numFmtId="0" fontId="71" fillId="0" borderId="39" applyNumberFormat="0" applyFill="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9" borderId="0" applyNumberFormat="0" applyBorder="0" applyAlignment="0" applyProtection="0"/>
    <xf numFmtId="0" fontId="39" fillId="0" borderId="0" applyNumberFormat="0" applyFill="0" applyBorder="0" applyAlignment="0" applyProtection="0"/>
    <xf numFmtId="0" fontId="73" fillId="9" borderId="29" applyNumberFormat="0" applyFont="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8" borderId="0" applyNumberFormat="0" applyBorder="0" applyAlignment="0" applyProtection="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5" fillId="35" borderId="0" applyNumberFormat="0" applyBorder="0" applyAlignment="0" applyProtection="0"/>
    <xf numFmtId="0" fontId="75" fillId="36" borderId="0" applyNumberFormat="0" applyBorder="0" applyAlignment="0" applyProtection="0"/>
    <xf numFmtId="0" fontId="75" fillId="41" borderId="0" applyNumberFormat="0" applyBorder="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37" borderId="0" applyNumberFormat="0" applyBorder="0" applyAlignment="0" applyProtection="0"/>
    <xf numFmtId="0" fontId="56" fillId="40" borderId="0" applyNumberFormat="0" applyBorder="0" applyAlignment="0" applyProtection="0"/>
    <xf numFmtId="0" fontId="56" fillId="43" borderId="0" applyNumberFormat="0" applyBorder="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51" borderId="0" applyNumberFormat="0" applyBorder="0" applyAlignment="0" applyProtection="0"/>
    <xf numFmtId="0" fontId="58" fillId="35" borderId="0" applyNumberFormat="0" applyBorder="0" applyAlignment="0" applyProtection="0"/>
    <xf numFmtId="0" fontId="59" fillId="52" borderId="31" applyNumberFormat="0" applyAlignment="0" applyProtection="0"/>
    <xf numFmtId="0" fontId="60" fillId="53" borderId="32" applyNumberFormat="0" applyAlignment="0" applyProtection="0"/>
    <xf numFmtId="0" fontId="57" fillId="46" borderId="0" applyNumberFormat="0" applyBorder="0" applyAlignment="0" applyProtection="0"/>
    <xf numFmtId="0" fontId="57" fillId="45" borderId="0" applyNumberFormat="0" applyBorder="0" applyAlignment="0" applyProtection="0"/>
    <xf numFmtId="0" fontId="61" fillId="0" borderId="0" applyNumberFormat="0" applyFill="0" applyBorder="0" applyAlignment="0" applyProtection="0"/>
    <xf numFmtId="0" fontId="62" fillId="36" borderId="0" applyNumberFormat="0" applyBorder="0" applyAlignment="0" applyProtection="0"/>
    <xf numFmtId="0" fontId="63" fillId="0" borderId="33" applyNumberFormat="0" applyFill="0" applyAlignment="0" applyProtection="0"/>
    <xf numFmtId="0" fontId="64" fillId="0" borderId="34" applyNumberFormat="0" applyFill="0" applyAlignment="0" applyProtection="0"/>
    <xf numFmtId="0" fontId="65" fillId="0" borderId="35" applyNumberFormat="0" applyFill="0" applyAlignment="0" applyProtection="0"/>
    <xf numFmtId="0" fontId="65" fillId="0" borderId="0" applyNumberFormat="0" applyFill="0" applyBorder="0" applyAlignment="0" applyProtection="0"/>
    <xf numFmtId="0" fontId="57" fillId="42" borderId="0" applyNumberFormat="0" applyBorder="0" applyAlignment="0" applyProtection="0"/>
    <xf numFmtId="0" fontId="66" fillId="39" borderId="31" applyNumberFormat="0" applyAlignment="0" applyProtection="0"/>
    <xf numFmtId="0" fontId="67" fillId="0" borderId="36" applyNumberFormat="0" applyFill="0" applyAlignment="0" applyProtection="0"/>
    <xf numFmtId="0" fontId="68" fillId="54" borderId="0" applyNumberFormat="0" applyBorder="0" applyAlignment="0" applyProtection="0"/>
    <xf numFmtId="0" fontId="56" fillId="40" borderId="0" applyNumberFormat="0" applyBorder="0" applyAlignment="0" applyProtection="0"/>
    <xf numFmtId="0" fontId="56" fillId="37" borderId="0" applyNumberFormat="0" applyBorder="0" applyAlignment="0" applyProtection="0"/>
    <xf numFmtId="0" fontId="13" fillId="55" borderId="37" applyNumberFormat="0" applyFont="0" applyAlignment="0" applyProtection="0"/>
    <xf numFmtId="0" fontId="69" fillId="52" borderId="38" applyNumberFormat="0" applyAlignment="0" applyProtection="0"/>
    <xf numFmtId="0" fontId="56" fillId="41" borderId="0" applyNumberFormat="0" applyBorder="0" applyAlignment="0" applyProtection="0"/>
    <xf numFmtId="0" fontId="70" fillId="0" borderId="0" applyNumberFormat="0" applyFill="0" applyBorder="0" applyAlignment="0" applyProtection="0"/>
    <xf numFmtId="0" fontId="71" fillId="0" borderId="39" applyNumberFormat="0" applyFill="0" applyAlignment="0" applyProtection="0"/>
    <xf numFmtId="0" fontId="72"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8" fillId="54" borderId="0" applyNumberFormat="0" applyBorder="0" applyAlignment="0" applyProtection="0"/>
    <xf numFmtId="0" fontId="67" fillId="0" borderId="36" applyNumberFormat="0" applyFill="0" applyAlignment="0" applyProtection="0"/>
    <xf numFmtId="0" fontId="72" fillId="0" borderId="0" applyNumberFormat="0" applyFill="0" applyBorder="0" applyAlignment="0" applyProtection="0"/>
    <xf numFmtId="0" fontId="71" fillId="0" borderId="39" applyNumberFormat="0" applyFill="0" applyAlignment="0" applyProtection="0"/>
    <xf numFmtId="0" fontId="70" fillId="0" borderId="0" applyNumberFormat="0" applyFill="0" applyBorder="0" applyAlignment="0" applyProtection="0"/>
    <xf numFmtId="0" fontId="56" fillId="37" borderId="0" applyNumberFormat="0" applyBorder="0" applyAlignment="0" applyProtection="0"/>
    <xf numFmtId="0" fontId="69" fillId="52" borderId="38" applyNumberFormat="0" applyAlignment="0" applyProtection="0"/>
    <xf numFmtId="0" fontId="13" fillId="55" borderId="37" applyNumberFormat="0" applyFont="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68" fillId="54" borderId="0" applyNumberFormat="0" applyBorder="0" applyAlignment="0" applyProtection="0"/>
    <xf numFmtId="0" fontId="67" fillId="0" borderId="36" applyNumberFormat="0" applyFill="0" applyAlignment="0" applyProtection="0"/>
    <xf numFmtId="0" fontId="66" fillId="39" borderId="31" applyNumberFormat="0" applyAlignment="0" applyProtection="0"/>
    <xf numFmtId="0" fontId="57" fillId="46" borderId="0" applyNumberFormat="0" applyBorder="0" applyAlignment="0" applyProtection="0"/>
    <xf numFmtId="0" fontId="65" fillId="0" borderId="0" applyNumberFormat="0" applyFill="0" applyBorder="0" applyAlignment="0" applyProtection="0"/>
    <xf numFmtId="0" fontId="65" fillId="0" borderId="35" applyNumberFormat="0" applyFill="0" applyAlignment="0" applyProtection="0"/>
    <xf numFmtId="0" fontId="64" fillId="0" borderId="34" applyNumberFormat="0" applyFill="0" applyAlignment="0" applyProtection="0"/>
    <xf numFmtId="0" fontId="63" fillId="0" borderId="33" applyNumberFormat="0" applyFill="0" applyAlignment="0" applyProtection="0"/>
    <xf numFmtId="0" fontId="62" fillId="36" borderId="0" applyNumberFormat="0" applyBorder="0" applyAlignment="0" applyProtection="0"/>
    <xf numFmtId="0" fontId="61" fillId="0" borderId="0" applyNumberFormat="0" applyFill="0" applyBorder="0" applyAlignment="0" applyProtection="0"/>
    <xf numFmtId="0" fontId="66" fillId="39" borderId="31" applyNumberFormat="0" applyAlignment="0" applyProtection="0"/>
    <xf numFmtId="0" fontId="60" fillId="53" borderId="32" applyNumberFormat="0" applyAlignment="0" applyProtection="0"/>
    <xf numFmtId="0" fontId="59" fillId="52" borderId="31" applyNumberFormat="0" applyAlignment="0" applyProtection="0"/>
    <xf numFmtId="0" fontId="58" fillId="35" borderId="0" applyNumberFormat="0" applyBorder="0" applyAlignment="0" applyProtection="0"/>
    <xf numFmtId="0" fontId="57" fillId="51" borderId="0" applyNumberFormat="0" applyBorder="0" applyAlignment="0" applyProtection="0"/>
    <xf numFmtId="44" fontId="13" fillId="0" borderId="0" applyFont="0" applyFill="0" applyBorder="0" applyAlignment="0" applyProtection="0"/>
    <xf numFmtId="0" fontId="57" fillId="50" borderId="0" applyNumberFormat="0" applyBorder="0" applyAlignment="0" applyProtection="0"/>
    <xf numFmtId="0" fontId="57" fillId="49" borderId="0" applyNumberFormat="0" applyBorder="0" applyAlignment="0" applyProtection="0"/>
    <xf numFmtId="0" fontId="57" fillId="48" borderId="0" applyNumberFormat="0" applyBorder="0" applyAlignment="0" applyProtection="0"/>
    <xf numFmtId="0" fontId="57" fillId="47" borderId="0" applyNumberFormat="0" applyBorder="0" applyAlignment="0" applyProtection="0"/>
    <xf numFmtId="0" fontId="57" fillId="46" borderId="0" applyNumberFormat="0" applyBorder="0" applyAlignment="0" applyProtection="0"/>
    <xf numFmtId="0" fontId="57" fillId="45" borderId="0" applyNumberFormat="0" applyBorder="0" applyAlignment="0" applyProtection="0"/>
    <xf numFmtId="0" fontId="75" fillId="40" borderId="0" applyNumberFormat="0" applyBorder="0" applyAlignment="0" applyProtection="0"/>
    <xf numFmtId="0" fontId="57" fillId="41" borderId="0" applyNumberFormat="0" applyBorder="0" applyAlignment="0" applyProtection="0"/>
    <xf numFmtId="0" fontId="57" fillId="44" borderId="0" applyNumberFormat="0" applyBorder="0" applyAlignment="0" applyProtection="0"/>
    <xf numFmtId="0" fontId="56" fillId="43" borderId="0" applyNumberFormat="0" applyBorder="0" applyAlignment="0" applyProtection="0"/>
    <xf numFmtId="0" fontId="56" fillId="42"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6" borderId="0" applyNumberFormat="0" applyBorder="0" applyAlignment="0" applyProtection="0"/>
    <xf numFmtId="0" fontId="56" fillId="35" borderId="0" applyNumberFormat="0" applyBorder="0" applyAlignment="0" applyProtection="0"/>
    <xf numFmtId="0" fontId="56" fillId="34" borderId="0" applyNumberFormat="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9" borderId="0" applyNumberFormat="0" applyBorder="0" applyAlignment="0" applyProtection="0"/>
    <xf numFmtId="0" fontId="72" fillId="0" borderId="0" applyNumberFormat="0" applyFill="0" applyBorder="0" applyAlignment="0" applyProtection="0"/>
    <xf numFmtId="0" fontId="70" fillId="0" borderId="0" applyNumberFormat="0" applyFill="0" applyBorder="0" applyAlignment="0" applyProtection="0"/>
    <xf numFmtId="0" fontId="69" fillId="52" borderId="38" applyNumberFormat="0" applyAlignment="0" applyProtection="0"/>
    <xf numFmtId="0" fontId="65" fillId="0" borderId="0" applyNumberFormat="0" applyFill="0" applyBorder="0" applyAlignment="0" applyProtection="0"/>
    <xf numFmtId="0" fontId="64" fillId="0" borderId="34" applyNumberFormat="0" applyFill="0" applyAlignment="0" applyProtection="0"/>
    <xf numFmtId="0" fontId="62" fillId="36" borderId="0" applyNumberFormat="0" applyBorder="0" applyAlignment="0" applyProtection="0"/>
    <xf numFmtId="0" fontId="60" fillId="53" borderId="32" applyNumberFormat="0" applyAlignment="0" applyProtection="0"/>
    <xf numFmtId="0" fontId="58" fillId="35" borderId="0" applyNumberFormat="0" applyBorder="0" applyAlignment="0" applyProtection="0"/>
    <xf numFmtId="0" fontId="57" fillId="45" borderId="0" applyNumberFormat="0" applyBorder="0" applyAlignment="0" applyProtection="0"/>
    <xf numFmtId="0" fontId="57" fillId="50" borderId="0" applyNumberFormat="0" applyBorder="0" applyAlignment="0" applyProtection="0"/>
    <xf numFmtId="0" fontId="57" fillId="48" borderId="0" applyNumberFormat="0" applyBorder="0" applyAlignment="0" applyProtection="0"/>
    <xf numFmtId="0" fontId="57" fillId="46" borderId="0" applyNumberFormat="0" applyBorder="0" applyAlignment="0" applyProtection="0"/>
    <xf numFmtId="0" fontId="56" fillId="43" borderId="0" applyNumberFormat="0" applyBorder="0" applyAlignment="0" applyProtection="0"/>
    <xf numFmtId="0" fontId="56" fillId="42" borderId="0" applyNumberFormat="0" applyBorder="0" applyAlignment="0" applyProtection="0"/>
    <xf numFmtId="0" fontId="56" fillId="41"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6" borderId="0" applyNumberFormat="0" applyBorder="0" applyAlignment="0" applyProtection="0"/>
    <xf numFmtId="0" fontId="56" fillId="34" borderId="0" applyNumberFormat="0" applyBorder="0" applyAlignment="0" applyProtection="0"/>
    <xf numFmtId="0" fontId="39" fillId="0" borderId="0" applyNumberFormat="0" applyFill="0" applyBorder="0" applyAlignment="0" applyProtection="0"/>
    <xf numFmtId="0" fontId="61" fillId="0" borderId="0" applyNumberFormat="0" applyFill="0" applyBorder="0" applyAlignment="0" applyProtection="0"/>
    <xf numFmtId="0" fontId="59" fillId="52" borderId="31" applyNumberFormat="0" applyAlignment="0" applyProtection="0"/>
    <xf numFmtId="0" fontId="57" fillId="51" borderId="0" applyNumberFormat="0" applyBorder="0" applyAlignment="0" applyProtection="0"/>
    <xf numFmtId="0" fontId="63" fillId="0" borderId="33" applyNumberFormat="0" applyFill="0" applyAlignment="0" applyProtection="0"/>
    <xf numFmtId="0" fontId="57" fillId="45" borderId="0" applyNumberFormat="0" applyBorder="0" applyAlignment="0" applyProtection="0"/>
    <xf numFmtId="0" fontId="57" fillId="49" borderId="0" applyNumberFormat="0" applyBorder="0" applyAlignment="0" applyProtection="0"/>
    <xf numFmtId="0" fontId="56" fillId="40" borderId="0" applyNumberFormat="0" applyBorder="0" applyAlignment="0" applyProtection="0"/>
    <xf numFmtId="0" fontId="75" fillId="34" borderId="0" applyNumberFormat="0" applyBorder="0" applyAlignment="0" applyProtection="0"/>
    <xf numFmtId="0" fontId="57" fillId="47" borderId="0" applyNumberFormat="0" applyBorder="0" applyAlignment="0" applyProtection="0"/>
    <xf numFmtId="0" fontId="73" fillId="9" borderId="29" applyNumberFormat="0" applyFont="0" applyAlignment="0" applyProtection="0"/>
    <xf numFmtId="0" fontId="65" fillId="0" borderId="35" applyNumberFormat="0" applyFill="0" applyAlignment="0" applyProtection="0"/>
    <xf numFmtId="0" fontId="56" fillId="35" borderId="0" applyNumberFormat="0" applyBorder="0" applyAlignment="0" applyProtection="0"/>
    <xf numFmtId="0" fontId="71" fillId="0" borderId="39" applyNumberFormat="0" applyFill="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8" borderId="0" applyNumberFormat="0" applyBorder="0" applyAlignment="0" applyProtection="0"/>
    <xf numFmtId="0" fontId="39" fillId="0" borderId="0" applyNumberFormat="0" applyFill="0" applyBorder="0" applyAlignment="0" applyProtection="0"/>
    <xf numFmtId="0" fontId="73" fillId="9" borderId="29" applyNumberFormat="0" applyFont="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7" borderId="0" applyNumberFormat="0" applyBorder="0" applyAlignment="0" applyProtection="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37" borderId="0" applyNumberFormat="0" applyBorder="0" applyAlignment="0" applyProtection="0"/>
    <xf numFmtId="0" fontId="56" fillId="40" borderId="0" applyNumberFormat="0" applyBorder="0" applyAlignment="0" applyProtection="0"/>
    <xf numFmtId="0" fontId="56" fillId="43" borderId="0" applyNumberFormat="0" applyBorder="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51" borderId="0" applyNumberFormat="0" applyBorder="0" applyAlignment="0" applyProtection="0"/>
    <xf numFmtId="0" fontId="58" fillId="35" borderId="0" applyNumberFormat="0" applyBorder="0" applyAlignment="0" applyProtection="0"/>
    <xf numFmtId="0" fontId="59" fillId="52" borderId="31" applyNumberFormat="0" applyAlignment="0" applyProtection="0"/>
    <xf numFmtId="0" fontId="60" fillId="53" borderId="32" applyNumberFormat="0" applyAlignment="0" applyProtection="0"/>
    <xf numFmtId="0" fontId="57" fillId="46" borderId="0" applyNumberFormat="0" applyBorder="0" applyAlignment="0" applyProtection="0"/>
    <xf numFmtId="0" fontId="57" fillId="45" borderId="0" applyNumberFormat="0" applyBorder="0" applyAlignment="0" applyProtection="0"/>
    <xf numFmtId="0" fontId="61" fillId="0" borderId="0" applyNumberFormat="0" applyFill="0" applyBorder="0" applyAlignment="0" applyProtection="0"/>
    <xf numFmtId="0" fontId="62" fillId="36" borderId="0" applyNumberFormat="0" applyBorder="0" applyAlignment="0" applyProtection="0"/>
    <xf numFmtId="0" fontId="63" fillId="0" borderId="33" applyNumberFormat="0" applyFill="0" applyAlignment="0" applyProtection="0"/>
    <xf numFmtId="0" fontId="64" fillId="0" borderId="34" applyNumberFormat="0" applyFill="0" applyAlignment="0" applyProtection="0"/>
    <xf numFmtId="0" fontId="65" fillId="0" borderId="35" applyNumberFormat="0" applyFill="0" applyAlignment="0" applyProtection="0"/>
    <xf numFmtId="0" fontId="65" fillId="0" borderId="0" applyNumberFormat="0" applyFill="0" applyBorder="0" applyAlignment="0" applyProtection="0"/>
    <xf numFmtId="0" fontId="57" fillId="42" borderId="0" applyNumberFormat="0" applyBorder="0" applyAlignment="0" applyProtection="0"/>
    <xf numFmtId="0" fontId="66" fillId="39" borderId="31" applyNumberFormat="0" applyAlignment="0" applyProtection="0"/>
    <xf numFmtId="0" fontId="67" fillId="0" borderId="36" applyNumberFormat="0" applyFill="0" applyAlignment="0" applyProtection="0"/>
    <xf numFmtId="0" fontId="68" fillId="54" borderId="0" applyNumberFormat="0" applyBorder="0" applyAlignment="0" applyProtection="0"/>
    <xf numFmtId="0" fontId="56" fillId="40" borderId="0" applyNumberFormat="0" applyBorder="0" applyAlignment="0" applyProtection="0"/>
    <xf numFmtId="0" fontId="56" fillId="37" borderId="0" applyNumberFormat="0" applyBorder="0" applyAlignment="0" applyProtection="0"/>
    <xf numFmtId="0" fontId="13" fillId="55" borderId="37" applyNumberFormat="0" applyFont="0" applyAlignment="0" applyProtection="0"/>
    <xf numFmtId="0" fontId="69" fillId="52" borderId="38" applyNumberFormat="0" applyAlignment="0" applyProtection="0"/>
    <xf numFmtId="0" fontId="56" fillId="41" borderId="0" applyNumberFormat="0" applyBorder="0" applyAlignment="0" applyProtection="0"/>
    <xf numFmtId="0" fontId="70" fillId="0" borderId="0" applyNumberFormat="0" applyFill="0" applyBorder="0" applyAlignment="0" applyProtection="0"/>
    <xf numFmtId="0" fontId="71" fillId="0" borderId="39" applyNumberFormat="0" applyFill="0" applyAlignment="0" applyProtection="0"/>
    <xf numFmtId="0" fontId="72"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8" fillId="54" borderId="0" applyNumberFormat="0" applyBorder="0" applyAlignment="0" applyProtection="0"/>
    <xf numFmtId="0" fontId="67" fillId="0" borderId="36" applyNumberFormat="0" applyFill="0" applyAlignment="0" applyProtection="0"/>
    <xf numFmtId="0" fontId="72" fillId="0" borderId="0" applyNumberFormat="0" applyFill="0" applyBorder="0" applyAlignment="0" applyProtection="0"/>
    <xf numFmtId="0" fontId="71" fillId="0" borderId="39" applyNumberFormat="0" applyFill="0" applyAlignment="0" applyProtection="0"/>
    <xf numFmtId="0" fontId="70" fillId="0" borderId="0" applyNumberFormat="0" applyFill="0" applyBorder="0" applyAlignment="0" applyProtection="0"/>
    <xf numFmtId="0" fontId="56" fillId="37" borderId="0" applyNumberFormat="0" applyBorder="0" applyAlignment="0" applyProtection="0"/>
    <xf numFmtId="0" fontId="69" fillId="52" borderId="38" applyNumberFormat="0" applyAlignment="0" applyProtection="0"/>
    <xf numFmtId="0" fontId="13" fillId="55" borderId="37" applyNumberFormat="0" applyFont="0" applyAlignment="0" applyProtection="0"/>
    <xf numFmtId="0" fontId="57" fillId="44"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68" fillId="54" borderId="0" applyNumberFormat="0" applyBorder="0" applyAlignment="0" applyProtection="0"/>
    <xf numFmtId="0" fontId="67" fillId="0" borderId="36" applyNumberFormat="0" applyFill="0" applyAlignment="0" applyProtection="0"/>
    <xf numFmtId="0" fontId="66" fillId="39" borderId="31" applyNumberFormat="0" applyAlignment="0" applyProtection="0"/>
    <xf numFmtId="0" fontId="57" fillId="46" borderId="0" applyNumberFormat="0" applyBorder="0" applyAlignment="0" applyProtection="0"/>
    <xf numFmtId="0" fontId="65" fillId="0" borderId="0" applyNumberFormat="0" applyFill="0" applyBorder="0" applyAlignment="0" applyProtection="0"/>
    <xf numFmtId="0" fontId="65" fillId="0" borderId="35" applyNumberFormat="0" applyFill="0" applyAlignment="0" applyProtection="0"/>
    <xf numFmtId="0" fontId="64" fillId="0" borderId="34" applyNumberFormat="0" applyFill="0" applyAlignment="0" applyProtection="0"/>
    <xf numFmtId="0" fontId="63" fillId="0" borderId="33" applyNumberFormat="0" applyFill="0" applyAlignment="0" applyProtection="0"/>
    <xf numFmtId="0" fontId="62" fillId="36" borderId="0" applyNumberFormat="0" applyBorder="0" applyAlignment="0" applyProtection="0"/>
    <xf numFmtId="0" fontId="61" fillId="0" borderId="0" applyNumberFormat="0" applyFill="0" applyBorder="0" applyAlignment="0" applyProtection="0"/>
    <xf numFmtId="0" fontId="66" fillId="39" borderId="31" applyNumberFormat="0" applyAlignment="0" applyProtection="0"/>
    <xf numFmtId="0" fontId="60" fillId="53" borderId="32" applyNumberFormat="0" applyAlignment="0" applyProtection="0"/>
    <xf numFmtId="0" fontId="59" fillId="52" borderId="31" applyNumberFormat="0" applyAlignment="0" applyProtection="0"/>
    <xf numFmtId="0" fontId="58" fillId="35" borderId="0" applyNumberFormat="0" applyBorder="0" applyAlignment="0" applyProtection="0"/>
    <xf numFmtId="0" fontId="57" fillId="51" borderId="0" applyNumberFormat="0" applyBorder="0" applyAlignment="0" applyProtection="0"/>
    <xf numFmtId="44" fontId="13" fillId="0" borderId="0" applyFont="0" applyFill="0" applyBorder="0" applyAlignment="0" applyProtection="0"/>
    <xf numFmtId="0" fontId="57" fillId="50" borderId="0" applyNumberFormat="0" applyBorder="0" applyAlignment="0" applyProtection="0"/>
    <xf numFmtId="0" fontId="57" fillId="49" borderId="0" applyNumberFormat="0" applyBorder="0" applyAlignment="0" applyProtection="0"/>
    <xf numFmtId="0" fontId="57" fillId="48" borderId="0" applyNumberFormat="0" applyBorder="0" applyAlignment="0" applyProtection="0"/>
    <xf numFmtId="0" fontId="57" fillId="47" borderId="0" applyNumberFormat="0" applyBorder="0" applyAlignment="0" applyProtection="0"/>
    <xf numFmtId="0" fontId="57" fillId="46" borderId="0" applyNumberFormat="0" applyBorder="0" applyAlignment="0" applyProtection="0"/>
    <xf numFmtId="0" fontId="57" fillId="45" borderId="0" applyNumberFormat="0" applyBorder="0" applyAlignment="0" applyProtection="0"/>
    <xf numFmtId="0" fontId="75" fillId="40" borderId="0" applyNumberFormat="0" applyBorder="0" applyAlignment="0" applyProtection="0"/>
    <xf numFmtId="0" fontId="57" fillId="41" borderId="0" applyNumberFormat="0" applyBorder="0" applyAlignment="0" applyProtection="0"/>
    <xf numFmtId="0" fontId="57" fillId="44" borderId="0" applyNumberFormat="0" applyBorder="0" applyAlignment="0" applyProtection="0"/>
    <xf numFmtId="0" fontId="56" fillId="43" borderId="0" applyNumberFormat="0" applyBorder="0" applyAlignment="0" applyProtection="0"/>
    <xf numFmtId="0" fontId="56" fillId="42"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6" borderId="0" applyNumberFormat="0" applyBorder="0" applyAlignment="0" applyProtection="0"/>
    <xf numFmtId="0" fontId="56" fillId="35" borderId="0" applyNumberFormat="0" applyBorder="0" applyAlignment="0" applyProtection="0"/>
    <xf numFmtId="0" fontId="56" fillId="34" borderId="0" applyNumberFormat="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13" fillId="0" borderId="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9" borderId="0" applyNumberFormat="0" applyBorder="0" applyAlignment="0" applyProtection="0"/>
    <xf numFmtId="0" fontId="72" fillId="0" borderId="0" applyNumberFormat="0" applyFill="0" applyBorder="0" applyAlignment="0" applyProtection="0"/>
    <xf numFmtId="0" fontId="70" fillId="0" borderId="0" applyNumberFormat="0" applyFill="0" applyBorder="0" applyAlignment="0" applyProtection="0"/>
    <xf numFmtId="0" fontId="69" fillId="52" borderId="38" applyNumberFormat="0" applyAlignment="0" applyProtection="0"/>
    <xf numFmtId="0" fontId="65" fillId="0" borderId="0" applyNumberFormat="0" applyFill="0" applyBorder="0" applyAlignment="0" applyProtection="0"/>
    <xf numFmtId="0" fontId="64" fillId="0" borderId="34" applyNumberFormat="0" applyFill="0" applyAlignment="0" applyProtection="0"/>
    <xf numFmtId="0" fontId="62" fillId="36" borderId="0" applyNumberFormat="0" applyBorder="0" applyAlignment="0" applyProtection="0"/>
    <xf numFmtId="0" fontId="60" fillId="53" borderId="32" applyNumberFormat="0" applyAlignment="0" applyProtection="0"/>
    <xf numFmtId="0" fontId="58" fillId="35" borderId="0" applyNumberFormat="0" applyBorder="0" applyAlignment="0" applyProtection="0"/>
    <xf numFmtId="0" fontId="57" fillId="45" borderId="0" applyNumberFormat="0" applyBorder="0" applyAlignment="0" applyProtection="0"/>
    <xf numFmtId="0" fontId="57" fillId="50" borderId="0" applyNumberFormat="0" applyBorder="0" applyAlignment="0" applyProtection="0"/>
    <xf numFmtId="0" fontId="57" fillId="48" borderId="0" applyNumberFormat="0" applyBorder="0" applyAlignment="0" applyProtection="0"/>
    <xf numFmtId="0" fontId="57" fillId="46" borderId="0" applyNumberFormat="0" applyBorder="0" applyAlignment="0" applyProtection="0"/>
    <xf numFmtId="0" fontId="56" fillId="43" borderId="0" applyNumberFormat="0" applyBorder="0" applyAlignment="0" applyProtection="0"/>
    <xf numFmtId="0" fontId="56" fillId="42" borderId="0" applyNumberFormat="0" applyBorder="0" applyAlignment="0" applyProtection="0"/>
    <xf numFmtId="0" fontId="56" fillId="41"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6" borderId="0" applyNumberFormat="0" applyBorder="0" applyAlignment="0" applyProtection="0"/>
    <xf numFmtId="0" fontId="56" fillId="34" borderId="0" applyNumberFormat="0" applyBorder="0" applyAlignment="0" applyProtection="0"/>
    <xf numFmtId="0" fontId="39" fillId="0" borderId="0" applyNumberFormat="0" applyFill="0" applyBorder="0" applyAlignment="0" applyProtection="0"/>
    <xf numFmtId="0" fontId="61" fillId="0" borderId="0" applyNumberFormat="0" applyFill="0" applyBorder="0" applyAlignment="0" applyProtection="0"/>
    <xf numFmtId="0" fontId="59" fillId="52" borderId="31" applyNumberFormat="0" applyAlignment="0" applyProtection="0"/>
    <xf numFmtId="0" fontId="57" fillId="51" borderId="0" applyNumberFormat="0" applyBorder="0" applyAlignment="0" applyProtection="0"/>
    <xf numFmtId="0" fontId="63" fillId="0" borderId="33" applyNumberFormat="0" applyFill="0" applyAlignment="0" applyProtection="0"/>
    <xf numFmtId="0" fontId="57" fillId="45" borderId="0" applyNumberFormat="0" applyBorder="0" applyAlignment="0" applyProtection="0"/>
    <xf numFmtId="0" fontId="57" fillId="49" borderId="0" applyNumberFormat="0" applyBorder="0" applyAlignment="0" applyProtection="0"/>
    <xf numFmtId="0" fontId="56" fillId="40" borderId="0" applyNumberFormat="0" applyBorder="0" applyAlignment="0" applyProtection="0"/>
    <xf numFmtId="0" fontId="57" fillId="47" borderId="0" applyNumberFormat="0" applyBorder="0" applyAlignment="0" applyProtection="0"/>
    <xf numFmtId="0" fontId="73" fillId="9" borderId="29" applyNumberFormat="0" applyFont="0" applyAlignment="0" applyProtection="0"/>
    <xf numFmtId="0" fontId="65" fillId="0" borderId="35" applyNumberFormat="0" applyFill="0" applyAlignment="0" applyProtection="0"/>
    <xf numFmtId="0" fontId="56" fillId="35" borderId="0" applyNumberFormat="0" applyBorder="0" applyAlignment="0" applyProtection="0"/>
    <xf numFmtId="0" fontId="71" fillId="0" borderId="39" applyNumberFormat="0" applyFill="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8" borderId="0" applyNumberFormat="0" applyBorder="0" applyAlignment="0" applyProtection="0"/>
    <xf numFmtId="0" fontId="39" fillId="0" borderId="0" applyNumberFormat="0" applyFill="0" applyBorder="0" applyAlignment="0" applyProtection="0"/>
    <xf numFmtId="0" fontId="73" fillId="9" borderId="29" applyNumberFormat="0" applyFont="0" applyAlignment="0" applyProtection="0"/>
    <xf numFmtId="0" fontId="39" fillId="0" borderId="0" applyNumberFormat="0" applyFill="0" applyBorder="0" applyAlignment="0" applyProtection="0"/>
    <xf numFmtId="0" fontId="91" fillId="0" borderId="22" applyNumberFormat="0" applyFill="0" applyAlignment="0" applyProtection="0"/>
    <xf numFmtId="0" fontId="92" fillId="0" borderId="23" applyNumberFormat="0" applyFill="0" applyAlignment="0" applyProtection="0"/>
    <xf numFmtId="0" fontId="93" fillId="0" borderId="24"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25" applyNumberFormat="0" applyAlignment="0" applyProtection="0"/>
    <xf numFmtId="0" fontId="98" fillId="7" borderId="26" applyNumberFormat="0" applyAlignment="0" applyProtection="0"/>
    <xf numFmtId="0" fontId="99" fillId="7" borderId="25" applyNumberFormat="0" applyAlignment="0" applyProtection="0"/>
    <xf numFmtId="0" fontId="100" fillId="0" borderId="27" applyNumberFormat="0" applyFill="0" applyAlignment="0" applyProtection="0"/>
    <xf numFmtId="0" fontId="101" fillId="8" borderId="28" applyNumberFormat="0" applyAlignment="0" applyProtection="0"/>
    <xf numFmtId="0" fontId="102" fillId="0" borderId="0" applyNumberFormat="0" applyFill="0" applyBorder="0" applyAlignment="0" applyProtection="0"/>
    <xf numFmtId="0" fontId="73" fillId="9" borderId="29" applyNumberFormat="0" applyFont="0" applyAlignment="0" applyProtection="0"/>
    <xf numFmtId="0" fontId="103" fillId="0" borderId="0" applyNumberFormat="0" applyFill="0" applyBorder="0" applyAlignment="0" applyProtection="0"/>
    <xf numFmtId="0" fontId="104" fillId="0" borderId="30" applyNumberFormat="0" applyFill="0" applyAlignment="0" applyProtection="0"/>
    <xf numFmtId="0" fontId="105"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05" fillId="33" borderId="0" applyNumberFormat="0" applyBorder="0" applyAlignment="0" applyProtection="0"/>
    <xf numFmtId="0" fontId="75" fillId="37" borderId="0" applyNumberFormat="0" applyBorder="0" applyAlignment="0" applyProtection="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43" fontId="13" fillId="0" borderId="0" applyFont="0" applyFill="0" applyBorder="0" applyAlignment="0" applyProtection="0"/>
    <xf numFmtId="0" fontId="9" fillId="0" borderId="0"/>
    <xf numFmtId="0" fontId="9" fillId="0" borderId="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9" fillId="0" borderId="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9" fillId="0" borderId="0"/>
    <xf numFmtId="0" fontId="70" fillId="0" borderId="0" applyNumberFormat="0" applyFill="0" applyBorder="0" applyAlignment="0" applyProtection="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88" fillId="52" borderId="38" applyNumberFormat="0" applyAlignment="0" applyProtection="0"/>
    <xf numFmtId="0" fontId="89" fillId="0" borderId="39" applyNumberFormat="0" applyFill="0" applyAlignment="0" applyProtection="0"/>
    <xf numFmtId="0" fontId="90" fillId="0" borderId="0" applyNumberFormat="0" applyFill="0" applyBorder="0" applyAlignment="0" applyProtection="0"/>
    <xf numFmtId="43" fontId="13" fillId="0" borderId="0" applyFont="0" applyFill="0" applyBorder="0" applyAlignment="0" applyProtection="0"/>
    <xf numFmtId="0" fontId="9" fillId="0" borderId="0"/>
    <xf numFmtId="0" fontId="9" fillId="0" borderId="0"/>
    <xf numFmtId="0" fontId="9"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9" fillId="0" borderId="0"/>
    <xf numFmtId="0" fontId="9" fillId="0" borderId="0"/>
    <xf numFmtId="0" fontId="9"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9" fillId="0" borderId="0"/>
    <xf numFmtId="0" fontId="9" fillId="0" borderId="0"/>
    <xf numFmtId="0" fontId="9" fillId="0" borderId="0"/>
    <xf numFmtId="0" fontId="70" fillId="0" borderId="0" applyNumberFormat="0" applyFill="0" applyBorder="0" applyAlignment="0" applyProtection="0"/>
    <xf numFmtId="0" fontId="9" fillId="0" borderId="0"/>
    <xf numFmtId="0" fontId="9" fillId="0" borderId="0"/>
    <xf numFmtId="0" fontId="9" fillId="0" borderId="0"/>
    <xf numFmtId="0" fontId="75" fillId="34"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4"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51" borderId="0" applyNumberFormat="0" applyBorder="0" applyAlignment="0" applyProtection="0"/>
    <xf numFmtId="0" fontId="77" fillId="35" borderId="0" applyNumberFormat="0" applyBorder="0" applyAlignment="0" applyProtection="0"/>
    <xf numFmtId="0" fontId="78" fillId="52" borderId="31" applyNumberFormat="0" applyAlignment="0" applyProtection="0"/>
    <xf numFmtId="0" fontId="79" fillId="53" borderId="32" applyNumberFormat="0" applyAlignment="0" applyProtection="0"/>
    <xf numFmtId="0" fontId="80" fillId="0" borderId="0" applyNumberFormat="0" applyFill="0" applyBorder="0" applyAlignment="0" applyProtection="0"/>
    <xf numFmtId="0" fontId="81" fillId="36" borderId="0" applyNumberFormat="0" applyBorder="0" applyAlignment="0" applyProtection="0"/>
    <xf numFmtId="0" fontId="82" fillId="0" borderId="33" applyNumberFormat="0" applyFill="0" applyAlignment="0" applyProtection="0"/>
    <xf numFmtId="0" fontId="83" fillId="0" borderId="34" applyNumberFormat="0" applyFill="0" applyAlignment="0" applyProtection="0"/>
    <xf numFmtId="0" fontId="84" fillId="0" borderId="35" applyNumberFormat="0" applyFill="0" applyAlignment="0" applyProtection="0"/>
    <xf numFmtId="0" fontId="84" fillId="0" borderId="0" applyNumberFormat="0" applyFill="0" applyBorder="0" applyAlignment="0" applyProtection="0"/>
    <xf numFmtId="0" fontId="85" fillId="39" borderId="31" applyNumberFormat="0" applyAlignment="0" applyProtection="0"/>
    <xf numFmtId="0" fontId="86" fillId="0" borderId="36" applyNumberFormat="0" applyFill="0" applyAlignment="0" applyProtection="0"/>
    <xf numFmtId="0" fontId="87" fillId="54" borderId="0" applyNumberFormat="0" applyBorder="0" applyAlignment="0" applyProtection="0"/>
    <xf numFmtId="0" fontId="13" fillId="55" borderId="37" applyNumberFormat="0" applyFont="0" applyAlignment="0" applyProtection="0"/>
    <xf numFmtId="0" fontId="88" fillId="52" borderId="38" applyNumberFormat="0" applyAlignment="0" applyProtection="0"/>
    <xf numFmtId="0" fontId="70" fillId="0" borderId="0" applyNumberFormat="0" applyFill="0" applyBorder="0" applyAlignment="0" applyProtection="0"/>
    <xf numFmtId="0" fontId="89" fillId="0" borderId="39" applyNumberFormat="0" applyFill="0" applyAlignment="0" applyProtection="0"/>
    <xf numFmtId="0" fontId="90" fillId="0" borderId="0" applyNumberFormat="0" applyFill="0" applyBorder="0" applyAlignment="0" applyProtection="0"/>
    <xf numFmtId="0" fontId="9" fillId="0" borderId="0"/>
    <xf numFmtId="0" fontId="9" fillId="0" borderId="0"/>
    <xf numFmtId="0" fontId="9" fillId="0" borderId="0"/>
    <xf numFmtId="0" fontId="13" fillId="0" borderId="0"/>
    <xf numFmtId="0" fontId="70" fillId="0" borderId="0" applyNumberFormat="0" applyFill="0" applyBorder="0" applyAlignment="0" applyProtection="0"/>
    <xf numFmtId="0" fontId="9" fillId="0" borderId="0"/>
    <xf numFmtId="0" fontId="9" fillId="0" borderId="0"/>
    <xf numFmtId="0" fontId="9" fillId="0" borderId="0"/>
    <xf numFmtId="0" fontId="33" fillId="0" borderId="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0" borderId="0"/>
    <xf numFmtId="0" fontId="9" fillId="9" borderId="29" applyNumberFormat="0" applyFont="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0" borderId="0"/>
    <xf numFmtId="0" fontId="9" fillId="9" borderId="29" applyNumberFormat="0" applyFont="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9" borderId="2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0" fontId="33" fillId="0" borderId="0"/>
    <xf numFmtId="0" fontId="33" fillId="0" borderId="0"/>
    <xf numFmtId="0" fontId="9" fillId="0" borderId="0"/>
    <xf numFmtId="0" fontId="9" fillId="9" borderId="29"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9" fillId="9" borderId="29" applyNumberFormat="0" applyFont="0" applyAlignment="0" applyProtection="0"/>
    <xf numFmtId="0" fontId="9" fillId="19" borderId="0" applyNumberFormat="0" applyBorder="0" applyAlignment="0" applyProtection="0"/>
    <xf numFmtId="0" fontId="9" fillId="0" borderId="0"/>
    <xf numFmtId="0" fontId="9" fillId="16" borderId="0" applyNumberFormat="0" applyBorder="0" applyAlignment="0" applyProtection="0"/>
    <xf numFmtId="0" fontId="9" fillId="32"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9" fillId="23" borderId="0" applyNumberFormat="0" applyBorder="0" applyAlignment="0" applyProtection="0"/>
    <xf numFmtId="0" fontId="9" fillId="28" borderId="0" applyNumberFormat="0" applyBorder="0" applyAlignment="0" applyProtection="0"/>
    <xf numFmtId="0" fontId="9" fillId="27" borderId="0" applyNumberFormat="0" applyBorder="0" applyAlignment="0" applyProtection="0"/>
    <xf numFmtId="0" fontId="9" fillId="0" borderId="0"/>
    <xf numFmtId="0" fontId="9" fillId="9" borderId="29"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8" fillId="11" borderId="0" applyNumberFormat="0" applyBorder="0" applyAlignment="0" applyProtection="0"/>
    <xf numFmtId="0" fontId="75" fillId="3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8" fillId="11"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75" fillId="3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8" fillId="15" borderId="0" applyNumberFormat="0" applyBorder="0" applyAlignment="0" applyProtection="0"/>
    <xf numFmtId="0" fontId="75" fillId="3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8" fillId="1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75" fillId="3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8" fillId="19" borderId="0" applyNumberFormat="0" applyBorder="0" applyAlignment="0" applyProtection="0"/>
    <xf numFmtId="0" fontId="75" fillId="36"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8" fillId="19"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75" fillId="36"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8" fillId="23" borderId="0" applyNumberFormat="0" applyBorder="0" applyAlignment="0" applyProtection="0"/>
    <xf numFmtId="0" fontId="75"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8" fillId="23"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75" fillId="37"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8" fillId="27" borderId="0" applyNumberFormat="0" applyBorder="0" applyAlignment="0" applyProtection="0"/>
    <xf numFmtId="0" fontId="75" fillId="3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8" fillId="27"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75" fillId="3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8" fillId="31" borderId="0" applyNumberFormat="0" applyBorder="0" applyAlignment="0" applyProtection="0"/>
    <xf numFmtId="0" fontId="75" fillId="39"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8" fillId="31"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75" fillId="39"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8" fillId="12" borderId="0" applyNumberFormat="0" applyBorder="0" applyAlignment="0" applyProtection="0"/>
    <xf numFmtId="0" fontId="75" fillId="4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8" fillId="12"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75" fillId="4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8" fillId="16" borderId="0" applyNumberFormat="0" applyBorder="0" applyAlignment="0" applyProtection="0"/>
    <xf numFmtId="0" fontId="75" fillId="41"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8" fillId="16"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75" fillId="41"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8" fillId="20" borderId="0" applyNumberFormat="0" applyBorder="0" applyAlignment="0" applyProtection="0"/>
    <xf numFmtId="0" fontId="75" fillId="42"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8" fillId="20"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75" fillId="42"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75" fillId="42"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8" fillId="24" borderId="0" applyNumberFormat="0" applyBorder="0" applyAlignment="0" applyProtection="0"/>
    <xf numFmtId="0" fontId="75" fillId="37"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8" fillId="24"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75" fillId="37"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75" fillId="37"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8" fillId="28" borderId="0" applyNumberFormat="0" applyBorder="0" applyAlignment="0" applyProtection="0"/>
    <xf numFmtId="0" fontId="75" fillId="40"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8" fillId="28"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75" fillId="40"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8" fillId="32" borderId="0" applyNumberFormat="0" applyBorder="0" applyAlignment="0" applyProtection="0"/>
    <xf numFmtId="0" fontId="75"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8" fillId="32"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75"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75" fillId="43" borderId="0" applyNumberFormat="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0" fontId="13" fillId="0" borderId="0"/>
    <xf numFmtId="0" fontId="13" fillId="0" borderId="0"/>
    <xf numFmtId="0" fontId="13" fillId="0" borderId="0"/>
    <xf numFmtId="0" fontId="24" fillId="0" borderId="0"/>
    <xf numFmtId="0" fontId="33"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75"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0" fontId="28" fillId="9" borderId="29" applyNumberFormat="0" applyFont="0" applyAlignment="0" applyProtection="0"/>
    <xf numFmtId="9" fontId="3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9" fillId="0" borderId="39" applyNumberFormat="0" applyFill="0" applyAlignment="0" applyProtection="0"/>
    <xf numFmtId="0" fontId="89"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53" fillId="0" borderId="30" applyNumberFormat="0" applyFill="0" applyAlignment="0" applyProtection="0"/>
    <xf numFmtId="0" fontId="89" fillId="0" borderId="39" applyNumberFormat="0" applyFill="0" applyAlignment="0" applyProtection="0"/>
    <xf numFmtId="0" fontId="89" fillId="0" borderId="39" applyNumberFormat="0" applyFill="0" applyAlignment="0" applyProtection="0"/>
    <xf numFmtId="0" fontId="89" fillId="0" borderId="39" applyNumberFormat="0" applyFill="0" applyAlignment="0" applyProtection="0"/>
    <xf numFmtId="0" fontId="89" fillId="0" borderId="39" applyNumberFormat="0" applyFill="0" applyAlignment="0" applyProtection="0"/>
    <xf numFmtId="0" fontId="89" fillId="0" borderId="39" applyNumberFormat="0" applyFill="0" applyAlignment="0" applyProtection="0"/>
    <xf numFmtId="0" fontId="89" fillId="0" borderId="39" applyNumberFormat="0" applyFill="0" applyAlignment="0" applyProtection="0"/>
    <xf numFmtId="0" fontId="89" fillId="0" borderId="39" applyNumberFormat="0" applyFill="0" applyAlignment="0" applyProtection="0"/>
    <xf numFmtId="0" fontId="53" fillId="0" borderId="30" applyNumberFormat="0" applyFill="0" applyAlignment="0" applyProtection="0"/>
    <xf numFmtId="0" fontId="89" fillId="0" borderId="39"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90"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7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1"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51" fillId="0" borderId="0" applyNumberFormat="0" applyFill="0" applyBorder="0" applyAlignment="0" applyProtection="0"/>
    <xf numFmtId="0" fontId="90" fillId="0" borderId="0" applyNumberFormat="0" applyFill="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9" borderId="29" applyNumberFormat="0" applyFont="0" applyAlignment="0" applyProtection="0"/>
    <xf numFmtId="0" fontId="7" fillId="9" borderId="29" applyNumberFormat="0" applyFont="0" applyAlignment="0" applyProtection="0"/>
    <xf numFmtId="0" fontId="7" fillId="9" borderId="29" applyNumberFormat="0" applyFont="0" applyAlignment="0" applyProtection="0"/>
    <xf numFmtId="0" fontId="7" fillId="9" borderId="29" applyNumberFormat="0" applyFont="0" applyAlignment="0" applyProtection="0"/>
    <xf numFmtId="0" fontId="7" fillId="9" borderId="29" applyNumberFormat="0" applyFont="0" applyAlignment="0" applyProtection="0"/>
    <xf numFmtId="0" fontId="7" fillId="9" borderId="29" applyNumberFormat="0" applyFont="0" applyAlignment="0" applyProtection="0"/>
    <xf numFmtId="0" fontId="7" fillId="9" borderId="29" applyNumberFormat="0" applyFont="0" applyAlignment="0" applyProtection="0"/>
    <xf numFmtId="0" fontId="7" fillId="9" borderId="29" applyNumberFormat="0" applyFont="0" applyAlignment="0" applyProtection="0"/>
    <xf numFmtId="0" fontId="7" fillId="9" borderId="29" applyNumberFormat="0" applyFont="0" applyAlignment="0" applyProtection="0"/>
    <xf numFmtId="0" fontId="7" fillId="9" borderId="29" applyNumberFormat="0" applyFont="0" applyAlignment="0" applyProtection="0"/>
    <xf numFmtId="0" fontId="7" fillId="9" borderId="29" applyNumberFormat="0" applyFont="0" applyAlignment="0" applyProtection="0"/>
    <xf numFmtId="0" fontId="7" fillId="9" borderId="29" applyNumberFormat="0" applyFont="0" applyAlignment="0" applyProtection="0"/>
    <xf numFmtId="0" fontId="106" fillId="0" borderId="0"/>
    <xf numFmtId="43" fontId="107" fillId="0" borderId="0" applyFont="0" applyFill="0" applyBorder="0" applyAlignment="0" applyProtection="0"/>
    <xf numFmtId="0" fontId="108" fillId="0" borderId="0"/>
    <xf numFmtId="8" fontId="21" fillId="0" borderId="0" applyFont="0" applyFill="0" applyBorder="0" applyAlignment="0" applyProtection="0"/>
    <xf numFmtId="9" fontId="21" fillId="0" borderId="0" applyFont="0" applyFill="0" applyBorder="0" applyAlignment="0" applyProtection="0"/>
    <xf numFmtId="0" fontId="21" fillId="0" borderId="0"/>
    <xf numFmtId="9" fontId="24" fillId="0" borderId="0" applyFont="0" applyFill="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13" fillId="0" borderId="0"/>
    <xf numFmtId="0" fontId="24" fillId="0" borderId="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110"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5" fillId="34"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110"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5" fillId="35"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110"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5" fillId="36"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110"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3" fillId="23" borderId="0" applyNumberFormat="0" applyBorder="0" applyAlignment="0" applyProtection="0"/>
    <xf numFmtId="0" fontId="75" fillId="3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110"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5" fillId="38"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110"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5" fillId="39"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110"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3" fillId="12" borderId="0" applyNumberFormat="0" applyBorder="0" applyAlignment="0" applyProtection="0"/>
    <xf numFmtId="0" fontId="75" fillId="40"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5" fillId="41"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6" fillId="53" borderId="32"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40"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1" fillId="2" borderId="0" applyNumberFormat="0" applyFont="0" applyBorder="0" applyAlignment="0" applyProtection="0"/>
    <xf numFmtId="3" fontId="21" fillId="0" borderId="0" applyFont="0" applyFill="0" applyBorder="0" applyAlignment="0" applyProtection="0"/>
    <xf numFmtId="0" fontId="20" fillId="0" borderId="1">
      <alignment horizontal="center"/>
    </xf>
    <xf numFmtId="4" fontId="21" fillId="0" borderId="0" applyFont="0" applyFill="0" applyBorder="0" applyAlignment="0" applyProtection="0"/>
    <xf numFmtId="15" fontId="21" fillId="0" borderId="0" applyFont="0" applyFill="0" applyBorder="0" applyAlignment="0" applyProtection="0"/>
    <xf numFmtId="0" fontId="21" fillId="0" borderId="0" applyNumberFormat="0" applyFont="0" applyFill="0" applyBorder="0" applyAlignment="0" applyProtection="0">
      <alignment horizontal="left"/>
    </xf>
    <xf numFmtId="0" fontId="24" fillId="0" borderId="0"/>
    <xf numFmtId="0" fontId="112" fillId="0" borderId="0"/>
    <xf numFmtId="43" fontId="112" fillId="0" borderId="0" applyFont="0" applyFill="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37" borderId="0" applyNumberFormat="0" applyBorder="0" applyAlignment="0" applyProtection="0"/>
    <xf numFmtId="0" fontId="28" fillId="43" borderId="0" applyNumberFormat="0" applyBorder="0" applyAlignment="0" applyProtection="0"/>
    <xf numFmtId="0" fontId="113" fillId="44" borderId="0" applyNumberFormat="0" applyBorder="0" applyAlignment="0" applyProtection="0"/>
    <xf numFmtId="0" fontId="113" fillId="41" borderId="0" applyNumberFormat="0" applyBorder="0" applyAlignment="0" applyProtection="0"/>
    <xf numFmtId="0" fontId="113" fillId="42" borderId="0" applyNumberFormat="0" applyBorder="0" applyAlignment="0" applyProtection="0"/>
    <xf numFmtId="0" fontId="113" fillId="45" borderId="0" applyNumberFormat="0" applyBorder="0" applyAlignment="0" applyProtection="0"/>
    <xf numFmtId="0" fontId="113" fillId="46" borderId="0" applyNumberFormat="0" applyBorder="0" applyAlignment="0" applyProtection="0"/>
    <xf numFmtId="0" fontId="113" fillId="47" borderId="0" applyNumberFormat="0" applyBorder="0" applyAlignment="0" applyProtection="0"/>
    <xf numFmtId="0" fontId="113" fillId="48" borderId="0" applyNumberFormat="0" applyBorder="0" applyAlignment="0" applyProtection="0"/>
    <xf numFmtId="0" fontId="113" fillId="49" borderId="0" applyNumberFormat="0" applyBorder="0" applyAlignment="0" applyProtection="0"/>
    <xf numFmtId="0" fontId="113" fillId="50" borderId="0" applyNumberFormat="0" applyBorder="0" applyAlignment="0" applyProtection="0"/>
    <xf numFmtId="0" fontId="113" fillId="45" borderId="0" applyNumberFormat="0" applyBorder="0" applyAlignment="0" applyProtection="0"/>
    <xf numFmtId="0" fontId="113" fillId="46" borderId="0" applyNumberFormat="0" applyBorder="0" applyAlignment="0" applyProtection="0"/>
    <xf numFmtId="0" fontId="113" fillId="51" borderId="0" applyNumberFormat="0" applyBorder="0" applyAlignment="0" applyProtection="0"/>
    <xf numFmtId="0" fontId="114" fillId="35" borderId="0" applyNumberFormat="0" applyBorder="0" applyAlignment="0" applyProtection="0"/>
    <xf numFmtId="0" fontId="115" fillId="52" borderId="31" applyNumberFormat="0" applyAlignment="0" applyProtection="0"/>
    <xf numFmtId="41" fontId="13" fillId="0" borderId="0" applyFont="0" applyFill="0" applyBorder="0" applyAlignment="0" applyProtection="0"/>
    <xf numFmtId="0" fontId="117" fillId="0" borderId="0" applyNumberFormat="0" applyFill="0" applyBorder="0" applyAlignment="0" applyProtection="0"/>
    <xf numFmtId="0" fontId="118" fillId="36" borderId="0" applyNumberFormat="0" applyBorder="0" applyAlignment="0" applyProtection="0"/>
    <xf numFmtId="0" fontId="119" fillId="0" borderId="33" applyNumberFormat="0" applyFill="0" applyAlignment="0" applyProtection="0"/>
    <xf numFmtId="0" fontId="120" fillId="0" borderId="34" applyNumberFormat="0" applyFill="0" applyAlignment="0" applyProtection="0"/>
    <xf numFmtId="0" fontId="121" fillId="0" borderId="35" applyNumberFormat="0" applyFill="0" applyAlignment="0" applyProtection="0"/>
    <xf numFmtId="0" fontId="121" fillId="0" borderId="0" applyNumberFormat="0" applyFill="0" applyBorder="0" applyAlignment="0" applyProtection="0"/>
    <xf numFmtId="0" fontId="122" fillId="39" borderId="31" applyNumberFormat="0" applyAlignment="0" applyProtection="0"/>
    <xf numFmtId="0" fontId="123" fillId="0" borderId="36" applyNumberFormat="0" applyFill="0" applyAlignment="0" applyProtection="0"/>
    <xf numFmtId="0" fontId="124" fillId="54" borderId="0" applyNumberFormat="0" applyBorder="0" applyAlignment="0" applyProtection="0"/>
    <xf numFmtId="0" fontId="125" fillId="52" borderId="38" applyNumberFormat="0" applyAlignment="0" applyProtection="0"/>
    <xf numFmtId="0" fontId="126" fillId="0" borderId="39" applyNumberFormat="0" applyFill="0" applyAlignment="0" applyProtection="0"/>
    <xf numFmtId="0" fontId="127" fillId="0" borderId="0" applyNumberFormat="0" applyFill="0" applyBorder="0" applyAlignment="0" applyProtection="0"/>
    <xf numFmtId="0" fontId="6" fillId="0" borderId="0"/>
    <xf numFmtId="43" fontId="6" fillId="0" borderId="0" applyFont="0" applyFill="0" applyBorder="0" applyAlignment="0" applyProtection="0"/>
    <xf numFmtId="0" fontId="28" fillId="39" borderId="0" applyNumberFormat="0" applyBorder="0" applyAlignment="0" applyProtection="0"/>
    <xf numFmtId="41" fontId="13"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0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28"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09" fillId="0" borderId="0" applyFont="0" applyFill="0" applyBorder="0" applyAlignment="0" applyProtection="0"/>
    <xf numFmtId="44" fontId="13" fillId="0" borderId="0" applyFont="0" applyFill="0" applyBorder="0" applyAlignment="0" applyProtection="0"/>
    <xf numFmtId="0" fontId="122" fillId="39" borderId="31" applyNumberFormat="0" applyAlignment="0" applyProtection="0"/>
    <xf numFmtId="0" fontId="109" fillId="0" borderId="0"/>
    <xf numFmtId="0" fontId="24" fillId="0" borderId="0"/>
    <xf numFmtId="0" fontId="24" fillId="0" borderId="0"/>
    <xf numFmtId="0" fontId="109" fillId="0" borderId="0"/>
    <xf numFmtId="0" fontId="24" fillId="0" borderId="0"/>
    <xf numFmtId="0" fontId="129" fillId="0" borderId="0"/>
    <xf numFmtId="180" fontId="128" fillId="0" borderId="0"/>
    <xf numFmtId="180" fontId="128" fillId="0" borderId="0"/>
    <xf numFmtId="0" fontId="129" fillId="0" borderId="0"/>
    <xf numFmtId="0" fontId="24" fillId="0" borderId="0"/>
    <xf numFmtId="0" fontId="24" fillId="0" borderId="0"/>
    <xf numFmtId="0" fontId="24" fillId="0" borderId="0"/>
    <xf numFmtId="0" fontId="24" fillId="0" borderId="0"/>
    <xf numFmtId="0" fontId="6" fillId="0" borderId="0"/>
    <xf numFmtId="0" fontId="13" fillId="55" borderId="37" applyNumberFormat="0" applyFont="0" applyAlignment="0" applyProtection="0"/>
    <xf numFmtId="0" fontId="13" fillId="55" borderId="37" applyNumberFormat="0" applyFont="0" applyAlignment="0" applyProtection="0"/>
    <xf numFmtId="0" fontId="13" fillId="55" borderId="37" applyNumberFormat="0" applyFont="0" applyAlignment="0" applyProtection="0"/>
    <xf numFmtId="0" fontId="13" fillId="55" borderId="37" applyNumberFormat="0" applyFont="0" applyAlignment="0" applyProtection="0"/>
    <xf numFmtId="43" fontId="1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9" fillId="0" borderId="0" applyFont="0" applyFill="0" applyBorder="0" applyAlignment="0" applyProtection="0"/>
    <xf numFmtId="43" fontId="13" fillId="0" borderId="0" applyFont="0" applyFill="0" applyBorder="0" applyAlignment="0" applyProtection="0"/>
    <xf numFmtId="0" fontId="6" fillId="0" borderId="0"/>
    <xf numFmtId="43" fontId="6" fillId="0" borderId="0" applyFont="0" applyFill="0" applyBorder="0" applyAlignment="0" applyProtection="0"/>
    <xf numFmtId="0" fontId="28" fillId="39" borderId="0" applyNumberFormat="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9"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3" fontId="13" fillId="0" borderId="0" applyFont="0" applyFill="0" applyBorder="0" applyAlignment="0" applyProtection="0"/>
    <xf numFmtId="3" fontId="13" fillId="0" borderId="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198" fontId="13" fillId="0" borderId="0" applyFont="0" applyFill="0" applyBorder="0" applyAlignment="0" applyProtection="0"/>
    <xf numFmtId="5" fontId="13" fillId="0" borderId="0" applyFill="0" applyBorder="0" applyAlignment="0" applyProtection="0"/>
    <xf numFmtId="0" fontId="13" fillId="0" borderId="0" applyFont="0" applyFill="0" applyBorder="0" applyAlignment="0" applyProtection="0"/>
    <xf numFmtId="197" fontId="13" fillId="0" borderId="0" applyFill="0" applyBorder="0" applyAlignment="0" applyProtection="0"/>
    <xf numFmtId="3" fontId="131" fillId="0" borderId="0" applyFill="0" applyBorder="0" applyAlignment="0" applyProtection="0"/>
    <xf numFmtId="3" fontId="132" fillId="0" borderId="0" applyFill="0" applyBorder="0" applyAlignment="0" applyProtection="0"/>
    <xf numFmtId="3" fontId="133" fillId="0" borderId="0" applyFill="0" applyBorder="0" applyAlignment="0" applyProtection="0"/>
    <xf numFmtId="3" fontId="111" fillId="0" borderId="0" applyFill="0" applyBorder="0" applyAlignment="0" applyProtection="0"/>
    <xf numFmtId="3" fontId="134" fillId="0" borderId="0" applyFill="0" applyBorder="0" applyAlignment="0" applyProtection="0"/>
    <xf numFmtId="3" fontId="18" fillId="0" borderId="0" applyFill="0" applyBorder="0" applyAlignment="0" applyProtection="0"/>
    <xf numFmtId="3" fontId="135" fillId="0" borderId="0" applyFill="0" applyBorder="0" applyAlignment="0" applyProtection="0"/>
    <xf numFmtId="2" fontId="13" fillId="0" borderId="0" applyFill="0" applyBorder="0" applyAlignment="0" applyProtection="0"/>
    <xf numFmtId="0" fontId="122" fillId="39" borderId="31" applyNumberFormat="0" applyAlignment="0" applyProtection="0"/>
    <xf numFmtId="0" fontId="109" fillId="0" borderId="0"/>
    <xf numFmtId="0" fontId="6" fillId="0" borderId="0"/>
    <xf numFmtId="0" fontId="24" fillId="0" borderId="0"/>
    <xf numFmtId="0" fontId="6" fillId="0" borderId="0"/>
    <xf numFmtId="0" fontId="24" fillId="0" borderId="0"/>
    <xf numFmtId="0" fontId="24" fillId="0" borderId="0"/>
    <xf numFmtId="0" fontId="6" fillId="0" borderId="0"/>
    <xf numFmtId="0" fontId="24" fillId="0" borderId="0"/>
    <xf numFmtId="0" fontId="24" fillId="0" borderId="0"/>
    <xf numFmtId="0" fontId="24" fillId="0" borderId="0"/>
    <xf numFmtId="0" fontId="24" fillId="0" borderId="0"/>
    <xf numFmtId="0" fontId="24"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43" fontId="112" fillId="0" borderId="0" applyFont="0" applyFill="0" applyBorder="0" applyAlignment="0" applyProtection="0"/>
    <xf numFmtId="0" fontId="136" fillId="0" borderId="0"/>
    <xf numFmtId="43" fontId="33" fillId="0" borderId="0" applyFont="0" applyFill="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9" applyNumberFormat="0" applyFont="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9" applyNumberFormat="0" applyFont="0" applyAlignment="0" applyProtection="0"/>
    <xf numFmtId="43" fontId="33" fillId="0" borderId="0" applyFont="0" applyFill="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29" applyNumberFormat="0" applyFont="0" applyAlignment="0" applyProtection="0"/>
    <xf numFmtId="43" fontId="33" fillId="0" borderId="0" applyFont="0" applyFill="0" applyBorder="0" applyAlignment="0" applyProtection="0"/>
    <xf numFmtId="0" fontId="5" fillId="0" borderId="0"/>
    <xf numFmtId="0" fontId="5" fillId="9" borderId="2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5" fillId="9" borderId="29" applyNumberFormat="0" applyFont="0" applyAlignment="0" applyProtection="0"/>
    <xf numFmtId="0" fontId="5" fillId="19" borderId="0" applyNumberFormat="0" applyBorder="0" applyAlignment="0" applyProtection="0"/>
    <xf numFmtId="0" fontId="5" fillId="0" borderId="0"/>
    <xf numFmtId="0" fontId="5" fillId="16" borderId="0" applyNumberFormat="0" applyBorder="0" applyAlignment="0" applyProtection="0"/>
    <xf numFmtId="0" fontId="5" fillId="32" borderId="0" applyNumberFormat="0" applyBorder="0" applyAlignment="0" applyProtection="0"/>
    <xf numFmtId="0" fontId="5" fillId="31"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28" borderId="0" applyNumberFormat="0" applyBorder="0" applyAlignment="0" applyProtection="0"/>
    <xf numFmtId="0" fontId="5" fillId="27" borderId="0" applyNumberFormat="0" applyBorder="0" applyAlignment="0" applyProtection="0"/>
    <xf numFmtId="0" fontId="5" fillId="0" borderId="0"/>
    <xf numFmtId="0" fontId="5" fillId="9" borderId="2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9" applyNumberFormat="0" applyFont="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9" applyNumberFormat="0" applyFont="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29" applyNumberFormat="0" applyFont="0" applyAlignment="0" applyProtection="0"/>
    <xf numFmtId="0" fontId="5" fillId="0" borderId="0"/>
    <xf numFmtId="0" fontId="5" fillId="9" borderId="2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5" fillId="9" borderId="29" applyNumberFormat="0" applyFont="0" applyAlignment="0" applyProtection="0"/>
    <xf numFmtId="0" fontId="5" fillId="19" borderId="0" applyNumberFormat="0" applyBorder="0" applyAlignment="0" applyProtection="0"/>
    <xf numFmtId="0" fontId="5" fillId="0" borderId="0"/>
    <xf numFmtId="0" fontId="5" fillId="16" borderId="0" applyNumberFormat="0" applyBorder="0" applyAlignment="0" applyProtection="0"/>
    <xf numFmtId="0" fontId="5" fillId="32" borderId="0" applyNumberFormat="0" applyBorder="0" applyAlignment="0" applyProtection="0"/>
    <xf numFmtId="0" fontId="5" fillId="31"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28" borderId="0" applyNumberFormat="0" applyBorder="0" applyAlignment="0" applyProtection="0"/>
    <xf numFmtId="0" fontId="5" fillId="27" borderId="0" applyNumberFormat="0" applyBorder="0" applyAlignment="0" applyProtection="0"/>
    <xf numFmtId="0" fontId="5" fillId="0" borderId="0"/>
    <xf numFmtId="0" fontId="5" fillId="9" borderId="29"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4" fillId="9" borderId="29" applyNumberFormat="0" applyFont="0" applyAlignment="0" applyProtection="0"/>
    <xf numFmtId="0" fontId="138" fillId="0" borderId="0"/>
    <xf numFmtId="0" fontId="3" fillId="0" borderId="0"/>
    <xf numFmtId="43" fontId="3" fillId="0" borderId="0" applyFont="0" applyFill="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4" fillId="0" borderId="0"/>
    <xf numFmtId="0" fontId="18" fillId="0" borderId="0"/>
    <xf numFmtId="0" fontId="18" fillId="0" borderId="0"/>
    <xf numFmtId="43" fontId="30" fillId="0" borderId="0" applyFont="0" applyFill="0" applyBorder="0" applyAlignment="0" applyProtection="0"/>
    <xf numFmtId="0" fontId="3" fillId="0" borderId="0"/>
    <xf numFmtId="0" fontId="18" fillId="0" borderId="0"/>
    <xf numFmtId="9"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139" fillId="0" borderId="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cellStyleXfs>
  <cellXfs count="707">
    <xf numFmtId="0" fontId="0" fillId="0" borderId="0" xfId="0"/>
    <xf numFmtId="0" fontId="16" fillId="0" borderId="0" xfId="0" applyFont="1" applyFill="1"/>
    <xf numFmtId="0" fontId="16" fillId="0" borderId="0" xfId="0" applyFont="1" applyFill="1" applyAlignment="1">
      <alignment horizontal="center"/>
    </xf>
    <xf numFmtId="175" fontId="13" fillId="0" borderId="0" xfId="0" applyNumberFormat="1" applyFont="1" applyFill="1"/>
    <xf numFmtId="0" fontId="15" fillId="0" borderId="0" xfId="0" applyFont="1" applyFill="1"/>
    <xf numFmtId="0" fontId="12" fillId="0" borderId="0" xfId="0" applyFont="1" applyFill="1" applyAlignment="1"/>
    <xf numFmtId="173" fontId="13" fillId="0" borderId="0" xfId="0" applyNumberFormat="1" applyFont="1" applyFill="1"/>
    <xf numFmtId="167" fontId="13" fillId="0" borderId="0" xfId="0" applyNumberFormat="1" applyFont="1" applyFill="1"/>
    <xf numFmtId="14" fontId="14" fillId="0" borderId="0" xfId="0" applyNumberFormat="1" applyFont="1" applyFill="1"/>
    <xf numFmtId="14" fontId="14" fillId="0" borderId="0" xfId="0" applyNumberFormat="1" applyFont="1" applyFill="1" applyAlignment="1">
      <alignment horizontal="left"/>
    </xf>
    <xf numFmtId="0" fontId="14" fillId="0" borderId="0" xfId="0" applyFont="1" applyFill="1"/>
    <xf numFmtId="0" fontId="25" fillId="0" borderId="0" xfId="0" applyFont="1" applyFill="1"/>
    <xf numFmtId="187" fontId="25" fillId="0" borderId="0" xfId="0" applyNumberFormat="1" applyFont="1" applyFill="1"/>
    <xf numFmtId="0" fontId="26" fillId="0" borderId="0" xfId="0" applyFont="1" applyFill="1"/>
    <xf numFmtId="0" fontId="14" fillId="0" borderId="0" xfId="0" applyFont="1" applyFill="1" applyAlignment="1"/>
    <xf numFmtId="49" fontId="14" fillId="0" borderId="0" xfId="0" applyNumberFormat="1" applyFont="1" applyFill="1" applyAlignment="1"/>
    <xf numFmtId="5" fontId="13" fillId="0" borderId="0" xfId="0" applyNumberFormat="1" applyFont="1" applyFill="1"/>
    <xf numFmtId="0" fontId="12" fillId="0" borderId="7" xfId="0" applyFont="1" applyFill="1" applyBorder="1" applyAlignment="1">
      <alignment horizontal="center"/>
    </xf>
    <xf numFmtId="0" fontId="13" fillId="0" borderId="4" xfId="0" applyFont="1" applyFill="1" applyBorder="1" applyAlignment="1">
      <alignment vertical="justify"/>
    </xf>
    <xf numFmtId="5" fontId="13" fillId="0" borderId="4" xfId="0" applyNumberFormat="1" applyFont="1" applyFill="1" applyBorder="1"/>
    <xf numFmtId="5" fontId="13" fillId="0" borderId="4" xfId="0" applyNumberFormat="1" applyFont="1" applyFill="1" applyBorder="1" applyAlignment="1">
      <alignment wrapText="1"/>
    </xf>
    <xf numFmtId="0" fontId="13" fillId="0" borderId="0" xfId="0" applyFont="1" applyFill="1" applyBorder="1"/>
    <xf numFmtId="3" fontId="13" fillId="0" borderId="0" xfId="22" applyNumberFormat="1" applyFont="1" applyFill="1"/>
    <xf numFmtId="164" fontId="13" fillId="0" borderId="0" xfId="1" applyNumberFormat="1" applyFont="1" applyFill="1" applyBorder="1"/>
    <xf numFmtId="0" fontId="13" fillId="0" borderId="0" xfId="0" quotePrefix="1" applyFont="1" applyFill="1" applyAlignment="1">
      <alignment horizontal="right"/>
    </xf>
    <xf numFmtId="0" fontId="13" fillId="0" borderId="0" xfId="0" applyFont="1" applyFill="1" applyBorder="1" applyAlignment="1">
      <alignment horizontal="right"/>
    </xf>
    <xf numFmtId="0" fontId="23" fillId="0" borderId="0" xfId="0" applyFont="1" applyFill="1"/>
    <xf numFmtId="0" fontId="23" fillId="0" borderId="0" xfId="0" applyFont="1" applyFill="1" applyAlignment="1">
      <alignment horizontal="center"/>
    </xf>
    <xf numFmtId="0" fontId="12" fillId="0" borderId="0" xfId="0" applyFont="1" applyFill="1"/>
    <xf numFmtId="1" fontId="12" fillId="0" borderId="4" xfId="0" applyNumberFormat="1" applyFont="1" applyFill="1" applyBorder="1" applyAlignment="1">
      <alignment horizontal="left" vertical="center"/>
    </xf>
    <xf numFmtId="0" fontId="12" fillId="0" borderId="6" xfId="0" applyFont="1" applyFill="1" applyBorder="1" applyAlignment="1">
      <alignment horizontal="center"/>
    </xf>
    <xf numFmtId="0" fontId="13" fillId="0" borderId="0" xfId="0" applyFont="1" applyFill="1" applyBorder="1" applyAlignment="1">
      <alignment horizontal="center" vertical="top"/>
    </xf>
    <xf numFmtId="0" fontId="13" fillId="0" borderId="14" xfId="0" applyFont="1" applyFill="1" applyBorder="1" applyAlignment="1">
      <alignment horizontal="center" vertical="justify"/>
    </xf>
    <xf numFmtId="1" fontId="13" fillId="0" borderId="0" xfId="0" applyNumberFormat="1" applyFont="1" applyFill="1" applyAlignment="1">
      <alignment horizontal="center"/>
    </xf>
    <xf numFmtId="0" fontId="13" fillId="0" borderId="0" xfId="0" applyFont="1" applyFill="1" applyBorder="1" applyAlignment="1">
      <alignment horizontal="center" vertical="justify"/>
    </xf>
    <xf numFmtId="0" fontId="12" fillId="0" borderId="17" xfId="0" applyFont="1" applyFill="1" applyBorder="1" applyAlignment="1">
      <alignment horizontal="left"/>
    </xf>
    <xf numFmtId="0" fontId="13" fillId="0" borderId="6" xfId="0" applyFont="1" applyFill="1" applyBorder="1" applyAlignment="1"/>
    <xf numFmtId="1" fontId="13" fillId="0" borderId="0" xfId="0" applyNumberFormat="1" applyFont="1" applyFill="1" applyAlignment="1">
      <alignment horizontal="center" vertical="center" wrapText="1"/>
    </xf>
    <xf numFmtId="164" fontId="13" fillId="0" borderId="0" xfId="1" applyNumberFormat="1" applyFont="1" applyFill="1"/>
    <xf numFmtId="0" fontId="13" fillId="0" borderId="0" xfId="0" quotePrefix="1" applyFont="1" applyFill="1"/>
    <xf numFmtId="0" fontId="13" fillId="0" borderId="0" xfId="14" applyFont="1" applyFill="1" applyBorder="1"/>
    <xf numFmtId="0" fontId="13" fillId="0" borderId="0" xfId="14" applyFont="1" applyFill="1" applyBorder="1" applyAlignment="1">
      <alignment horizontal="center"/>
    </xf>
    <xf numFmtId="1" fontId="13" fillId="0" borderId="0" xfId="14" applyNumberFormat="1" applyFont="1" applyFill="1" applyBorder="1" applyAlignment="1">
      <alignment horizontal="center"/>
    </xf>
    <xf numFmtId="0" fontId="13" fillId="0" borderId="0" xfId="18" applyFont="1" applyFill="1" applyAlignment="1"/>
    <xf numFmtId="1" fontId="13" fillId="0" borderId="0" xfId="18" applyNumberFormat="1" applyFont="1" applyFill="1" applyAlignment="1">
      <alignment horizontal="center"/>
    </xf>
    <xf numFmtId="0" fontId="13" fillId="0" borderId="0" xfId="18" applyNumberFormat="1" applyFont="1" applyFill="1" applyAlignment="1">
      <alignment horizontal="center"/>
    </xf>
    <xf numFmtId="164" fontId="13" fillId="0" borderId="0" xfId="1" applyNumberFormat="1" applyFont="1" applyFill="1" applyAlignment="1">
      <alignment horizontal="center"/>
    </xf>
    <xf numFmtId="0" fontId="13" fillId="0" borderId="0" xfId="18" applyFont="1" applyFill="1" applyAlignment="1">
      <alignment horizontal="center"/>
    </xf>
    <xf numFmtId="3" fontId="13" fillId="0" borderId="0" xfId="22" applyNumberFormat="1" applyFont="1" applyFill="1" applyBorder="1"/>
    <xf numFmtId="175" fontId="13" fillId="0" borderId="0" xfId="0" applyNumberFormat="1" applyFont="1" applyFill="1" applyAlignment="1"/>
    <xf numFmtId="175" fontId="13" fillId="0" borderId="0" xfId="0" applyNumberFormat="1" applyFont="1" applyFill="1" applyAlignment="1">
      <alignment horizontal="right"/>
    </xf>
    <xf numFmtId="0" fontId="13" fillId="0" borderId="3" xfId="0" applyFont="1" applyFill="1" applyBorder="1" applyAlignment="1">
      <alignment horizontal="center"/>
    </xf>
    <xf numFmtId="0" fontId="13" fillId="0" borderId="0" xfId="0" quotePrefix="1" applyFont="1" applyFill="1" applyAlignment="1">
      <alignment horizontal="center"/>
    </xf>
    <xf numFmtId="175" fontId="13" fillId="0" borderId="0" xfId="0" applyNumberFormat="1" applyFont="1" applyFill="1" applyBorder="1" applyAlignment="1"/>
    <xf numFmtId="37" fontId="13" fillId="0" borderId="0" xfId="0" applyNumberFormat="1" applyFont="1" applyFill="1" applyAlignment="1">
      <alignment horizontal="center"/>
    </xf>
    <xf numFmtId="7" fontId="13" fillId="0" borderId="0" xfId="0" applyNumberFormat="1" applyFont="1" applyFill="1" applyAlignment="1">
      <alignment horizontal="center"/>
    </xf>
    <xf numFmtId="2" fontId="13" fillId="0" borderId="0" xfId="0" applyNumberFormat="1" applyFont="1" applyFill="1" applyAlignment="1">
      <alignment horizontal="center"/>
    </xf>
    <xf numFmtId="41" fontId="13" fillId="0" borderId="0" xfId="0" applyNumberFormat="1" applyFont="1" applyFill="1" applyAlignment="1"/>
    <xf numFmtId="185" fontId="13" fillId="0" borderId="0" xfId="0" applyNumberFormat="1" applyFont="1" applyFill="1" applyAlignment="1">
      <alignment horizontal="center"/>
    </xf>
    <xf numFmtId="188" fontId="13" fillId="0" borderId="0" xfId="0" applyNumberFormat="1" applyFont="1" applyFill="1"/>
    <xf numFmtId="185" fontId="13" fillId="0" borderId="0" xfId="0" applyNumberFormat="1" applyFont="1" applyFill="1"/>
    <xf numFmtId="0" fontId="16" fillId="0" borderId="0" xfId="0" applyFont="1" applyFill="1" applyAlignment="1">
      <alignment horizontal="left"/>
    </xf>
    <xf numFmtId="175" fontId="13" fillId="0" borderId="0" xfId="0" quotePrefix="1" applyNumberFormat="1" applyFont="1" applyFill="1" applyAlignment="1">
      <alignment horizontal="center"/>
    </xf>
    <xf numFmtId="5" fontId="13" fillId="0" borderId="0" xfId="0" applyNumberFormat="1" applyFont="1" applyFill="1" applyAlignment="1">
      <alignment horizontal="center"/>
    </xf>
    <xf numFmtId="0" fontId="13" fillId="0" borderId="0" xfId="0" applyFont="1" applyFill="1" applyAlignment="1">
      <alignment wrapText="1"/>
    </xf>
    <xf numFmtId="5" fontId="13" fillId="0" borderId="0" xfId="5" applyNumberFormat="1" applyFont="1" applyFill="1" applyBorder="1" applyAlignment="1">
      <alignment horizontal="right"/>
    </xf>
    <xf numFmtId="0" fontId="12" fillId="0" borderId="0" xfId="0" applyNumberFormat="1" applyFont="1" applyFill="1" applyBorder="1" applyProtection="1">
      <protection locked="0"/>
    </xf>
    <xf numFmtId="5" fontId="12" fillId="0" borderId="0" xfId="5" applyNumberFormat="1" applyFont="1" applyFill="1" applyBorder="1" applyAlignment="1">
      <alignment horizontal="right"/>
    </xf>
    <xf numFmtId="0" fontId="13" fillId="0" borderId="0" xfId="0" applyNumberFormat="1" applyFont="1" applyFill="1" applyBorder="1" applyProtection="1">
      <protection locked="0"/>
    </xf>
    <xf numFmtId="0" fontId="13" fillId="0" borderId="0" xfId="0" applyNumberFormat="1" applyFont="1" applyFill="1" applyBorder="1" applyAlignment="1" applyProtection="1">
      <alignment horizontal="right"/>
      <protection locked="0"/>
    </xf>
    <xf numFmtId="0" fontId="13" fillId="0" borderId="0" xfId="0" applyFont="1" applyFill="1" applyAlignment="1">
      <alignment horizontal="center" vertical="top" wrapText="1"/>
    </xf>
    <xf numFmtId="44" fontId="13" fillId="0" borderId="0" xfId="5" applyFont="1" applyFill="1"/>
    <xf numFmtId="0" fontId="13" fillId="0" borderId="0" xfId="0" applyFont="1" applyFill="1" applyAlignment="1">
      <alignment vertical="top"/>
    </xf>
    <xf numFmtId="0" fontId="13" fillId="0" borderId="0" xfId="0" applyFont="1" applyFill="1" applyAlignment="1">
      <alignment horizontal="left" vertical="top"/>
    </xf>
    <xf numFmtId="10" fontId="13" fillId="0" borderId="4" xfId="0" applyNumberFormat="1" applyFont="1" applyFill="1" applyBorder="1"/>
    <xf numFmtId="180" fontId="13" fillId="0" borderId="0" xfId="13" applyFont="1" applyFill="1" applyAlignment="1" applyProtection="1">
      <alignment horizontal="left"/>
    </xf>
    <xf numFmtId="14" fontId="13" fillId="0" borderId="0" xfId="13" applyNumberFormat="1" applyFont="1" applyFill="1" applyAlignment="1" applyProtection="1">
      <alignment horizontal="center"/>
    </xf>
    <xf numFmtId="37" fontId="13" fillId="0" borderId="0" xfId="13" applyNumberFormat="1" applyFont="1" applyFill="1" applyBorder="1" applyProtection="1"/>
    <xf numFmtId="176" fontId="13" fillId="0" borderId="0" xfId="13" applyNumberFormat="1" applyFont="1" applyFill="1" applyBorder="1" applyProtection="1"/>
    <xf numFmtId="171" fontId="13" fillId="0" borderId="0" xfId="13" applyNumberFormat="1" applyFont="1" applyFill="1" applyAlignment="1" applyProtection="1">
      <alignment horizontal="center"/>
    </xf>
    <xf numFmtId="171" fontId="13" fillId="0" borderId="0" xfId="13" applyNumberFormat="1" applyFont="1" applyFill="1" applyProtection="1"/>
    <xf numFmtId="181" fontId="13" fillId="0" borderId="0" xfId="13" applyNumberFormat="1" applyFont="1" applyFill="1" applyBorder="1" applyProtection="1"/>
    <xf numFmtId="181" fontId="13" fillId="0" borderId="0" xfId="13" applyNumberFormat="1" applyFont="1" applyFill="1" applyProtection="1"/>
    <xf numFmtId="179" fontId="13" fillId="0" borderId="0" xfId="13" applyNumberFormat="1" applyFont="1" applyFill="1" applyProtection="1"/>
    <xf numFmtId="166" fontId="13" fillId="0" borderId="4" xfId="5" applyNumberFormat="1" applyFont="1" applyFill="1" applyBorder="1"/>
    <xf numFmtId="0" fontId="16" fillId="0" borderId="7" xfId="0" applyFont="1" applyFill="1" applyBorder="1" applyAlignment="1">
      <alignment horizontal="left"/>
    </xf>
    <xf numFmtId="175" fontId="13" fillId="0" borderId="0" xfId="0" applyNumberFormat="1" applyFont="1" applyFill="1" applyProtection="1"/>
    <xf numFmtId="175" fontId="13" fillId="0" borderId="0" xfId="0" applyNumberFormat="1" applyFont="1" applyFill="1" applyAlignment="1" applyProtection="1">
      <alignment horizontal="left"/>
    </xf>
    <xf numFmtId="175" fontId="13" fillId="0" borderId="8" xfId="0" applyNumberFormat="1" applyFont="1" applyFill="1" applyBorder="1" applyProtection="1"/>
    <xf numFmtId="175" fontId="13" fillId="0" borderId="10" xfId="0" applyNumberFormat="1" applyFont="1" applyFill="1" applyBorder="1" applyProtection="1"/>
    <xf numFmtId="175" fontId="13" fillId="0" borderId="0" xfId="0" applyNumberFormat="1" applyFont="1" applyFill="1" applyBorder="1" applyProtection="1"/>
    <xf numFmtId="164" fontId="13" fillId="0" borderId="8" xfId="1" applyNumberFormat="1" applyFont="1" applyFill="1" applyBorder="1" applyProtection="1"/>
    <xf numFmtId="164" fontId="13" fillId="0" borderId="0" xfId="1" applyNumberFormat="1" applyFont="1" applyFill="1" applyProtection="1"/>
    <xf numFmtId="164" fontId="13" fillId="0" borderId="10" xfId="1" applyNumberFormat="1" applyFont="1" applyFill="1" applyBorder="1" applyProtection="1"/>
    <xf numFmtId="190" fontId="13" fillId="0" borderId="0" xfId="0" applyNumberFormat="1" applyFont="1" applyFill="1" applyProtection="1"/>
    <xf numFmtId="175" fontId="13" fillId="0" borderId="3" xfId="0" applyNumberFormat="1" applyFont="1" applyFill="1" applyBorder="1" applyProtection="1"/>
    <xf numFmtId="175" fontId="13" fillId="0" borderId="9" xfId="0" applyNumberFormat="1" applyFont="1" applyFill="1" applyBorder="1" applyProtection="1"/>
    <xf numFmtId="0" fontId="13" fillId="0" borderId="3" xfId="0" applyFont="1" applyFill="1" applyBorder="1"/>
    <xf numFmtId="175" fontId="13" fillId="0" borderId="0" xfId="1" applyNumberFormat="1" applyFont="1" applyFill="1" applyAlignment="1"/>
    <xf numFmtId="175" fontId="13" fillId="0" borderId="0" xfId="1" applyNumberFormat="1" applyFont="1" applyFill="1" applyBorder="1" applyAlignment="1"/>
    <xf numFmtId="164" fontId="13" fillId="0" borderId="0" xfId="1" applyNumberFormat="1" applyFont="1" applyFill="1" applyAlignment="1"/>
    <xf numFmtId="164" fontId="13" fillId="0" borderId="0" xfId="1" applyNumberFormat="1" applyFont="1" applyFill="1" applyBorder="1" applyAlignment="1"/>
    <xf numFmtId="186" fontId="13" fillId="0" borderId="0" xfId="0" applyNumberFormat="1" applyFont="1" applyFill="1" applyAlignment="1">
      <alignment horizontal="center"/>
    </xf>
    <xf numFmtId="44" fontId="13" fillId="0" borderId="0" xfId="5" applyFont="1" applyFill="1" applyAlignment="1">
      <alignment horizontal="center"/>
    </xf>
    <xf numFmtId="0" fontId="13" fillId="0" borderId="0" xfId="0" quotePrefix="1" applyFont="1" applyFill="1" applyAlignment="1"/>
    <xf numFmtId="0" fontId="13" fillId="0" borderId="0" xfId="0" applyFont="1" applyFill="1" applyAlignment="1">
      <alignment horizontal="center" wrapText="1"/>
    </xf>
    <xf numFmtId="175" fontId="15" fillId="0" borderId="0" xfId="0" applyNumberFormat="1" applyFont="1" applyFill="1" applyAlignment="1"/>
    <xf numFmtId="8" fontId="13" fillId="0" borderId="0" xfId="0" applyNumberFormat="1" applyFont="1" applyFill="1" applyAlignment="1">
      <alignment horizontal="center" vertical="top"/>
    </xf>
    <xf numFmtId="1" fontId="13" fillId="0" borderId="3" xfId="0" quotePrefix="1" applyNumberFormat="1" applyFont="1" applyFill="1" applyBorder="1"/>
    <xf numFmtId="8" fontId="13" fillId="0" borderId="3" xfId="0" quotePrefix="1" applyNumberFormat="1" applyFont="1" applyFill="1" applyBorder="1" applyAlignment="1">
      <alignment horizontal="left"/>
    </xf>
    <xf numFmtId="185" fontId="13" fillId="0" borderId="3" xfId="0" quotePrefix="1" applyNumberFormat="1" applyFont="1" applyFill="1" applyBorder="1" applyAlignment="1">
      <alignment horizontal="left"/>
    </xf>
    <xf numFmtId="1" fontId="13" fillId="0" borderId="0" xfId="0" applyNumberFormat="1" applyFont="1" applyFill="1" applyAlignment="1">
      <alignment horizontal="right"/>
    </xf>
    <xf numFmtId="0" fontId="13" fillId="0" borderId="0" xfId="0" applyFont="1" applyFill="1" applyAlignment="1">
      <alignment horizontal="left" indent="1"/>
    </xf>
    <xf numFmtId="0" fontId="13" fillId="0" borderId="0" xfId="0" applyFont="1" applyFill="1" applyAlignment="1">
      <alignment horizontal="left" wrapText="1" indent="1"/>
    </xf>
    <xf numFmtId="0" fontId="13" fillId="0" borderId="0" xfId="7" applyFont="1" applyFill="1"/>
    <xf numFmtId="40" fontId="13" fillId="0" borderId="0" xfId="2" applyFont="1" applyFill="1"/>
    <xf numFmtId="0" fontId="13" fillId="0" borderId="0" xfId="7" applyFont="1" applyFill="1" applyAlignment="1">
      <alignment horizontal="center"/>
    </xf>
    <xf numFmtId="0" fontId="13" fillId="0" borderId="0" xfId="7" applyFont="1" applyFill="1" applyAlignment="1"/>
    <xf numFmtId="0" fontId="12" fillId="0" borderId="1" xfId="24" applyFont="1" applyFill="1" applyAlignment="1">
      <alignment horizontal="center" wrapText="1"/>
    </xf>
    <xf numFmtId="10" fontId="13" fillId="0" borderId="0" xfId="22" applyNumberFormat="1" applyFont="1" applyFill="1"/>
    <xf numFmtId="40" fontId="13" fillId="0" borderId="0" xfId="2" applyFont="1" applyFill="1" applyAlignment="1">
      <alignment horizontal="center"/>
    </xf>
    <xf numFmtId="43" fontId="13" fillId="0" borderId="0" xfId="1" applyNumberFormat="1" applyFont="1" applyFill="1" applyAlignment="1">
      <alignment horizontal="center"/>
    </xf>
    <xf numFmtId="4" fontId="13" fillId="0" borderId="0" xfId="7" applyNumberFormat="1" applyFont="1" applyFill="1"/>
    <xf numFmtId="164" fontId="13" fillId="0" borderId="4" xfId="1" applyNumberFormat="1" applyFont="1" applyFill="1" applyBorder="1"/>
    <xf numFmtId="175" fontId="13" fillId="0" borderId="0" xfId="0" quotePrefix="1" applyNumberFormat="1" applyFont="1" applyFill="1" applyAlignment="1" applyProtection="1">
      <alignment horizontal="left"/>
    </xf>
    <xf numFmtId="175" fontId="12" fillId="0" borderId="0" xfId="0" applyNumberFormat="1" applyFont="1" applyFill="1" applyAlignment="1" applyProtection="1">
      <alignment horizontal="left"/>
    </xf>
    <xf numFmtId="49" fontId="13" fillId="0" borderId="0" xfId="15" applyNumberFormat="1" applyFont="1" applyFill="1"/>
    <xf numFmtId="44" fontId="13" fillId="0" borderId="0" xfId="5" applyFont="1" applyFill="1" applyBorder="1"/>
    <xf numFmtId="49" fontId="13" fillId="0" borderId="0" xfId="15" applyNumberFormat="1" applyFont="1" applyFill="1" applyAlignment="1">
      <alignment wrapText="1"/>
    </xf>
    <xf numFmtId="1" fontId="12" fillId="0" borderId="1" xfId="24" applyNumberFormat="1" applyFont="1" applyFill="1" applyAlignment="1">
      <alignment horizontal="center" wrapText="1"/>
    </xf>
    <xf numFmtId="0" fontId="12" fillId="0" borderId="1" xfId="14" applyFont="1" applyFill="1" applyBorder="1" applyAlignment="1">
      <alignment horizontal="center" wrapText="1"/>
    </xf>
    <xf numFmtId="0" fontId="13" fillId="0" borderId="0" xfId="18" applyFont="1" applyFill="1" applyAlignment="1">
      <alignment horizontal="right"/>
    </xf>
    <xf numFmtId="0" fontId="12" fillId="0" borderId="0" xfId="7" applyFont="1" applyFill="1" applyAlignment="1">
      <alignment horizontal="left"/>
    </xf>
    <xf numFmtId="0" fontId="13" fillId="0" borderId="0" xfId="0" applyFont="1" applyFill="1" applyAlignment="1">
      <alignment horizontal="center" vertical="top"/>
    </xf>
    <xf numFmtId="0" fontId="13" fillId="0" borderId="0" xfId="0" applyFont="1" applyFill="1" applyBorder="1" applyAlignment="1">
      <alignment horizontal="center"/>
    </xf>
    <xf numFmtId="0" fontId="36" fillId="0" borderId="0" xfId="0" applyFont="1" applyFill="1"/>
    <xf numFmtId="0" fontId="12" fillId="0" borderId="0" xfId="7" applyFont="1" applyFill="1" applyBorder="1" applyAlignment="1">
      <alignment horizontal="center"/>
    </xf>
    <xf numFmtId="40" fontId="12" fillId="0" borderId="1" xfId="2" applyFont="1" applyFill="1" applyBorder="1" applyAlignment="1">
      <alignment horizontal="center" wrapText="1"/>
    </xf>
    <xf numFmtId="43" fontId="13" fillId="0" borderId="0" xfId="1" applyNumberFormat="1" applyFont="1" applyFill="1" applyAlignment="1"/>
    <xf numFmtId="164" fontId="17" fillId="0" borderId="0" xfId="1" applyNumberFormat="1" applyFont="1" applyFill="1"/>
    <xf numFmtId="0" fontId="13" fillId="0" borderId="0" xfId="0" applyFont="1" applyFill="1" applyAlignment="1"/>
    <xf numFmtId="0" fontId="13" fillId="0" borderId="0" xfId="0" applyFont="1" applyFill="1" applyAlignment="1">
      <alignment horizontal="right"/>
    </xf>
    <xf numFmtId="191" fontId="13" fillId="0" borderId="0" xfId="0" applyNumberFormat="1" applyFont="1" applyFill="1" applyAlignment="1" applyProtection="1">
      <alignment horizontal="right"/>
    </xf>
    <xf numFmtId="6" fontId="13" fillId="0" borderId="4" xfId="0" applyNumberFormat="1" applyFont="1" applyFill="1" applyBorder="1" applyAlignment="1">
      <alignment vertical="justify"/>
    </xf>
    <xf numFmtId="6" fontId="13" fillId="0" borderId="4" xfId="0" applyNumberFormat="1" applyFont="1" applyFill="1" applyBorder="1"/>
    <xf numFmtId="38" fontId="13" fillId="0" borderId="4" xfId="0" applyNumberFormat="1" applyFont="1" applyFill="1" applyBorder="1" applyAlignment="1">
      <alignment vertical="justify"/>
    </xf>
    <xf numFmtId="166" fontId="13" fillId="0" borderId="0" xfId="5" applyNumberFormat="1" applyFont="1" applyFill="1" applyBorder="1" applyProtection="1"/>
    <xf numFmtId="49" fontId="13" fillId="0" borderId="0" xfId="15" applyNumberFormat="1" applyFont="1" applyFill="1" applyProtection="1">
      <protection locked="0"/>
    </xf>
    <xf numFmtId="44" fontId="13" fillId="0" borderId="0" xfId="5" applyFont="1" applyFill="1" applyProtection="1">
      <protection locked="0"/>
    </xf>
    <xf numFmtId="0" fontId="12" fillId="0" borderId="1" xfId="24" applyFont="1" applyFill="1" applyAlignment="1" applyProtection="1">
      <alignment horizontal="center" wrapText="1"/>
      <protection locked="0"/>
    </xf>
    <xf numFmtId="40" fontId="13" fillId="0" borderId="0" xfId="2" applyFont="1" applyFill="1" applyAlignment="1" applyProtection="1">
      <alignment horizontal="center"/>
      <protection locked="0"/>
    </xf>
    <xf numFmtId="0" fontId="13" fillId="0" borderId="0" xfId="0" applyFont="1" applyFill="1" applyAlignment="1" applyProtection="1">
      <alignment wrapText="1"/>
      <protection locked="0"/>
    </xf>
    <xf numFmtId="0" fontId="13" fillId="0" borderId="0" xfId="0" applyFont="1" applyFill="1" applyProtection="1"/>
    <xf numFmtId="0" fontId="13" fillId="0" borderId="0" xfId="0" applyFont="1" applyFill="1" applyAlignment="1" applyProtection="1">
      <alignment horizontal="left"/>
    </xf>
    <xf numFmtId="0" fontId="12" fillId="0" borderId="0" xfId="0" applyFont="1" applyFill="1" applyAlignment="1" applyProtection="1">
      <alignment horizontal="right"/>
    </xf>
    <xf numFmtId="164" fontId="12" fillId="0" borderId="0" xfId="1" applyNumberFormat="1" applyFont="1" applyFill="1" applyAlignment="1" applyProtection="1">
      <alignment horizontal="right"/>
    </xf>
    <xf numFmtId="0" fontId="12" fillId="0" borderId="0" xfId="0" applyFont="1" applyFill="1" applyProtection="1"/>
    <xf numFmtId="164" fontId="13" fillId="0" borderId="0" xfId="1" applyNumberFormat="1" applyFont="1" applyFill="1" applyAlignment="1" applyProtection="1">
      <alignment horizontal="right"/>
    </xf>
    <xf numFmtId="0" fontId="13" fillId="0" borderId="0" xfId="0" applyFont="1" applyFill="1" applyAlignment="1" applyProtection="1">
      <alignment horizontal="right"/>
    </xf>
    <xf numFmtId="170" fontId="13" fillId="0" borderId="0" xfId="1" applyNumberFormat="1" applyFont="1" applyFill="1" applyAlignment="1" applyProtection="1">
      <alignment horizontal="right"/>
    </xf>
    <xf numFmtId="0" fontId="13" fillId="0" borderId="0" xfId="0" quotePrefix="1" applyFont="1" applyFill="1" applyAlignment="1" applyProtection="1">
      <alignment horizontal="right"/>
    </xf>
    <xf numFmtId="174" fontId="13" fillId="0" borderId="0" xfId="1" applyNumberFormat="1" applyFont="1" applyFill="1" applyAlignment="1" applyProtection="1">
      <alignment horizontal="right"/>
    </xf>
    <xf numFmtId="164" fontId="13" fillId="0" borderId="0" xfId="0" applyNumberFormat="1" applyFont="1" applyFill="1" applyProtection="1"/>
    <xf numFmtId="37" fontId="13" fillId="0" borderId="0" xfId="0" applyNumberFormat="1" applyFont="1" applyFill="1" applyAlignment="1" applyProtection="1">
      <alignment horizontal="right"/>
    </xf>
    <xf numFmtId="3" fontId="13" fillId="0" borderId="0" xfId="0" applyNumberFormat="1" applyFont="1" applyFill="1" applyProtection="1"/>
    <xf numFmtId="37" fontId="13" fillId="0" borderId="0" xfId="0" applyNumberFormat="1" applyFont="1" applyFill="1" applyProtection="1"/>
    <xf numFmtId="172" fontId="13" fillId="0" borderId="0" xfId="0" applyNumberFormat="1" applyFont="1" applyFill="1" applyProtection="1"/>
    <xf numFmtId="41" fontId="13" fillId="0" borderId="0" xfId="0" applyNumberFormat="1" applyFont="1" applyFill="1" applyProtection="1"/>
    <xf numFmtId="37" fontId="15" fillId="0" borderId="0" xfId="0" applyNumberFormat="1" applyFont="1" applyFill="1" applyProtection="1"/>
    <xf numFmtId="164" fontId="13" fillId="0" borderId="0" xfId="0" applyNumberFormat="1" applyFont="1" applyFill="1" applyBorder="1" applyProtection="1"/>
    <xf numFmtId="0" fontId="16" fillId="0" borderId="0" xfId="0" applyFont="1" applyFill="1" applyProtection="1"/>
    <xf numFmtId="0" fontId="12" fillId="0" borderId="0" xfId="0" applyNumberFormat="1" applyFont="1" applyFill="1" applyBorder="1" applyProtection="1"/>
    <xf numFmtId="5" fontId="12" fillId="0" borderId="0" xfId="5" applyNumberFormat="1" applyFont="1" applyFill="1" applyBorder="1" applyAlignment="1" applyProtection="1">
      <alignment horizontal="right"/>
    </xf>
    <xf numFmtId="0" fontId="13" fillId="0" borderId="0" xfId="0" applyNumberFormat="1" applyFont="1" applyFill="1" applyBorder="1" applyProtection="1"/>
    <xf numFmtId="175" fontId="15" fillId="0" borderId="0" xfId="0" applyNumberFormat="1" applyFont="1" applyFill="1" applyBorder="1" applyProtection="1"/>
    <xf numFmtId="0" fontId="13" fillId="0" borderId="0" xfId="0" applyNumberFormat="1" applyFont="1" applyFill="1" applyBorder="1" applyAlignment="1" applyProtection="1">
      <alignment horizontal="right"/>
    </xf>
    <xf numFmtId="5" fontId="13" fillId="0" borderId="0" xfId="5" applyNumberFormat="1" applyFont="1" applyFill="1" applyBorder="1" applyAlignment="1" applyProtection="1">
      <alignment horizontal="right"/>
    </xf>
    <xf numFmtId="0" fontId="13" fillId="0" borderId="0" xfId="0" applyFont="1" applyFill="1" applyBorder="1" applyProtection="1"/>
    <xf numFmtId="0" fontId="13" fillId="0" borderId="0" xfId="0" applyFont="1" applyFill="1" applyBorder="1" applyAlignment="1" applyProtection="1">
      <alignment horizontal="right"/>
    </xf>
    <xf numFmtId="10" fontId="13" fillId="0" borderId="0" xfId="17" applyNumberFormat="1" applyFont="1" applyFill="1" applyBorder="1" applyProtection="1"/>
    <xf numFmtId="0" fontId="13" fillId="0" borderId="0" xfId="0" applyFont="1" applyFill="1" applyBorder="1" applyAlignment="1" applyProtection="1">
      <alignment horizontal="left"/>
    </xf>
    <xf numFmtId="175" fontId="55" fillId="0" borderId="0" xfId="0" applyNumberFormat="1" applyFont="1" applyFill="1" applyProtection="1"/>
    <xf numFmtId="0" fontId="12" fillId="0" borderId="0" xfId="0" applyFont="1" applyFill="1" applyAlignment="1" applyProtection="1"/>
    <xf numFmtId="0" fontId="13" fillId="0" borderId="0" xfId="24" applyFont="1" applyFill="1" applyBorder="1" applyAlignment="1" applyProtection="1">
      <alignment horizontal="center" wrapText="1"/>
    </xf>
    <xf numFmtId="0" fontId="13" fillId="0" borderId="1" xfId="24" applyFont="1" applyFill="1" applyAlignment="1" applyProtection="1">
      <alignment horizontal="center" wrapText="1"/>
    </xf>
    <xf numFmtId="43" fontId="13" fillId="0" borderId="1" xfId="1" applyFont="1" applyFill="1" applyBorder="1" applyAlignment="1" applyProtection="1">
      <alignment horizontal="center" wrapText="1"/>
    </xf>
    <xf numFmtId="0" fontId="13" fillId="0" borderId="0" xfId="18" applyFont="1" applyFill="1" applyAlignment="1" applyProtection="1"/>
    <xf numFmtId="0" fontId="13" fillId="0" borderId="0" xfId="18" applyFont="1" applyFill="1" applyBorder="1" applyAlignment="1" applyProtection="1"/>
    <xf numFmtId="166" fontId="13" fillId="0" borderId="21" xfId="1" applyNumberFormat="1" applyFont="1" applyFill="1" applyBorder="1" applyProtection="1"/>
    <xf numFmtId="43" fontId="13" fillId="0" borderId="0" xfId="1" applyFont="1" applyFill="1" applyBorder="1" applyProtection="1"/>
    <xf numFmtId="43" fontId="13" fillId="0" borderId="0" xfId="1" applyFont="1" applyFill="1" applyProtection="1"/>
    <xf numFmtId="10" fontId="13" fillId="0" borderId="0" xfId="0" applyNumberFormat="1" applyFont="1" applyFill="1" applyAlignment="1" applyProtection="1">
      <alignment horizontal="left"/>
    </xf>
    <xf numFmtId="166" fontId="13" fillId="0" borderId="0" xfId="0" applyNumberFormat="1" applyFont="1" applyFill="1" applyProtection="1"/>
    <xf numFmtId="10" fontId="13" fillId="0" borderId="0" xfId="0" applyNumberFormat="1" applyFont="1" applyFill="1" applyProtection="1"/>
    <xf numFmtId="0" fontId="13" fillId="0" borderId="0" xfId="0" quotePrefix="1" applyFont="1" applyFill="1" applyAlignment="1" applyProtection="1">
      <alignment horizontal="center"/>
    </xf>
    <xf numFmtId="166" fontId="13" fillId="0" borderId="4" xfId="0" applyNumberFormat="1" applyFont="1" applyFill="1" applyBorder="1" applyProtection="1"/>
    <xf numFmtId="0" fontId="13" fillId="0" borderId="0" xfId="0" applyFont="1" applyFill="1"/>
    <xf numFmtId="0" fontId="13" fillId="0" borderId="0" xfId="0" applyFont="1" applyFill="1" applyAlignment="1">
      <alignment horizontal="left"/>
    </xf>
    <xf numFmtId="164" fontId="13" fillId="0" borderId="3" xfId="1" applyNumberFormat="1" applyFont="1" applyFill="1" applyBorder="1"/>
    <xf numFmtId="41" fontId="12" fillId="0" borderId="0" xfId="0" applyNumberFormat="1" applyFont="1" applyFill="1" applyAlignment="1" applyProtection="1">
      <alignment horizontal="center"/>
    </xf>
    <xf numFmtId="42" fontId="13" fillId="0" borderId="0" xfId="0" applyNumberFormat="1" applyFont="1" applyFill="1" applyProtection="1"/>
    <xf numFmtId="41" fontId="13" fillId="0" borderId="0" xfId="0" applyNumberFormat="1" applyFont="1" applyFill="1" applyBorder="1" applyProtection="1"/>
    <xf numFmtId="0" fontId="13" fillId="0" borderId="0" xfId="0" quotePrefix="1" applyFont="1" applyFill="1" applyBorder="1" applyAlignment="1" applyProtection="1">
      <alignment horizontal="right"/>
    </xf>
    <xf numFmtId="0" fontId="12" fillId="0" borderId="0" xfId="0" applyFont="1" applyFill="1" applyBorder="1" applyProtection="1"/>
    <xf numFmtId="42" fontId="13" fillId="0" borderId="0" xfId="0" applyNumberFormat="1" applyFont="1" applyFill="1" applyBorder="1" applyProtection="1"/>
    <xf numFmtId="0" fontId="12" fillId="0" borderId="0" xfId="0" applyFont="1" applyFill="1" applyAlignment="1" applyProtection="1">
      <alignment horizontal="centerContinuous"/>
    </xf>
    <xf numFmtId="164" fontId="12" fillId="0" borderId="0" xfId="1" applyNumberFormat="1" applyFont="1" applyFill="1" applyAlignment="1" applyProtection="1">
      <alignment horizontal="centerContinuous"/>
    </xf>
    <xf numFmtId="16" fontId="13" fillId="0" borderId="0" xfId="0" applyNumberFormat="1" applyFont="1" applyFill="1" applyProtection="1"/>
    <xf numFmtId="192" fontId="13" fillId="0" borderId="0" xfId="1" applyNumberFormat="1" applyFont="1" applyFill="1" applyAlignment="1" applyProtection="1">
      <alignment horizontal="right"/>
    </xf>
    <xf numFmtId="195" fontId="13" fillId="0" borderId="0" xfId="0" applyNumberFormat="1" applyFont="1" applyFill="1" applyProtection="1"/>
    <xf numFmtId="170" fontId="13" fillId="0" borderId="0" xfId="0" applyNumberFormat="1" applyFont="1" applyFill="1" applyProtection="1"/>
    <xf numFmtId="165" fontId="13" fillId="0" borderId="0" xfId="1" applyNumberFormat="1" applyFont="1" applyFill="1" applyAlignment="1" applyProtection="1">
      <alignment horizontal="right"/>
    </xf>
    <xf numFmtId="183" fontId="13" fillId="0" borderId="0" xfId="1" applyNumberFormat="1" applyFont="1" applyFill="1" applyAlignment="1" applyProtection="1">
      <alignment horizontal="right"/>
    </xf>
    <xf numFmtId="0" fontId="34" fillId="0" borderId="0" xfId="0" applyFont="1" applyFill="1" applyAlignment="1" applyProtection="1">
      <alignment horizontal="center"/>
    </xf>
    <xf numFmtId="0" fontId="13" fillId="0" borderId="3" xfId="0" applyFont="1" applyFill="1" applyBorder="1" applyAlignment="1" applyProtection="1">
      <alignment horizontal="right"/>
    </xf>
    <xf numFmtId="0" fontId="34" fillId="0" borderId="3" xfId="0" applyFont="1" applyFill="1" applyBorder="1" applyAlignment="1" applyProtection="1">
      <alignment horizontal="center"/>
    </xf>
    <xf numFmtId="0" fontId="13" fillId="0" borderId="11" xfId="0" applyFont="1" applyFill="1" applyBorder="1" applyAlignment="1" applyProtection="1">
      <alignment horizontal="right"/>
    </xf>
    <xf numFmtId="0" fontId="13" fillId="0" borderId="13" xfId="0" applyFont="1" applyFill="1" applyBorder="1" applyAlignment="1" applyProtection="1">
      <alignment horizontal="right"/>
    </xf>
    <xf numFmtId="0" fontId="13" fillId="0" borderId="14" xfId="0" applyFont="1" applyFill="1" applyBorder="1" applyProtection="1"/>
    <xf numFmtId="0" fontId="15" fillId="0" borderId="0" xfId="0" applyFont="1" applyFill="1" applyBorder="1" applyAlignment="1" applyProtection="1">
      <alignment horizontal="center"/>
    </xf>
    <xf numFmtId="0" fontId="15" fillId="0" borderId="14" xfId="0" applyFont="1" applyFill="1" applyBorder="1" applyAlignment="1" applyProtection="1">
      <alignment horizontal="center"/>
    </xf>
    <xf numFmtId="0" fontId="15" fillId="0" borderId="0" xfId="0" applyFont="1" applyFill="1" applyAlignment="1" applyProtection="1">
      <alignment horizontal="center"/>
    </xf>
    <xf numFmtId="0" fontId="13" fillId="0" borderId="13" xfId="0" applyFont="1" applyFill="1" applyBorder="1" applyAlignment="1" applyProtection="1">
      <alignment horizontal="right" vertical="center"/>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vertical="center" wrapText="1"/>
    </xf>
    <xf numFmtId="0" fontId="13" fillId="0" borderId="14" xfId="0" applyFont="1" applyFill="1" applyBorder="1" applyAlignment="1" applyProtection="1">
      <alignment horizontal="center" vertical="center" wrapText="1"/>
    </xf>
    <xf numFmtId="0" fontId="13" fillId="0" borderId="0" xfId="0" applyFont="1" applyFill="1" applyAlignment="1" applyProtection="1">
      <alignment horizontal="center" vertical="center"/>
    </xf>
    <xf numFmtId="0" fontId="13" fillId="0" borderId="0" xfId="0" applyFont="1" applyFill="1" applyAlignment="1" applyProtection="1">
      <alignment vertical="center"/>
    </xf>
    <xf numFmtId="1" fontId="13" fillId="0" borderId="0" xfId="0" applyNumberFormat="1" applyFont="1" applyFill="1" applyBorder="1" applyAlignment="1" applyProtection="1">
      <alignment horizontal="center"/>
    </xf>
    <xf numFmtId="1" fontId="13" fillId="0" borderId="14" xfId="0" applyNumberFormat="1" applyFont="1" applyFill="1" applyBorder="1" applyAlignment="1" applyProtection="1">
      <alignment horizontal="center"/>
    </xf>
    <xf numFmtId="1" fontId="13" fillId="0" borderId="0" xfId="0" applyNumberFormat="1" applyFont="1" applyFill="1" applyAlignment="1" applyProtection="1">
      <alignment horizontal="left"/>
    </xf>
    <xf numFmtId="1" fontId="13" fillId="0" borderId="0" xfId="0" applyNumberFormat="1" applyFont="1" applyFill="1" applyAlignment="1" applyProtection="1">
      <alignment horizontal="center"/>
    </xf>
    <xf numFmtId="1" fontId="13" fillId="0" borderId="4" xfId="0" applyNumberFormat="1" applyFont="1" applyFill="1" applyBorder="1" applyAlignment="1" applyProtection="1">
      <alignment horizontal="center"/>
    </xf>
    <xf numFmtId="176" fontId="13" fillId="0" borderId="0" xfId="0" applyNumberFormat="1" applyFont="1" applyFill="1" applyBorder="1" applyAlignment="1" applyProtection="1">
      <alignment horizontal="center"/>
    </xf>
    <xf numFmtId="0" fontId="13" fillId="0" borderId="3" xfId="0" applyFont="1" applyFill="1" applyBorder="1" applyAlignment="1" applyProtection="1">
      <alignment horizontal="center"/>
    </xf>
    <xf numFmtId="0" fontId="15" fillId="0" borderId="13" xfId="0" applyFont="1" applyFill="1" applyBorder="1" applyAlignment="1" applyProtection="1">
      <alignment horizontal="center"/>
    </xf>
    <xf numFmtId="0" fontId="13" fillId="0" borderId="16" xfId="0" applyFont="1" applyFill="1" applyBorder="1" applyAlignment="1" applyProtection="1">
      <alignment horizontal="right"/>
    </xf>
    <xf numFmtId="1" fontId="13" fillId="0" borderId="3" xfId="0" applyNumberFormat="1" applyFont="1" applyFill="1" applyBorder="1" applyAlignment="1" applyProtection="1">
      <alignment horizontal="center"/>
    </xf>
    <xf numFmtId="1" fontId="13" fillId="0" borderId="15" xfId="0" applyNumberFormat="1" applyFont="1" applyFill="1" applyBorder="1" applyAlignment="1" applyProtection="1">
      <alignment horizontal="center"/>
    </xf>
    <xf numFmtId="0" fontId="13" fillId="0" borderId="0" xfId="0" applyFont="1" applyFill="1" applyBorder="1" applyAlignment="1" applyProtection="1"/>
    <xf numFmtId="0" fontId="12" fillId="0" borderId="13" xfId="0" applyFont="1" applyFill="1" applyBorder="1" applyAlignment="1" applyProtection="1">
      <alignment horizontal="right"/>
    </xf>
    <xf numFmtId="0" fontId="16" fillId="0" borderId="0" xfId="0" applyFont="1" applyFill="1" applyBorder="1" applyAlignment="1" applyProtection="1">
      <alignment horizontal="center"/>
    </xf>
    <xf numFmtId="0" fontId="12" fillId="0" borderId="13" xfId="0" applyFont="1" applyFill="1" applyBorder="1" applyAlignment="1" applyProtection="1">
      <alignment horizontal="right" vertical="center"/>
    </xf>
    <xf numFmtId="14" fontId="13" fillId="0" borderId="0" xfId="0" applyNumberFormat="1" applyFont="1" applyFill="1" applyBorder="1" applyAlignment="1" applyProtection="1">
      <alignment wrapText="1"/>
    </xf>
    <xf numFmtId="14" fontId="13" fillId="0" borderId="0" xfId="0" applyNumberFormat="1" applyFont="1" applyFill="1" applyAlignment="1" applyProtection="1">
      <alignment horizontal="center"/>
    </xf>
    <xf numFmtId="0" fontId="13" fillId="0" borderId="3" xfId="0" applyFont="1" applyFill="1" applyBorder="1" applyAlignment="1" applyProtection="1">
      <alignment horizontal="centerContinuous"/>
    </xf>
    <xf numFmtId="41" fontId="13" fillId="0" borderId="3" xfId="0" applyNumberFormat="1" applyFont="1" applyFill="1" applyBorder="1" applyAlignment="1" applyProtection="1">
      <alignment horizontal="centerContinuous"/>
    </xf>
    <xf numFmtId="41" fontId="13" fillId="0" borderId="3" xfId="0" applyNumberFormat="1" applyFont="1" applyFill="1" applyBorder="1" applyAlignment="1" applyProtection="1">
      <alignment horizontal="center"/>
    </xf>
    <xf numFmtId="0" fontId="15" fillId="0" borderId="0" xfId="0" applyFont="1" applyFill="1" applyAlignment="1" applyProtection="1">
      <alignment horizontal="right"/>
    </xf>
    <xf numFmtId="41" fontId="15" fillId="0" borderId="0" xfId="0" applyNumberFormat="1" applyFont="1" applyFill="1" applyAlignment="1" applyProtection="1">
      <alignment horizontal="right"/>
    </xf>
    <xf numFmtId="168" fontId="13" fillId="0" borderId="0" xfId="0" applyNumberFormat="1" applyFont="1" applyFill="1" applyProtection="1"/>
    <xf numFmtId="169" fontId="13" fillId="0" borderId="0" xfId="0" applyNumberFormat="1" applyFont="1" applyFill="1" applyProtection="1"/>
    <xf numFmtId="0" fontId="27" fillId="0" borderId="0" xfId="0" applyFont="1" applyFill="1" applyProtection="1"/>
    <xf numFmtId="168" fontId="12" fillId="0" borderId="0" xfId="0" applyNumberFormat="1" applyFont="1" applyFill="1" applyAlignment="1" applyProtection="1">
      <alignment horizontal="left"/>
    </xf>
    <xf numFmtId="168" fontId="13" fillId="0" borderId="0" xfId="0" applyNumberFormat="1" applyFont="1" applyFill="1" applyAlignment="1" applyProtection="1">
      <alignment horizontal="left"/>
    </xf>
    <xf numFmtId="0" fontId="16" fillId="0" borderId="0" xfId="0" applyFont="1" applyFill="1" applyBorder="1" applyProtection="1"/>
    <xf numFmtId="168" fontId="13" fillId="0" borderId="0" xfId="0" applyNumberFormat="1" applyFont="1" applyFill="1" applyBorder="1" applyAlignment="1" applyProtection="1">
      <alignment horizontal="right"/>
    </xf>
    <xf numFmtId="169" fontId="12" fillId="0" borderId="0" xfId="0" applyNumberFormat="1" applyFont="1" applyFill="1" applyBorder="1" applyProtection="1"/>
    <xf numFmtId="0" fontId="12" fillId="0" borderId="0" xfId="0" applyFont="1" applyFill="1" applyBorder="1" applyAlignment="1" applyProtection="1">
      <alignment horizontal="left"/>
    </xf>
    <xf numFmtId="1" fontId="13" fillId="0" borderId="0" xfId="17" applyNumberFormat="1" applyFont="1" applyFill="1" applyBorder="1" applyProtection="1"/>
    <xf numFmtId="3" fontId="13" fillId="0" borderId="0" xfId="0" applyNumberFormat="1" applyFont="1" applyFill="1" applyBorder="1" applyProtection="1"/>
    <xf numFmtId="169" fontId="13" fillId="0" borderId="0" xfId="0" applyNumberFormat="1" applyFont="1" applyFill="1" applyBorder="1" applyProtection="1"/>
    <xf numFmtId="10" fontId="13" fillId="0" borderId="0" xfId="17" applyNumberFormat="1" applyFont="1" applyFill="1" applyProtection="1"/>
    <xf numFmtId="0" fontId="13" fillId="0" borderId="0" xfId="14" applyFont="1" applyFill="1" applyBorder="1" applyProtection="1"/>
    <xf numFmtId="0" fontId="13" fillId="0" borderId="0" xfId="14" applyFont="1" applyFill="1" applyBorder="1" applyAlignment="1" applyProtection="1">
      <alignment horizontal="center"/>
    </xf>
    <xf numFmtId="0" fontId="12" fillId="0" borderId="0" xfId="14" applyFont="1" applyFill="1" applyBorder="1" applyProtection="1"/>
    <xf numFmtId="1" fontId="13" fillId="0" borderId="0" xfId="14" applyNumberFormat="1" applyFont="1" applyFill="1" applyBorder="1" applyAlignment="1" applyProtection="1">
      <alignment horizontal="center"/>
    </xf>
    <xf numFmtId="1" fontId="12" fillId="0" borderId="0" xfId="14" applyNumberFormat="1" applyFont="1" applyFill="1" applyBorder="1" applyAlignment="1" applyProtection="1">
      <alignment horizontal="center"/>
    </xf>
    <xf numFmtId="0" fontId="12" fillId="0" borderId="3" xfId="14" applyFont="1" applyFill="1" applyBorder="1" applyAlignment="1" applyProtection="1">
      <alignment horizontal="center"/>
    </xf>
    <xf numFmtId="0" fontId="12" fillId="0" borderId="0" xfId="24" applyFont="1" applyFill="1" applyBorder="1" applyAlignment="1" applyProtection="1">
      <alignment horizontal="center" wrapText="1"/>
    </xf>
    <xf numFmtId="1" fontId="12" fillId="0" borderId="0" xfId="24" applyNumberFormat="1" applyFont="1" applyFill="1" applyBorder="1" applyAlignment="1" applyProtection="1">
      <alignment horizontal="center" wrapText="1"/>
    </xf>
    <xf numFmtId="3" fontId="12" fillId="0" borderId="0" xfId="24" applyNumberFormat="1" applyFont="1" applyFill="1" applyBorder="1" applyAlignment="1" applyProtection="1">
      <alignment horizontal="center" wrapText="1"/>
    </xf>
    <xf numFmtId="0" fontId="12" fillId="0" borderId="3" xfId="14" applyFont="1" applyFill="1" applyBorder="1" applyAlignment="1" applyProtection="1">
      <alignment horizontal="center" wrapText="1"/>
    </xf>
    <xf numFmtId="1" fontId="13" fillId="0" borderId="0" xfId="18" applyNumberFormat="1" applyFont="1" applyFill="1" applyAlignment="1" applyProtection="1">
      <alignment horizontal="center"/>
    </xf>
    <xf numFmtId="0" fontId="13" fillId="0" borderId="0" xfId="18" applyNumberFormat="1" applyFont="1" applyFill="1" applyAlignment="1" applyProtection="1">
      <alignment horizontal="center"/>
    </xf>
    <xf numFmtId="0" fontId="12" fillId="0" borderId="0" xfId="18" applyFont="1" applyFill="1" applyAlignment="1" applyProtection="1">
      <alignment horizontal="right"/>
    </xf>
    <xf numFmtId="0" fontId="13" fillId="0" borderId="0" xfId="18" applyFont="1" applyFill="1" applyAlignment="1" applyProtection="1">
      <alignment horizontal="center"/>
    </xf>
    <xf numFmtId="3" fontId="13" fillId="0" borderId="0" xfId="22" applyNumberFormat="1" applyFont="1" applyFill="1" applyProtection="1"/>
    <xf numFmtId="3" fontId="13" fillId="0" borderId="0" xfId="14" applyNumberFormat="1" applyFont="1" applyFill="1" applyBorder="1" applyProtection="1"/>
    <xf numFmtId="0" fontId="12" fillId="0" borderId="0" xfId="18" applyFont="1" applyFill="1" applyAlignment="1" applyProtection="1">
      <alignment horizontal="center"/>
    </xf>
    <xf numFmtId="3" fontId="12" fillId="0" borderId="0" xfId="22" applyNumberFormat="1" applyFont="1" applyFill="1" applyAlignment="1" applyProtection="1">
      <alignment horizontal="center" wrapText="1"/>
    </xf>
    <xf numFmtId="3" fontId="13" fillId="0" borderId="0" xfId="18" applyNumberFormat="1" applyFont="1" applyFill="1" applyAlignment="1" applyProtection="1">
      <alignment horizontal="right"/>
    </xf>
    <xf numFmtId="3" fontId="13" fillId="0" borderId="0" xfId="18" applyNumberFormat="1" applyFont="1" applyFill="1" applyAlignment="1" applyProtection="1">
      <alignment horizontal="center"/>
    </xf>
    <xf numFmtId="3" fontId="13" fillId="0" borderId="0" xfId="18" applyNumberFormat="1" applyFont="1" applyFill="1" applyBorder="1" applyAlignment="1" applyProtection="1">
      <alignment horizontal="center"/>
    </xf>
    <xf numFmtId="0" fontId="12" fillId="0" borderId="1" xfId="18" applyFont="1" applyFill="1" applyBorder="1" applyAlignment="1" applyProtection="1">
      <alignment horizontal="center"/>
    </xf>
    <xf numFmtId="1" fontId="12" fillId="0" borderId="1" xfId="18" applyNumberFormat="1" applyFont="1" applyFill="1" applyBorder="1" applyAlignment="1" applyProtection="1">
      <alignment horizontal="center"/>
    </xf>
    <xf numFmtId="0" fontId="12" fillId="0" borderId="0" xfId="9" applyFont="1" applyFill="1" applyAlignment="1" applyProtection="1">
      <alignment horizontal="right"/>
    </xf>
    <xf numFmtId="3" fontId="13" fillId="0" borderId="4" xfId="22" applyNumberFormat="1" applyFont="1" applyFill="1" applyBorder="1" applyProtection="1"/>
    <xf numFmtId="3" fontId="13" fillId="0" borderId="0" xfId="22" applyNumberFormat="1" applyFont="1" applyFill="1" applyBorder="1" applyProtection="1"/>
    <xf numFmtId="3" fontId="13" fillId="0" borderId="4" xfId="14" applyNumberFormat="1" applyFont="1" applyFill="1" applyBorder="1" applyProtection="1"/>
    <xf numFmtId="0" fontId="13" fillId="0" borderId="0" xfId="14" applyFont="1" applyFill="1" applyBorder="1" applyAlignment="1" applyProtection="1">
      <alignment horizontal="right"/>
    </xf>
    <xf numFmtId="164" fontId="13" fillId="0" borderId="4" xfId="3" applyNumberFormat="1" applyFont="1" applyFill="1" applyBorder="1" applyAlignment="1" applyProtection="1">
      <alignment horizontal="center"/>
    </xf>
    <xf numFmtId="0" fontId="13" fillId="0" borderId="0" xfId="18" applyFont="1" applyFill="1" applyAlignment="1" applyProtection="1">
      <alignment horizontal="left"/>
    </xf>
    <xf numFmtId="0" fontId="13" fillId="0" borderId="0" xfId="9" applyFont="1" applyFill="1" applyBorder="1" applyAlignment="1" applyProtection="1">
      <alignment horizontal="center"/>
    </xf>
    <xf numFmtId="0" fontId="13" fillId="0" borderId="0" xfId="18" applyNumberFormat="1" applyFont="1" applyFill="1" applyAlignment="1" applyProtection="1"/>
    <xf numFmtId="0" fontId="13" fillId="0" borderId="0" xfId="9" applyFont="1" applyFill="1" applyProtection="1"/>
    <xf numFmtId="0" fontId="13" fillId="0" borderId="0" xfId="9" applyFont="1" applyFill="1" applyAlignment="1" applyProtection="1">
      <alignment horizontal="center"/>
    </xf>
    <xf numFmtId="1" fontId="13" fillId="0" borderId="0" xfId="9" applyNumberFormat="1" applyFont="1" applyFill="1" applyAlignment="1" applyProtection="1">
      <alignment horizontal="center"/>
    </xf>
    <xf numFmtId="3" fontId="13" fillId="0" borderId="0" xfId="9" applyNumberFormat="1" applyFont="1" applyFill="1" applyAlignment="1" applyProtection="1"/>
    <xf numFmtId="166" fontId="13" fillId="0" borderId="0" xfId="6" applyNumberFormat="1" applyFont="1" applyFill="1" applyAlignment="1" applyProtection="1"/>
    <xf numFmtId="0" fontId="13" fillId="0" borderId="0" xfId="0" quotePrefix="1" applyFont="1" applyFill="1" applyProtection="1"/>
    <xf numFmtId="164" fontId="13" fillId="0" borderId="0" xfId="1" applyNumberFormat="1" applyFont="1" applyFill="1" applyAlignment="1" applyProtection="1"/>
    <xf numFmtId="0" fontId="13" fillId="0" borderId="0" xfId="0" applyFont="1" applyFill="1" applyAlignment="1" applyProtection="1"/>
    <xf numFmtId="0" fontId="15" fillId="0" borderId="0" xfId="0" applyFont="1" applyFill="1" applyProtection="1"/>
    <xf numFmtId="170" fontId="17" fillId="0" borderId="0" xfId="1" applyNumberFormat="1" applyFont="1" applyFill="1" applyBorder="1" applyAlignment="1" applyProtection="1"/>
    <xf numFmtId="192" fontId="17" fillId="0" borderId="0" xfId="1" applyNumberFormat="1" applyFont="1" applyFill="1" applyBorder="1" applyAlignment="1" applyProtection="1"/>
    <xf numFmtId="165" fontId="13" fillId="0" borderId="0" xfId="0" applyNumberFormat="1" applyFont="1" applyFill="1" applyAlignment="1" applyProtection="1">
      <alignment horizontal="right"/>
    </xf>
    <xf numFmtId="165" fontId="17" fillId="0" borderId="0" xfId="1" applyNumberFormat="1" applyFont="1" applyFill="1" applyBorder="1" applyAlignment="1" applyProtection="1"/>
    <xf numFmtId="165" fontId="13" fillId="0" borderId="0" xfId="1" applyNumberFormat="1" applyFont="1" applyFill="1" applyBorder="1" applyAlignment="1" applyProtection="1"/>
    <xf numFmtId="164" fontId="13" fillId="0" borderId="0" xfId="0" applyNumberFormat="1" applyFont="1" applyFill="1" applyAlignment="1" applyProtection="1">
      <alignment horizontal="right"/>
    </xf>
    <xf numFmtId="41" fontId="13" fillId="0" borderId="0" xfId="0" applyNumberFormat="1" applyFont="1" applyFill="1" applyAlignment="1" applyProtection="1"/>
    <xf numFmtId="0" fontId="13" fillId="0" borderId="0" xfId="0" quotePrefix="1" applyFont="1" applyFill="1" applyAlignment="1" applyProtection="1"/>
    <xf numFmtId="43" fontId="13" fillId="0" borderId="0" xfId="0" applyNumberFormat="1" applyFont="1" applyFill="1" applyAlignment="1" applyProtection="1"/>
    <xf numFmtId="184" fontId="13" fillId="0" borderId="0" xfId="0" applyNumberFormat="1" applyFont="1" applyFill="1" applyAlignment="1" applyProtection="1"/>
    <xf numFmtId="0" fontId="16" fillId="0" borderId="17" xfId="0" applyFont="1" applyFill="1" applyBorder="1" applyAlignment="1" applyProtection="1">
      <alignment horizontal="left"/>
    </xf>
    <xf numFmtId="0" fontId="16" fillId="0" borderId="7" xfId="0" applyFont="1" applyFill="1" applyBorder="1" applyAlignment="1" applyProtection="1">
      <alignment horizontal="left"/>
    </xf>
    <xf numFmtId="0" fontId="12" fillId="0" borderId="7" xfId="0" applyFont="1" applyFill="1" applyBorder="1" applyAlignment="1" applyProtection="1">
      <alignment horizontal="center"/>
    </xf>
    <xf numFmtId="0" fontId="12" fillId="0" borderId="6" xfId="0" applyFont="1" applyFill="1" applyBorder="1" applyAlignment="1" applyProtection="1">
      <alignment horizontal="center"/>
    </xf>
    <xf numFmtId="0" fontId="13" fillId="0" borderId="0" xfId="0" applyFont="1" applyFill="1" applyAlignment="1" applyProtection="1">
      <alignment horizontal="center" vertical="justify"/>
    </xf>
    <xf numFmtId="0" fontId="13" fillId="0" borderId="18" xfId="0" applyFont="1" applyFill="1" applyBorder="1" applyAlignment="1" applyProtection="1">
      <alignment horizontal="center" vertical="justify"/>
    </xf>
    <xf numFmtId="0" fontId="13" fillId="0" borderId="4" xfId="0" applyFont="1" applyFill="1" applyBorder="1" applyAlignment="1" applyProtection="1">
      <alignment vertical="justify"/>
    </xf>
    <xf numFmtId="5" fontId="13" fillId="0" borderId="6" xfId="0" applyNumberFormat="1" applyFont="1" applyFill="1" applyBorder="1" applyAlignment="1" applyProtection="1">
      <alignment vertical="justify"/>
    </xf>
    <xf numFmtId="5" fontId="13" fillId="0" borderId="4" xfId="0" applyNumberFormat="1" applyFont="1" applyFill="1" applyBorder="1" applyProtection="1"/>
    <xf numFmtId="5" fontId="13" fillId="0" borderId="4" xfId="0" applyNumberFormat="1" applyFont="1" applyFill="1" applyBorder="1" applyAlignment="1" applyProtection="1">
      <alignment wrapText="1"/>
    </xf>
    <xf numFmtId="0" fontId="13" fillId="0" borderId="19" xfId="0" applyFont="1" applyFill="1" applyBorder="1" applyAlignment="1" applyProtection="1">
      <alignment horizontal="center" vertical="justify"/>
    </xf>
    <xf numFmtId="164" fontId="13" fillId="0" borderId="4" xfId="0" applyNumberFormat="1" applyFont="1" applyFill="1" applyBorder="1" applyAlignment="1" applyProtection="1">
      <alignment vertical="justify"/>
    </xf>
    <xf numFmtId="0" fontId="13" fillId="0" borderId="20" xfId="0" applyFont="1" applyFill="1" applyBorder="1" applyAlignment="1" applyProtection="1">
      <alignment horizontal="center" vertical="justify"/>
    </xf>
    <xf numFmtId="5" fontId="13" fillId="0" borderId="4" xfId="0" applyNumberFormat="1" applyFont="1" applyFill="1" applyBorder="1" applyAlignment="1" applyProtection="1">
      <alignment vertical="justify"/>
    </xf>
    <xf numFmtId="0" fontId="13" fillId="0" borderId="0" xfId="0" applyFont="1" applyFill="1" applyBorder="1" applyAlignment="1" applyProtection="1">
      <alignment horizontal="center" vertical="justify"/>
    </xf>
    <xf numFmtId="0" fontId="13" fillId="0" borderId="0" xfId="0" applyFont="1" applyFill="1" applyBorder="1" applyAlignment="1" applyProtection="1">
      <alignment vertical="justify"/>
    </xf>
    <xf numFmtId="5" fontId="13" fillId="0" borderId="7" xfId="0" applyNumberFormat="1" applyFont="1" applyFill="1" applyBorder="1" applyAlignment="1" applyProtection="1">
      <alignment vertical="justify"/>
    </xf>
    <xf numFmtId="5" fontId="13" fillId="0" borderId="7" xfId="0" applyNumberFormat="1" applyFont="1" applyFill="1" applyBorder="1" applyProtection="1"/>
    <xf numFmtId="5" fontId="13" fillId="0" borderId="7" xfId="0" applyNumberFormat="1" applyFont="1" applyFill="1" applyBorder="1" applyAlignment="1" applyProtection="1">
      <alignment wrapText="1"/>
    </xf>
    <xf numFmtId="1" fontId="16" fillId="0" borderId="17" xfId="0" applyNumberFormat="1" applyFont="1" applyFill="1" applyBorder="1" applyAlignment="1" applyProtection="1">
      <alignment horizontal="left" vertical="center"/>
    </xf>
    <xf numFmtId="1" fontId="16" fillId="0" borderId="7" xfId="0" applyNumberFormat="1" applyFont="1" applyFill="1" applyBorder="1" applyAlignment="1" applyProtection="1">
      <alignment horizontal="left" vertical="center" wrapText="1"/>
    </xf>
    <xf numFmtId="5" fontId="13" fillId="0" borderId="6" xfId="0" applyNumberFormat="1" applyFont="1" applyFill="1" applyBorder="1" applyAlignment="1" applyProtection="1">
      <alignment wrapText="1"/>
    </xf>
    <xf numFmtId="5" fontId="13" fillId="0" borderId="4" xfId="0" applyNumberFormat="1" applyFont="1" applyFill="1" applyBorder="1" applyAlignment="1" applyProtection="1">
      <alignment vertical="justify" wrapText="1"/>
    </xf>
    <xf numFmtId="0" fontId="13" fillId="0" borderId="17" xfId="0" applyFont="1" applyFill="1" applyBorder="1" applyAlignment="1" applyProtection="1">
      <alignment vertical="justify"/>
    </xf>
    <xf numFmtId="5" fontId="13" fillId="0" borderId="5" xfId="0" applyNumberFormat="1" applyFont="1" applyFill="1" applyBorder="1" applyAlignment="1" applyProtection="1">
      <alignment vertical="justify"/>
    </xf>
    <xf numFmtId="5" fontId="13" fillId="0" borderId="7" xfId="0" applyNumberFormat="1" applyFont="1" applyFill="1" applyBorder="1" applyAlignment="1" applyProtection="1">
      <alignment vertical="justify" wrapText="1"/>
    </xf>
    <xf numFmtId="1" fontId="16" fillId="0" borderId="17" xfId="0" applyNumberFormat="1" applyFont="1" applyFill="1" applyBorder="1" applyAlignment="1" applyProtection="1">
      <alignment horizontal="left"/>
    </xf>
    <xf numFmtId="1" fontId="16" fillId="0" borderId="7" xfId="0" applyNumberFormat="1" applyFont="1" applyFill="1" applyBorder="1" applyAlignment="1" applyProtection="1">
      <alignment horizontal="left"/>
    </xf>
    <xf numFmtId="5" fontId="13" fillId="0" borderId="6" xfId="0" applyNumberFormat="1" applyFont="1" applyFill="1" applyBorder="1" applyAlignment="1" applyProtection="1">
      <alignment vertical="justify" wrapText="1"/>
    </xf>
    <xf numFmtId="0" fontId="13" fillId="0" borderId="20" xfId="0" applyFont="1" applyFill="1" applyBorder="1" applyAlignment="1" applyProtection="1">
      <alignment vertical="justify"/>
    </xf>
    <xf numFmtId="0" fontId="13" fillId="0" borderId="4" xfId="0" applyFont="1" applyFill="1" applyBorder="1" applyAlignment="1" applyProtection="1">
      <alignment vertical="top" wrapText="1"/>
    </xf>
    <xf numFmtId="0" fontId="13" fillId="0" borderId="7" xfId="0" applyFont="1" applyFill="1" applyBorder="1" applyProtection="1"/>
    <xf numFmtId="0" fontId="12" fillId="0" borderId="17" xfId="0" applyFont="1" applyFill="1" applyBorder="1" applyAlignment="1" applyProtection="1"/>
    <xf numFmtId="0" fontId="13" fillId="0" borderId="6" xfId="0" applyFont="1" applyFill="1" applyBorder="1" applyProtection="1"/>
    <xf numFmtId="0" fontId="12" fillId="0" borderId="0" xfId="0" applyFont="1" applyFill="1" applyBorder="1" applyAlignment="1" applyProtection="1"/>
    <xf numFmtId="0" fontId="12" fillId="0" borderId="17" xfId="0" applyFont="1" applyFill="1" applyBorder="1" applyAlignment="1" applyProtection="1">
      <alignment horizontal="left"/>
    </xf>
    <xf numFmtId="0" fontId="13" fillId="0" borderId="6" xfId="0" applyFont="1" applyFill="1" applyBorder="1" applyAlignment="1" applyProtection="1"/>
    <xf numFmtId="5" fontId="13" fillId="0" borderId="0" xfId="0" applyNumberFormat="1" applyFont="1" applyFill="1" applyProtection="1"/>
    <xf numFmtId="5" fontId="13" fillId="0" borderId="0" xfId="0" applyNumberFormat="1" applyFont="1" applyFill="1" applyBorder="1" applyAlignment="1" applyProtection="1">
      <alignment horizontal="center"/>
    </xf>
    <xf numFmtId="5" fontId="13" fillId="0" borderId="0" xfId="0" applyNumberFormat="1" applyFont="1" applyFill="1" applyBorder="1" applyProtection="1"/>
    <xf numFmtId="5" fontId="13" fillId="0" borderId="0" xfId="0" applyNumberFormat="1" applyFont="1" applyFill="1" applyBorder="1" applyAlignment="1" applyProtection="1">
      <alignment horizontal="left"/>
    </xf>
    <xf numFmtId="0" fontId="13" fillId="0" borderId="0" xfId="0" applyNumberFormat="1" applyFont="1" applyFill="1" applyBorder="1" applyAlignment="1" applyProtection="1">
      <alignment horizontal="left"/>
    </xf>
    <xf numFmtId="0" fontId="15" fillId="0" borderId="0" xfId="0" applyFont="1" applyFill="1" applyBorder="1" applyAlignment="1" applyProtection="1">
      <alignment horizontal="left"/>
    </xf>
    <xf numFmtId="0" fontId="13" fillId="0" borderId="0" xfId="0" quotePrefix="1" applyFont="1" applyFill="1" applyBorder="1" applyAlignment="1" applyProtection="1">
      <alignment horizontal="left"/>
    </xf>
    <xf numFmtId="0" fontId="13" fillId="0" borderId="0" xfId="0" applyFont="1" applyFill="1" applyBorder="1" applyAlignment="1" applyProtection="1">
      <alignment vertical="top" wrapText="1"/>
    </xf>
    <xf numFmtId="5" fontId="13" fillId="0" borderId="0" xfId="0" quotePrefix="1" applyNumberFormat="1" applyFont="1" applyFill="1" applyBorder="1" applyAlignment="1" applyProtection="1">
      <alignment horizontal="left"/>
    </xf>
    <xf numFmtId="1" fontId="13" fillId="0" borderId="0" xfId="0" applyNumberFormat="1" applyFont="1" applyFill="1" applyBorder="1" applyAlignment="1" applyProtection="1">
      <alignment horizontal="center" vertical="center" wrapText="1"/>
    </xf>
    <xf numFmtId="0" fontId="13" fillId="0" borderId="0" xfId="0" applyFont="1" applyFill="1" applyBorder="1" applyAlignment="1" applyProtection="1">
      <alignment vertical="top"/>
    </xf>
    <xf numFmtId="0" fontId="13" fillId="0" borderId="11" xfId="0" applyFont="1" applyFill="1" applyBorder="1" applyProtection="1"/>
    <xf numFmtId="0" fontId="13" fillId="0" borderId="5" xfId="0" applyFont="1" applyFill="1" applyBorder="1" applyProtection="1"/>
    <xf numFmtId="0" fontId="13" fillId="0" borderId="12" xfId="0" applyFont="1" applyFill="1" applyBorder="1" applyProtection="1"/>
    <xf numFmtId="0" fontId="13" fillId="0" borderId="13" xfId="0" applyFont="1" applyFill="1" applyBorder="1" applyProtection="1"/>
    <xf numFmtId="49" fontId="13" fillId="0" borderId="0" xfId="0" applyNumberFormat="1" applyFont="1" applyFill="1" applyBorder="1" applyAlignment="1" applyProtection="1">
      <alignment horizontal="center"/>
    </xf>
    <xf numFmtId="0" fontId="13" fillId="0" borderId="15" xfId="0" applyFont="1" applyFill="1" applyBorder="1" applyProtection="1"/>
    <xf numFmtId="0" fontId="13" fillId="0" borderId="13" xfId="0" applyFont="1" applyFill="1" applyBorder="1" applyAlignment="1" applyProtection="1"/>
    <xf numFmtId="185" fontId="12" fillId="0" borderId="3" xfId="0" applyNumberFormat="1" applyFont="1" applyFill="1" applyBorder="1" applyAlignment="1" applyProtection="1">
      <alignment horizontal="center" wrapText="1"/>
    </xf>
    <xf numFmtId="185" fontId="15" fillId="0" borderId="0" xfId="0" applyNumberFormat="1" applyFont="1" applyFill="1" applyProtection="1"/>
    <xf numFmtId="6" fontId="13" fillId="0" borderId="0" xfId="0" applyNumberFormat="1" applyFont="1" applyFill="1" applyProtection="1"/>
    <xf numFmtId="0" fontId="12" fillId="0" borderId="0" xfId="0" applyFont="1" applyFill="1" applyBorder="1" applyAlignment="1" applyProtection="1">
      <alignment horizontal="right"/>
    </xf>
    <xf numFmtId="175" fontId="12" fillId="0" borderId="0" xfId="5" applyNumberFormat="1" applyFont="1" applyFill="1" applyProtection="1"/>
    <xf numFmtId="175" fontId="12" fillId="0" borderId="0" xfId="0" applyNumberFormat="1" applyFont="1" applyFill="1" applyProtection="1"/>
    <xf numFmtId="185" fontId="12" fillId="0" borderId="0" xfId="0" applyNumberFormat="1" applyFont="1" applyFill="1" applyProtection="1"/>
    <xf numFmtId="175" fontId="12" fillId="0" borderId="4" xfId="0" applyNumberFormat="1" applyFont="1" applyFill="1" applyBorder="1" applyProtection="1"/>
    <xf numFmtId="10" fontId="12" fillId="0" borderId="4" xfId="17" applyNumberFormat="1" applyFont="1" applyFill="1" applyBorder="1" applyProtection="1"/>
    <xf numFmtId="185" fontId="12" fillId="0" borderId="0" xfId="0" quotePrefix="1" applyNumberFormat="1" applyFont="1" applyFill="1" applyProtection="1"/>
    <xf numFmtId="185" fontId="12" fillId="0" borderId="0" xfId="0" applyNumberFormat="1" applyFont="1" applyFill="1" applyAlignment="1" applyProtection="1">
      <alignment horizontal="right"/>
    </xf>
    <xf numFmtId="175" fontId="12" fillId="0" borderId="0" xfId="0" applyNumberFormat="1" applyFont="1" applyFill="1" applyBorder="1" applyProtection="1"/>
    <xf numFmtId="185" fontId="13" fillId="0" borderId="0" xfId="30" applyNumberFormat="1" applyFont="1" applyFill="1" applyProtection="1"/>
    <xf numFmtId="185" fontId="32" fillId="0" borderId="0" xfId="30" applyNumberFormat="1" applyFont="1" applyFill="1" applyAlignment="1" applyProtection="1">
      <alignment horizontal="right"/>
    </xf>
    <xf numFmtId="175" fontId="13" fillId="0" borderId="0" xfId="30" applyNumberFormat="1" applyFont="1" applyFill="1" applyProtection="1"/>
    <xf numFmtId="185" fontId="13" fillId="0" borderId="0" xfId="0" applyNumberFormat="1" applyFont="1" applyFill="1" applyProtection="1"/>
    <xf numFmtId="0" fontId="13" fillId="0" borderId="0" xfId="30" applyFont="1" applyFill="1" applyProtection="1"/>
    <xf numFmtId="185" fontId="13" fillId="0" borderId="0" xfId="30" applyNumberFormat="1" applyFont="1" applyFill="1" applyAlignment="1" applyProtection="1">
      <alignment horizontal="right"/>
    </xf>
    <xf numFmtId="175" fontId="13" fillId="0" borderId="0" xfId="30" applyNumberFormat="1" applyFont="1" applyFill="1" applyAlignment="1" applyProtection="1">
      <alignment horizontal="right"/>
    </xf>
    <xf numFmtId="175" fontId="12" fillId="0" borderId="21" xfId="30" applyNumberFormat="1" applyFont="1" applyFill="1" applyBorder="1" applyProtection="1"/>
    <xf numFmtId="0" fontId="13" fillId="0" borderId="0" xfId="15" applyNumberFormat="1" applyFont="1" applyFill="1"/>
    <xf numFmtId="10" fontId="13" fillId="0" borderId="0" xfId="17" applyNumberFormat="1" applyFont="1" applyFill="1"/>
    <xf numFmtId="0" fontId="13" fillId="0" borderId="0" xfId="14" applyFont="1" applyFill="1" applyBorder="1" applyAlignment="1" applyProtection="1">
      <alignment horizontal="center" vertical="center"/>
    </xf>
    <xf numFmtId="193" fontId="13" fillId="0" borderId="0" xfId="18" applyNumberFormat="1" applyFont="1" applyFill="1" applyBorder="1" applyAlignment="1" applyProtection="1">
      <alignment horizontal="center" vertical="center"/>
    </xf>
    <xf numFmtId="1" fontId="13" fillId="0" borderId="0" xfId="18" applyNumberFormat="1" applyFont="1" applyFill="1" applyAlignment="1" applyProtection="1">
      <alignment horizontal="center" vertical="center"/>
    </xf>
    <xf numFmtId="0" fontId="13" fillId="0" borderId="0" xfId="18" applyNumberFormat="1" applyFont="1" applyFill="1" applyAlignment="1" applyProtection="1">
      <alignment horizontal="center" vertical="center"/>
    </xf>
    <xf numFmtId="164" fontId="13" fillId="0" borderId="0" xfId="1" applyNumberFormat="1" applyFont="1" applyFill="1" applyBorder="1" applyAlignment="1" applyProtection="1">
      <alignment vertical="center"/>
    </xf>
    <xf numFmtId="164" fontId="13" fillId="0" borderId="0" xfId="1" applyNumberFormat="1" applyFont="1" applyFill="1" applyBorder="1" applyAlignment="1" applyProtection="1">
      <alignment horizontal="center" vertical="center"/>
    </xf>
    <xf numFmtId="164" fontId="13" fillId="0" borderId="3" xfId="1" applyNumberFormat="1" applyFont="1" applyFill="1" applyBorder="1" applyAlignment="1" applyProtection="1">
      <alignment vertical="center"/>
    </xf>
    <xf numFmtId="164" fontId="13" fillId="0" borderId="0" xfId="1" applyNumberFormat="1" applyFont="1" applyFill="1" applyAlignment="1" applyProtection="1">
      <alignment horizontal="center" vertical="center"/>
    </xf>
    <xf numFmtId="164" fontId="13" fillId="0" borderId="3" xfId="1" applyNumberFormat="1" applyFont="1" applyFill="1" applyBorder="1" applyAlignment="1" applyProtection="1">
      <alignment horizontal="center" vertical="center"/>
    </xf>
    <xf numFmtId="164" fontId="17" fillId="0" borderId="3" xfId="1" applyNumberFormat="1" applyFont="1" applyFill="1" applyBorder="1"/>
    <xf numFmtId="0" fontId="13" fillId="0" borderId="0" xfId="7" applyFont="1" applyFill="1" applyProtection="1"/>
    <xf numFmtId="0" fontId="12" fillId="0" borderId="0" xfId="14" applyNumberFormat="1" applyFont="1" applyFill="1" applyBorder="1" applyAlignment="1" applyProtection="1">
      <alignment horizontal="center"/>
    </xf>
    <xf numFmtId="40" fontId="13" fillId="0" borderId="0" xfId="2" applyFont="1" applyFill="1" applyProtection="1"/>
    <xf numFmtId="0" fontId="13" fillId="0" borderId="0" xfId="7" applyFont="1" applyFill="1" applyAlignment="1" applyProtection="1">
      <alignment horizontal="center"/>
    </xf>
    <xf numFmtId="0" fontId="13" fillId="0" borderId="0" xfId="7" applyNumberFormat="1" applyFont="1" applyFill="1" applyAlignment="1" applyProtection="1">
      <alignment horizontal="center"/>
    </xf>
    <xf numFmtId="0" fontId="12" fillId="0" borderId="0" xfId="7" applyFont="1" applyFill="1" applyBorder="1" applyAlignment="1" applyProtection="1">
      <alignment horizontal="center"/>
    </xf>
    <xf numFmtId="0" fontId="12" fillId="0" borderId="1" xfId="24" applyFont="1" applyFill="1" applyAlignment="1" applyProtection="1">
      <alignment horizontal="center" wrapText="1"/>
    </xf>
    <xf numFmtId="0" fontId="12" fillId="0" borderId="1" xfId="24" applyNumberFormat="1" applyFont="1" applyFill="1" applyAlignment="1" applyProtection="1">
      <alignment horizontal="center" wrapText="1"/>
    </xf>
    <xf numFmtId="40" fontId="12" fillId="0" borderId="1" xfId="2" applyFont="1" applyFill="1" applyBorder="1" applyAlignment="1" applyProtection="1">
      <alignment horizontal="center" wrapText="1"/>
    </xf>
    <xf numFmtId="40" fontId="13" fillId="0" borderId="0" xfId="0" applyNumberFormat="1" applyFont="1" applyFill="1" applyProtection="1"/>
    <xf numFmtId="10" fontId="13" fillId="0" borderId="0" xfId="22" applyNumberFormat="1" applyFont="1" applyFill="1" applyAlignment="1" applyProtection="1">
      <alignment horizontal="center"/>
    </xf>
    <xf numFmtId="43" fontId="13" fillId="0" borderId="0" xfId="1" applyNumberFormat="1" applyFont="1" applyFill="1" applyAlignment="1" applyProtection="1">
      <alignment horizontal="center"/>
    </xf>
    <xf numFmtId="40" fontId="13" fillId="0" borderId="0" xfId="2" applyFont="1" applyFill="1" applyAlignment="1" applyProtection="1">
      <alignment horizontal="center"/>
    </xf>
    <xf numFmtId="164" fontId="13" fillId="0" borderId="0" xfId="1" applyNumberFormat="1" applyFont="1" applyFill="1" applyAlignment="1" applyProtection="1">
      <alignment horizontal="center"/>
    </xf>
    <xf numFmtId="164" fontId="13" fillId="0" borderId="4" xfId="1" applyNumberFormat="1" applyFont="1" applyFill="1" applyBorder="1" applyProtection="1"/>
    <xf numFmtId="4" fontId="13" fillId="0" borderId="0" xfId="7" applyNumberFormat="1" applyFont="1" applyFill="1" applyAlignment="1" applyProtection="1">
      <alignment horizontal="center"/>
    </xf>
    <xf numFmtId="4" fontId="13" fillId="0" borderId="0" xfId="7" applyNumberFormat="1" applyFont="1" applyFill="1" applyProtection="1"/>
    <xf numFmtId="164" fontId="13" fillId="0" borderId="4" xfId="1" applyNumberFormat="1" applyFont="1" applyFill="1" applyBorder="1" applyAlignment="1" applyProtection="1">
      <alignment horizontal="center"/>
    </xf>
    <xf numFmtId="164" fontId="13" fillId="0" borderId="0" xfId="7" applyNumberFormat="1" applyFont="1" applyFill="1" applyProtection="1"/>
    <xf numFmtId="164" fontId="13" fillId="0" borderId="0" xfId="7" applyNumberFormat="1" applyFont="1" applyFill="1" applyAlignment="1" applyProtection="1">
      <alignment horizontal="center"/>
    </xf>
    <xf numFmtId="164" fontId="13" fillId="0" borderId="0" xfId="2" applyNumberFormat="1" applyFont="1" applyFill="1" applyProtection="1"/>
    <xf numFmtId="180" fontId="13" fillId="0" borderId="0" xfId="13" applyFont="1" applyFill="1" applyProtection="1"/>
    <xf numFmtId="2" fontId="24" fillId="0" borderId="0" xfId="13" applyNumberFormat="1" applyFont="1" applyFill="1" applyAlignment="1" applyProtection="1">
      <alignment horizontal="center"/>
    </xf>
    <xf numFmtId="14" fontId="24" fillId="0" borderId="0" xfId="13" applyNumberFormat="1" applyFont="1" applyFill="1" applyProtection="1"/>
    <xf numFmtId="189" fontId="24" fillId="0" borderId="0" xfId="13" applyNumberFormat="1" applyFont="1" applyFill="1" applyProtection="1"/>
    <xf numFmtId="0" fontId="24" fillId="0" borderId="0" xfId="0" applyFont="1" applyFill="1" applyAlignment="1" applyProtection="1">
      <alignment horizontal="left"/>
    </xf>
    <xf numFmtId="178" fontId="24" fillId="0" borderId="0" xfId="13" applyNumberFormat="1" applyFont="1" applyFill="1" applyBorder="1" applyProtection="1"/>
    <xf numFmtId="14" fontId="13" fillId="0" borderId="0" xfId="13" applyNumberFormat="1" applyFont="1" applyFill="1" applyProtection="1"/>
    <xf numFmtId="3" fontId="15" fillId="0" borderId="0" xfId="0" applyNumberFormat="1" applyFont="1" applyFill="1" applyBorder="1" applyProtection="1"/>
    <xf numFmtId="0" fontId="13" fillId="0" borderId="0" xfId="0" applyFont="1" applyFill="1" applyBorder="1" applyAlignment="1" applyProtection="1">
      <alignment horizontal="center" wrapText="1"/>
    </xf>
    <xf numFmtId="0" fontId="13" fillId="0" borderId="3" xfId="0" applyFont="1" applyFill="1" applyBorder="1" applyAlignment="1" applyProtection="1">
      <alignment horizontal="center" wrapText="1"/>
    </xf>
    <xf numFmtId="166" fontId="13" fillId="0" borderId="0" xfId="5" applyNumberFormat="1" applyFont="1" applyFill="1" applyProtection="1"/>
    <xf numFmtId="38" fontId="13" fillId="0" borderId="0" xfId="5" applyNumberFormat="1" applyFont="1" applyFill="1" applyProtection="1"/>
    <xf numFmtId="166" fontId="13" fillId="0" borderId="4" xfId="5" applyNumberFormat="1" applyFont="1" applyFill="1" applyBorder="1" applyProtection="1"/>
    <xf numFmtId="44" fontId="15" fillId="0" borderId="0" xfId="5" applyFont="1" applyFill="1" applyBorder="1" applyAlignment="1" applyProtection="1">
      <alignment horizontal="center"/>
    </xf>
    <xf numFmtId="6" fontId="13" fillId="0" borderId="0" xfId="5" applyNumberFormat="1" applyFont="1" applyFill="1" applyBorder="1" applyAlignment="1" applyProtection="1">
      <alignment horizontal="right"/>
    </xf>
    <xf numFmtId="44" fontId="13" fillId="0" borderId="0" xfId="0" applyNumberFormat="1" applyFont="1" applyFill="1" applyBorder="1" applyProtection="1"/>
    <xf numFmtId="43" fontId="13" fillId="0" borderId="0" xfId="0" applyNumberFormat="1" applyFont="1" applyFill="1" applyAlignment="1" applyProtection="1">
      <alignment horizontal="center"/>
    </xf>
    <xf numFmtId="43" fontId="13" fillId="0" borderId="0" xfId="0" applyNumberFormat="1" applyFont="1" applyFill="1" applyProtection="1"/>
    <xf numFmtId="49" fontId="12" fillId="0" borderId="2" xfId="0" applyNumberFormat="1" applyFont="1" applyFill="1" applyBorder="1" applyAlignment="1" applyProtection="1">
      <alignment horizontal="center"/>
    </xf>
    <xf numFmtId="0" fontId="16" fillId="0" borderId="2" xfId="0" applyFont="1" applyFill="1" applyBorder="1" applyAlignment="1" applyProtection="1">
      <alignment horizontal="center" wrapText="1"/>
    </xf>
    <xf numFmtId="43" fontId="12" fillId="0" borderId="2" xfId="0" applyNumberFormat="1" applyFont="1" applyFill="1" applyBorder="1" applyAlignment="1" applyProtection="1">
      <alignment horizontal="center"/>
    </xf>
    <xf numFmtId="49" fontId="12" fillId="0" borderId="0" xfId="0" applyNumberFormat="1" applyFont="1" applyFill="1" applyBorder="1" applyAlignment="1" applyProtection="1">
      <alignment horizontal="center"/>
    </xf>
    <xf numFmtId="49" fontId="13" fillId="0" borderId="0" xfId="0" applyNumberFormat="1" applyFont="1" applyFill="1" applyProtection="1"/>
    <xf numFmtId="49" fontId="13" fillId="0" borderId="0" xfId="0" applyNumberFormat="1" applyFont="1" applyFill="1" applyAlignment="1" applyProtection="1">
      <alignment horizontal="center"/>
    </xf>
    <xf numFmtId="39" fontId="13" fillId="0" borderId="0" xfId="0" applyNumberFormat="1" applyFont="1" applyFill="1" applyProtection="1"/>
    <xf numFmtId="43" fontId="13" fillId="0" borderId="5" xfId="0" applyNumberFormat="1" applyFont="1" applyFill="1" applyBorder="1" applyProtection="1"/>
    <xf numFmtId="166" fontId="17" fillId="0" borderId="0" xfId="5" applyNumberFormat="1" applyFont="1" applyFill="1" applyBorder="1" applyProtection="1"/>
    <xf numFmtId="0" fontId="13" fillId="0" borderId="16" xfId="0" applyFont="1" applyFill="1" applyBorder="1" applyProtection="1"/>
    <xf numFmtId="43" fontId="13" fillId="0" borderId="3" xfId="0" applyNumberFormat="1" applyFont="1" applyFill="1" applyBorder="1" applyProtection="1"/>
    <xf numFmtId="164" fontId="13" fillId="0" borderId="20" xfId="0" applyNumberFormat="1" applyFont="1" applyFill="1" applyBorder="1" applyAlignment="1" applyProtection="1">
      <alignment vertical="justify"/>
    </xf>
    <xf numFmtId="41" fontId="12" fillId="0" borderId="0" xfId="14" applyNumberFormat="1" applyFont="1" applyFill="1" applyBorder="1" applyAlignment="1" applyProtection="1">
      <alignment horizontal="center"/>
    </xf>
    <xf numFmtId="1" fontId="12" fillId="0" borderId="1" xfId="24" applyNumberFormat="1" applyFont="1" applyFill="1" applyAlignment="1" applyProtection="1">
      <alignment horizontal="center" wrapText="1"/>
    </xf>
    <xf numFmtId="41" fontId="12" fillId="0" borderId="1" xfId="24" applyNumberFormat="1" applyFont="1" applyFill="1" applyAlignment="1" applyProtection="1">
      <alignment horizontal="center" wrapText="1"/>
    </xf>
    <xf numFmtId="41" fontId="12" fillId="0" borderId="1" xfId="0" applyNumberFormat="1" applyFont="1" applyFill="1" applyBorder="1" applyAlignment="1" applyProtection="1">
      <alignment horizontal="center" wrapText="1"/>
    </xf>
    <xf numFmtId="41" fontId="12" fillId="0" borderId="1" xfId="14" applyNumberFormat="1" applyFont="1" applyFill="1" applyBorder="1" applyAlignment="1" applyProtection="1">
      <alignment horizontal="center" wrapText="1"/>
    </xf>
    <xf numFmtId="1" fontId="13" fillId="0" borderId="0" xfId="16" applyNumberFormat="1" applyFont="1" applyFill="1" applyAlignment="1" applyProtection="1">
      <alignment horizontal="center"/>
    </xf>
    <xf numFmtId="41" fontId="13" fillId="0" borderId="0" xfId="22" applyNumberFormat="1" applyFont="1" applyFill="1" applyProtection="1"/>
    <xf numFmtId="41" fontId="13" fillId="0" borderId="0" xfId="22" applyNumberFormat="1" applyFont="1" applyFill="1" applyBorder="1" applyProtection="1"/>
    <xf numFmtId="41" fontId="13" fillId="0" borderId="0" xfId="14" applyNumberFormat="1" applyFont="1" applyFill="1" applyBorder="1" applyProtection="1"/>
    <xf numFmtId="41" fontId="55" fillId="0" borderId="0" xfId="14" applyNumberFormat="1" applyFont="1" applyFill="1" applyBorder="1" applyProtection="1"/>
    <xf numFmtId="5" fontId="13" fillId="0" borderId="0" xfId="1" applyNumberFormat="1" applyFont="1" applyFill="1" applyProtection="1"/>
    <xf numFmtId="38" fontId="13" fillId="0" borderId="0" xfId="0" applyNumberFormat="1" applyFont="1" applyFill="1" applyProtection="1"/>
    <xf numFmtId="38" fontId="13" fillId="0" borderId="0" xfId="1" applyNumberFormat="1" applyFont="1" applyFill="1" applyProtection="1"/>
    <xf numFmtId="38" fontId="15" fillId="0" borderId="0" xfId="1" applyNumberFormat="1" applyFont="1" applyFill="1" applyProtection="1"/>
    <xf numFmtId="43" fontId="13" fillId="0" borderId="0" xfId="1" applyFont="1" applyFill="1" applyAlignment="1" applyProtection="1">
      <alignment horizontal="left"/>
    </xf>
    <xf numFmtId="6" fontId="13" fillId="0" borderId="0" xfId="1" applyNumberFormat="1" applyFont="1" applyFill="1" applyProtection="1"/>
    <xf numFmtId="38" fontId="15" fillId="0" borderId="0" xfId="1" applyNumberFormat="1" applyFont="1" applyFill="1" applyBorder="1" applyProtection="1"/>
    <xf numFmtId="175" fontId="13" fillId="0" borderId="0" xfId="1" applyNumberFormat="1" applyFont="1" applyFill="1" applyProtection="1"/>
    <xf numFmtId="0" fontId="12" fillId="0" borderId="0" xfId="0" applyFont="1" applyFill="1" applyAlignment="1" applyProtection="1">
      <alignment horizontal="left"/>
    </xf>
    <xf numFmtId="3" fontId="13" fillId="0" borderId="0" xfId="22" applyNumberFormat="1" applyFont="1" applyFill="1" applyBorder="1" applyAlignment="1" applyProtection="1">
      <alignment horizontal="right"/>
    </xf>
    <xf numFmtId="3" fontId="13" fillId="0" borderId="4" xfId="18" applyNumberFormat="1" applyFont="1" applyFill="1" applyBorder="1" applyAlignment="1" applyProtection="1">
      <alignment horizontal="right"/>
    </xf>
    <xf numFmtId="185" fontId="13" fillId="0" borderId="0" xfId="0" applyNumberFormat="1" applyFont="1" applyFill="1" applyAlignment="1">
      <alignment horizontal="right"/>
    </xf>
    <xf numFmtId="185" fontId="12" fillId="0" borderId="0" xfId="0" applyNumberFormat="1" applyFont="1" applyFill="1"/>
    <xf numFmtId="185" fontId="109" fillId="0" borderId="0" xfId="0" applyNumberFormat="1" applyFont="1" applyFill="1" applyAlignment="1">
      <alignment horizontal="right"/>
    </xf>
    <xf numFmtId="175" fontId="13" fillId="0" borderId="0" xfId="0" applyNumberFormat="1" applyFont="1" applyFill="1" applyBorder="1"/>
    <xf numFmtId="175" fontId="13" fillId="0" borderId="21" xfId="0" applyNumberFormat="1" applyFont="1" applyFill="1" applyBorder="1"/>
    <xf numFmtId="49" fontId="13" fillId="0" borderId="0" xfId="7098" applyNumberFormat="1" applyFont="1" applyFill="1" applyProtection="1"/>
    <xf numFmtId="0" fontId="13" fillId="0" borderId="0" xfId="18" quotePrefix="1" applyNumberFormat="1" applyFont="1" applyFill="1" applyAlignment="1" applyProtection="1"/>
    <xf numFmtId="37" fontId="13" fillId="0" borderId="3" xfId="1" applyNumberFormat="1" applyFont="1" applyFill="1" applyBorder="1" applyAlignment="1" applyProtection="1"/>
    <xf numFmtId="37" fontId="13" fillId="0" borderId="0" xfId="1" applyNumberFormat="1" applyFont="1" applyFill="1" applyBorder="1" applyAlignment="1" applyProtection="1"/>
    <xf numFmtId="41" fontId="13" fillId="0" borderId="0" xfId="0" applyNumberFormat="1" applyFont="1" applyFill="1" applyAlignment="1" applyProtection="1">
      <alignment horizontal="right"/>
    </xf>
    <xf numFmtId="196" fontId="13" fillId="0" borderId="0" xfId="17" applyNumberFormat="1" applyFont="1" applyFill="1" applyProtection="1"/>
    <xf numFmtId="41" fontId="17" fillId="0" borderId="0" xfId="0" applyNumberFormat="1" applyFont="1" applyFill="1" applyProtection="1"/>
    <xf numFmtId="167" fontId="13" fillId="0" borderId="0" xfId="0" applyNumberFormat="1" applyFont="1" applyFill="1" applyBorder="1" applyProtection="1"/>
    <xf numFmtId="173" fontId="13" fillId="0" borderId="0" xfId="0" applyNumberFormat="1" applyFont="1" applyFill="1" applyBorder="1" applyProtection="1"/>
    <xf numFmtId="10" fontId="24" fillId="0" borderId="0" xfId="17" applyNumberFormat="1" applyFont="1" applyFill="1" applyAlignment="1" applyProtection="1">
      <alignment horizontal="center"/>
    </xf>
    <xf numFmtId="180" fontId="12" fillId="0" borderId="0" xfId="13" applyFont="1" applyFill="1" applyProtection="1"/>
    <xf numFmtId="42" fontId="13" fillId="0" borderId="0" xfId="5" applyNumberFormat="1" applyFont="1" applyFill="1" applyBorder="1" applyProtection="1"/>
    <xf numFmtId="0" fontId="55" fillId="0" borderId="0" xfId="7" applyFont="1" applyFill="1"/>
    <xf numFmtId="43" fontId="55" fillId="0" borderId="0" xfId="7" applyNumberFormat="1" applyFont="1" applyFill="1"/>
    <xf numFmtId="0" fontId="34" fillId="0" borderId="0" xfId="0" applyFont="1" applyFill="1" applyBorder="1" applyAlignment="1" applyProtection="1">
      <alignment horizontal="center"/>
    </xf>
    <xf numFmtId="0" fontId="0" fillId="0" borderId="0" xfId="0" applyFill="1" applyBorder="1" applyAlignment="1">
      <alignment horizontal="center" vertical="center" wrapText="1"/>
    </xf>
    <xf numFmtId="37" fontId="13" fillId="0" borderId="0" xfId="18" applyNumberFormat="1" applyFont="1" applyFill="1" applyAlignment="1" applyProtection="1">
      <alignment horizontal="right"/>
    </xf>
    <xf numFmtId="179" fontId="13" fillId="0" borderId="4" xfId="17" applyNumberFormat="1" applyFont="1" applyFill="1" applyBorder="1" applyProtection="1"/>
    <xf numFmtId="179" fontId="15" fillId="0" borderId="0" xfId="17" applyNumberFormat="1" applyFont="1" applyFill="1" applyAlignment="1" applyProtection="1">
      <alignment horizontal="right"/>
    </xf>
    <xf numFmtId="179" fontId="13" fillId="0" borderId="0" xfId="17" applyNumberFormat="1" applyFont="1" applyFill="1" applyProtection="1"/>
    <xf numFmtId="179" fontId="15" fillId="0" borderId="0" xfId="17" applyNumberFormat="1" applyFont="1" applyFill="1" applyProtection="1"/>
    <xf numFmtId="179" fontId="13" fillId="0" borderId="0" xfId="17" applyNumberFormat="1" applyFont="1" applyFill="1" applyBorder="1" applyProtection="1"/>
    <xf numFmtId="179" fontId="12" fillId="0" borderId="0" xfId="17" applyNumberFormat="1" applyFont="1" applyFill="1" applyBorder="1" applyProtection="1"/>
    <xf numFmtId="179" fontId="13" fillId="0" borderId="4" xfId="17" applyNumberFormat="1" applyFont="1" applyFill="1" applyBorder="1" applyAlignment="1" applyProtection="1">
      <alignment horizontal="right"/>
    </xf>
    <xf numFmtId="0" fontId="0" fillId="0" borderId="0" xfId="0" applyFill="1" applyProtection="1"/>
    <xf numFmtId="0" fontId="13" fillId="0" borderId="0" xfId="56" applyFont="1" applyFill="1" applyProtection="1"/>
    <xf numFmtId="0" fontId="0" fillId="0" borderId="0" xfId="0" applyFill="1"/>
    <xf numFmtId="0" fontId="137" fillId="0" borderId="0" xfId="7098" applyFont="1" applyFill="1" applyProtection="1"/>
    <xf numFmtId="0" fontId="13" fillId="0" borderId="0" xfId="7098" applyFont="1" applyFill="1" applyProtection="1"/>
    <xf numFmtId="0" fontId="34" fillId="0" borderId="0" xfId="7098" applyFont="1" applyFill="1" applyProtection="1"/>
    <xf numFmtId="0" fontId="13" fillId="0" borderId="0" xfId="24829" applyFont="1" applyFill="1"/>
    <xf numFmtId="37" fontId="13" fillId="0" borderId="0" xfId="22" applyNumberFormat="1" applyFont="1" applyFill="1" applyBorder="1" applyAlignment="1" applyProtection="1">
      <alignment horizontal="right"/>
    </xf>
    <xf numFmtId="3" fontId="13" fillId="0" borderId="0" xfId="22" applyNumberFormat="1" applyFont="1" applyFill="1" applyProtection="1">
      <protection locked="0"/>
    </xf>
    <xf numFmtId="0" fontId="12" fillId="0" borderId="0" xfId="14" applyFont="1" applyFill="1" applyBorder="1" applyAlignment="1" applyProtection="1"/>
    <xf numFmtId="0" fontId="12" fillId="0" borderId="0" xfId="14" applyFont="1" applyFill="1" applyBorder="1" applyAlignment="1" applyProtection="1">
      <alignment horizontal="center" wrapText="1"/>
    </xf>
    <xf numFmtId="0" fontId="13" fillId="0" borderId="0" xfId="14" applyFont="1" applyFill="1" applyBorder="1" applyAlignment="1" applyProtection="1">
      <alignment horizontal="left"/>
    </xf>
    <xf numFmtId="0" fontId="109" fillId="0" borderId="0" xfId="28699" applyFont="1" applyFill="1"/>
    <xf numFmtId="0" fontId="2" fillId="0" borderId="0" xfId="28699" applyFill="1"/>
    <xf numFmtId="0" fontId="54" fillId="0" borderId="0" xfId="28699" applyFont="1" applyFill="1"/>
    <xf numFmtId="0" fontId="13" fillId="0" borderId="0" xfId="0" applyFont="1" applyFill="1" applyAlignment="1" applyProtection="1">
      <alignment wrapText="1"/>
    </xf>
    <xf numFmtId="44" fontId="13" fillId="0" borderId="21" xfId="5" applyFont="1" applyFill="1" applyBorder="1"/>
    <xf numFmtId="44" fontId="109" fillId="0" borderId="0" xfId="5" applyFont="1" applyFill="1"/>
    <xf numFmtId="44" fontId="109" fillId="0" borderId="21" xfId="5" applyFont="1" applyFill="1" applyBorder="1"/>
    <xf numFmtId="166" fontId="13" fillId="0" borderId="21" xfId="5" applyNumberFormat="1" applyFont="1" applyFill="1" applyBorder="1"/>
    <xf numFmtId="179" fontId="24" fillId="0" borderId="0" xfId="7102" applyNumberFormat="1" applyFont="1" applyFill="1"/>
    <xf numFmtId="44" fontId="13" fillId="0" borderId="0" xfId="5" applyNumberFormat="1" applyFont="1" applyFill="1" applyBorder="1" applyAlignment="1" applyProtection="1">
      <alignment horizontal="right"/>
    </xf>
    <xf numFmtId="5" fontId="13" fillId="0" borderId="4" xfId="0" applyNumberFormat="1" applyFont="1" applyFill="1" applyBorder="1" applyAlignment="1" applyProtection="1">
      <alignment vertical="top" wrapText="1"/>
    </xf>
    <xf numFmtId="43" fontId="0" fillId="0" borderId="0" xfId="1" applyFont="1" applyFill="1" applyAlignment="1">
      <alignment horizontal="left"/>
    </xf>
    <xf numFmtId="0" fontId="55" fillId="0" borderId="0" xfId="7" applyFont="1" applyFill="1" applyProtection="1"/>
    <xf numFmtId="40" fontId="55" fillId="0" borderId="0" xfId="7" applyNumberFormat="1" applyFont="1" applyFill="1" applyProtection="1"/>
    <xf numFmtId="49" fontId="24" fillId="0" borderId="0" xfId="24457" applyNumberFormat="1" applyFill="1" applyAlignment="1">
      <alignment horizontal="center"/>
    </xf>
    <xf numFmtId="49" fontId="24" fillId="0" borderId="0" xfId="24457" applyNumberFormat="1" applyFill="1"/>
    <xf numFmtId="49" fontId="24" fillId="0" borderId="0" xfId="24457" applyNumberFormat="1" applyFill="1" applyAlignment="1">
      <alignment wrapText="1"/>
    </xf>
    <xf numFmtId="0" fontId="13" fillId="0" borderId="0" xfId="0" applyFont="1" applyFill="1" applyBorder="1" applyAlignment="1" applyProtection="1">
      <alignment wrapText="1"/>
    </xf>
    <xf numFmtId="164" fontId="13" fillId="0" borderId="6" xfId="0" applyNumberFormat="1" applyFont="1" applyFill="1" applyBorder="1" applyAlignment="1" applyProtection="1">
      <alignment vertical="justify"/>
    </xf>
    <xf numFmtId="176" fontId="24" fillId="0" borderId="0" xfId="13" applyNumberFormat="1" applyFont="1" applyFill="1" applyBorder="1" applyProtection="1"/>
    <xf numFmtId="171" fontId="24" fillId="0" borderId="0" xfId="13" applyNumberFormat="1" applyFont="1" applyFill="1" applyProtection="1"/>
    <xf numFmtId="180" fontId="24" fillId="0" borderId="0" xfId="13" quotePrefix="1" applyFont="1" applyFill="1" applyAlignment="1" applyProtection="1">
      <alignment horizontal="center"/>
    </xf>
    <xf numFmtId="180" fontId="24" fillId="0" borderId="0" xfId="13" applyFont="1" applyFill="1" applyAlignment="1" applyProtection="1"/>
    <xf numFmtId="14" fontId="24" fillId="0" borderId="0" xfId="13" applyNumberFormat="1" applyFont="1" applyFill="1" applyAlignment="1" applyProtection="1"/>
    <xf numFmtId="180" fontId="24" fillId="0" borderId="0" xfId="13" applyFont="1" applyFill="1" applyAlignment="1" applyProtection="1">
      <alignment horizontal="center"/>
    </xf>
    <xf numFmtId="14" fontId="24" fillId="0" borderId="0" xfId="13" applyNumberFormat="1" applyFont="1" applyFill="1" applyAlignment="1" applyProtection="1">
      <alignment horizontal="center"/>
    </xf>
    <xf numFmtId="180" fontId="24" fillId="0" borderId="3" xfId="13" applyFont="1" applyFill="1" applyBorder="1" applyAlignment="1" applyProtection="1">
      <alignment horizontal="center"/>
    </xf>
    <xf numFmtId="14" fontId="24" fillId="0" borderId="3" xfId="13" applyNumberFormat="1" applyFont="1" applyFill="1" applyBorder="1" applyAlignment="1" applyProtection="1">
      <alignment horizontal="center"/>
    </xf>
    <xf numFmtId="180" fontId="37" fillId="0" borderId="0" xfId="13" applyFont="1" applyFill="1" applyAlignment="1" applyProtection="1">
      <alignment horizontal="left"/>
    </xf>
    <xf numFmtId="180" fontId="24" fillId="0" borderId="0" xfId="13" applyFont="1" applyFill="1" applyAlignment="1" applyProtection="1">
      <alignment horizontal="left"/>
    </xf>
    <xf numFmtId="189" fontId="24" fillId="0" borderId="0" xfId="13" applyNumberFormat="1" applyFont="1" applyFill="1" applyAlignment="1" applyProtection="1">
      <alignment horizontal="center"/>
    </xf>
    <xf numFmtId="37" fontId="24" fillId="0" borderId="0" xfId="13" applyNumberFormat="1" applyFont="1" applyFill="1" applyBorder="1" applyProtection="1"/>
    <xf numFmtId="171" fontId="24" fillId="0" borderId="0" xfId="13" applyNumberFormat="1" applyFont="1" applyFill="1" applyBorder="1" applyProtection="1"/>
    <xf numFmtId="181" fontId="24" fillId="0" borderId="0" xfId="13" applyNumberFormat="1" applyFont="1" applyFill="1" applyProtection="1"/>
    <xf numFmtId="179" fontId="24" fillId="0" borderId="0" xfId="7102" applyNumberFormat="1" applyFont="1" applyFill="1" applyProtection="1"/>
    <xf numFmtId="37" fontId="24" fillId="0" borderId="0" xfId="13" applyNumberFormat="1" applyFont="1" applyFill="1" applyProtection="1"/>
    <xf numFmtId="176" fontId="24" fillId="0" borderId="0" xfId="13" applyNumberFormat="1" applyFont="1" applyFill="1" applyProtection="1"/>
    <xf numFmtId="37" fontId="24" fillId="0" borderId="3" xfId="13" applyNumberFormat="1" applyFont="1" applyFill="1" applyBorder="1" applyProtection="1"/>
    <xf numFmtId="176" fontId="24" fillId="0" borderId="3" xfId="13" applyNumberFormat="1" applyFont="1" applyFill="1" applyBorder="1" applyProtection="1"/>
    <xf numFmtId="171" fontId="24" fillId="0" borderId="3" xfId="13" applyNumberFormat="1" applyFont="1" applyFill="1" applyBorder="1" applyProtection="1"/>
    <xf numFmtId="181" fontId="24" fillId="0" borderId="3" xfId="13" applyNumberFormat="1" applyFont="1" applyFill="1" applyBorder="1" applyProtection="1"/>
    <xf numFmtId="179" fontId="24" fillId="0" borderId="3" xfId="13" applyNumberFormat="1" applyFont="1" applyFill="1" applyBorder="1" applyProtection="1"/>
    <xf numFmtId="182" fontId="24" fillId="0" borderId="3" xfId="13" applyNumberFormat="1" applyFont="1" applyFill="1" applyBorder="1" applyAlignment="1" applyProtection="1">
      <alignment horizontal="center"/>
    </xf>
    <xf numFmtId="179" fontId="24" fillId="0" borderId="0" xfId="13" applyNumberFormat="1" applyFont="1" applyFill="1" applyAlignment="1" applyProtection="1">
      <alignment horizontal="center"/>
    </xf>
    <xf numFmtId="182" fontId="24" fillId="0" borderId="0" xfId="13" applyNumberFormat="1" applyFont="1" applyFill="1" applyAlignment="1" applyProtection="1">
      <alignment horizontal="center"/>
    </xf>
    <xf numFmtId="179" fontId="24" fillId="0" borderId="0" xfId="13" applyNumberFormat="1" applyFont="1" applyFill="1" applyProtection="1"/>
    <xf numFmtId="10" fontId="24" fillId="0" borderId="0" xfId="13" applyNumberFormat="1" applyFont="1" applyFill="1" applyProtection="1"/>
    <xf numFmtId="171" fontId="24" fillId="0" borderId="0" xfId="13" applyNumberFormat="1" applyFont="1" applyFill="1" applyAlignment="1" applyProtection="1">
      <alignment horizontal="left"/>
    </xf>
    <xf numFmtId="181" fontId="24" fillId="0" borderId="0" xfId="13" applyNumberFormat="1" applyFont="1" applyFill="1" applyAlignment="1" applyProtection="1">
      <alignment horizontal="left"/>
    </xf>
    <xf numFmtId="193" fontId="24" fillId="0" borderId="0" xfId="13" applyNumberFormat="1" applyFont="1" applyFill="1" applyProtection="1"/>
    <xf numFmtId="182" fontId="24" fillId="0" borderId="0" xfId="13" applyNumberFormat="1" applyFont="1" applyFill="1" applyProtection="1"/>
    <xf numFmtId="5" fontId="24" fillId="0" borderId="9" xfId="13" applyNumberFormat="1" applyFont="1" applyFill="1" applyBorder="1" applyProtection="1"/>
    <xf numFmtId="178" fontId="24" fillId="0" borderId="9" xfId="13" applyNumberFormat="1" applyFont="1" applyFill="1" applyBorder="1" applyProtection="1"/>
    <xf numFmtId="177" fontId="24" fillId="0" borderId="9" xfId="13" applyNumberFormat="1" applyFont="1" applyFill="1" applyBorder="1" applyProtection="1"/>
    <xf numFmtId="179" fontId="24" fillId="0" borderId="9" xfId="13" applyNumberFormat="1" applyFont="1" applyFill="1" applyBorder="1" applyAlignment="1" applyProtection="1">
      <alignment horizontal="right"/>
    </xf>
    <xf numFmtId="5" fontId="24" fillId="0" borderId="0" xfId="13" applyNumberFormat="1" applyFont="1" applyFill="1" applyProtection="1"/>
    <xf numFmtId="178" fontId="24" fillId="0" borderId="0" xfId="13" applyNumberFormat="1" applyFont="1" applyFill="1" applyProtection="1"/>
    <xf numFmtId="180" fontId="24" fillId="0" borderId="0" xfId="13" applyFont="1" applyFill="1" applyProtection="1"/>
    <xf numFmtId="181" fontId="24" fillId="0" borderId="0" xfId="13" applyNumberFormat="1" applyFont="1" applyFill="1" applyBorder="1" applyProtection="1"/>
    <xf numFmtId="182" fontId="24" fillId="0" borderId="0" xfId="13" applyNumberFormat="1" applyFont="1" applyFill="1" applyBorder="1" applyAlignment="1" applyProtection="1">
      <alignment horizontal="center"/>
    </xf>
    <xf numFmtId="44" fontId="13" fillId="0" borderId="4" xfId="5" applyNumberFormat="1" applyFont="1" applyFill="1" applyBorder="1" applyAlignment="1" applyProtection="1">
      <alignment horizontal="right"/>
    </xf>
    <xf numFmtId="14" fontId="0" fillId="0" borderId="0" xfId="0" applyNumberFormat="1" applyFill="1" applyAlignment="1">
      <alignment horizontal="left"/>
    </xf>
    <xf numFmtId="49" fontId="0" fillId="0" borderId="0" xfId="0" applyNumberFormat="1" applyFill="1" applyAlignment="1">
      <alignment horizontal="left"/>
    </xf>
    <xf numFmtId="14" fontId="0" fillId="0" borderId="0" xfId="0" applyNumberFormat="1" applyFill="1"/>
    <xf numFmtId="0" fontId="0" fillId="0" borderId="0" xfId="0" applyFill="1" applyAlignment="1">
      <alignment horizontal="left"/>
    </xf>
    <xf numFmtId="43" fontId="0" fillId="0" borderId="0" xfId="1" applyFont="1" applyFill="1"/>
    <xf numFmtId="49" fontId="0" fillId="0" borderId="0" xfId="0" applyNumberFormat="1" applyFill="1"/>
    <xf numFmtId="14" fontId="0" fillId="0" borderId="0" xfId="0" applyNumberFormat="1" applyFill="1" applyAlignment="1">
      <alignment horizontal="right"/>
    </xf>
    <xf numFmtId="49" fontId="0" fillId="0" borderId="0" xfId="0" applyNumberFormat="1" applyFill="1" applyAlignment="1">
      <alignment horizontal="center"/>
    </xf>
    <xf numFmtId="175" fontId="34" fillId="0" borderId="0" xfId="28689" applyNumberFormat="1" applyFont="1" applyFill="1" applyAlignment="1">
      <alignment horizontal="right"/>
    </xf>
    <xf numFmtId="175" fontId="23" fillId="0" borderId="0" xfId="28689" applyNumberFormat="1" applyFont="1" applyFill="1" applyAlignment="1">
      <alignment horizontal="right"/>
    </xf>
    <xf numFmtId="175" fontId="13" fillId="0" borderId="0" xfId="28689" applyNumberFormat="1" applyFont="1" applyFill="1" applyAlignment="1">
      <alignment horizontal="right"/>
    </xf>
    <xf numFmtId="175" fontId="13" fillId="0" borderId="0" xfId="5" applyNumberFormat="1" applyFont="1" applyFill="1" applyProtection="1"/>
    <xf numFmtId="175" fontId="34" fillId="0" borderId="3" xfId="28689" applyNumberFormat="1" applyFont="1" applyFill="1" applyBorder="1" applyAlignment="1">
      <alignment horizontal="right"/>
    </xf>
    <xf numFmtId="175" fontId="23" fillId="0" borderId="3" xfId="28689" applyNumberFormat="1" applyFont="1" applyFill="1" applyBorder="1" applyAlignment="1">
      <alignment horizontal="right"/>
    </xf>
    <xf numFmtId="175" fontId="13" fillId="0" borderId="3" xfId="28689" applyNumberFormat="1" applyFont="1" applyFill="1" applyBorder="1" applyAlignment="1">
      <alignment horizontal="right"/>
    </xf>
    <xf numFmtId="37" fontId="109" fillId="0" borderId="0" xfId="28138" applyNumberFormat="1" applyFont="1" applyFill="1" applyBorder="1"/>
    <xf numFmtId="37" fontId="109" fillId="0" borderId="3" xfId="28138" applyNumberFormat="1" applyFont="1" applyFill="1" applyBorder="1"/>
    <xf numFmtId="3" fontId="13" fillId="0" borderId="0" xfId="5" applyNumberFormat="1" applyFont="1" applyFill="1" applyProtection="1"/>
    <xf numFmtId="43" fontId="12" fillId="0" borderId="0" xfId="1" applyFont="1" applyFill="1" applyAlignment="1" applyProtection="1">
      <alignment horizontal="center"/>
    </xf>
    <xf numFmtId="2" fontId="13" fillId="0" borderId="0" xfId="0" applyNumberFormat="1" applyFont="1" applyFill="1" applyAlignment="1" applyProtection="1">
      <alignment horizontal="center"/>
    </xf>
    <xf numFmtId="0" fontId="13" fillId="0" borderId="15" xfId="0" applyFont="1" applyFill="1" applyBorder="1" applyAlignment="1" applyProtection="1">
      <alignment horizontal="center"/>
    </xf>
    <xf numFmtId="0" fontId="13" fillId="0" borderId="16" xfId="0" applyFont="1" applyFill="1" applyBorder="1" applyAlignment="1" applyProtection="1">
      <alignment horizontal="left"/>
    </xf>
    <xf numFmtId="0" fontId="13" fillId="0" borderId="3" xfId="0" applyFont="1" applyFill="1" applyBorder="1" applyAlignment="1" applyProtection="1">
      <alignment horizontal="left"/>
    </xf>
    <xf numFmtId="0" fontId="13" fillId="0" borderId="0" xfId="0" applyFont="1" applyFill="1" applyBorder="1" applyAlignment="1" applyProtection="1">
      <alignment vertical="center"/>
    </xf>
    <xf numFmtId="179" fontId="24" fillId="0" borderId="3" xfId="7102" applyNumberFormat="1" applyFont="1" applyFill="1" applyBorder="1" applyProtection="1"/>
    <xf numFmtId="5" fontId="109" fillId="0" borderId="0" xfId="28138" applyNumberFormat="1" applyFont="1" applyFill="1" applyBorder="1"/>
    <xf numFmtId="5" fontId="13" fillId="0" borderId="0" xfId="1" applyNumberFormat="1" applyFont="1" applyFill="1" applyBorder="1" applyAlignment="1" applyProtection="1"/>
    <xf numFmtId="164" fontId="13" fillId="0" borderId="40" xfId="1" applyNumberFormat="1" applyFont="1" applyFill="1" applyBorder="1"/>
    <xf numFmtId="0" fontId="12" fillId="0" borderId="0" xfId="0" applyFont="1" applyFill="1" applyAlignment="1">
      <alignment horizontal="left" vertical="top"/>
    </xf>
    <xf numFmtId="0" fontId="13" fillId="0" borderId="0" xfId="0" applyFont="1" applyFill="1" applyAlignment="1">
      <alignment vertical="center"/>
    </xf>
    <xf numFmtId="0" fontId="13" fillId="0" borderId="0" xfId="0" applyFont="1" applyFill="1" applyAlignment="1">
      <alignment horizontal="right" vertical="center"/>
    </xf>
    <xf numFmtId="0" fontId="14" fillId="0" borderId="0" xfId="0" applyFont="1" applyFill="1" applyAlignment="1">
      <alignment horizontal="center"/>
    </xf>
    <xf numFmtId="0" fontId="15" fillId="0" borderId="0" xfId="0" applyFont="1" applyFill="1" applyAlignment="1">
      <alignment horizontal="center"/>
    </xf>
    <xf numFmtId="0" fontId="13" fillId="0" borderId="0" xfId="0" applyFont="1" applyFill="1" applyAlignment="1">
      <alignment horizontal="center"/>
    </xf>
    <xf numFmtId="0" fontId="12" fillId="0" borderId="0" xfId="0" applyFont="1" applyFill="1" applyAlignment="1">
      <alignment horizontal="center"/>
    </xf>
    <xf numFmtId="175" fontId="13" fillId="0" borderId="3" xfId="0" applyNumberFormat="1" applyFont="1" applyFill="1" applyBorder="1" applyAlignment="1">
      <alignment horizontal="center"/>
    </xf>
    <xf numFmtId="175" fontId="13" fillId="0" borderId="0" xfId="0" applyNumberFormat="1" applyFont="1" applyFill="1" applyAlignment="1">
      <alignment horizontal="center"/>
    </xf>
    <xf numFmtId="0" fontId="13" fillId="0" borderId="0" xfId="0" applyFont="1" applyFill="1" applyAlignment="1" applyProtection="1">
      <alignment horizontal="center"/>
    </xf>
    <xf numFmtId="0" fontId="12" fillId="0" borderId="0" xfId="0" applyFont="1" applyFill="1" applyAlignment="1" applyProtection="1">
      <alignment horizontal="center"/>
    </xf>
    <xf numFmtId="0" fontId="13" fillId="0" borderId="5" xfId="0" applyFont="1" applyFill="1" applyBorder="1" applyAlignment="1" applyProtection="1">
      <alignment horizontal="center"/>
    </xf>
    <xf numFmtId="0" fontId="13" fillId="0" borderId="12" xfId="0" applyFont="1" applyFill="1" applyBorder="1" applyAlignment="1" applyProtection="1">
      <alignment horizontal="center"/>
    </xf>
    <xf numFmtId="0" fontId="12" fillId="0" borderId="0" xfId="14" applyFont="1" applyFill="1" applyBorder="1" applyAlignment="1" applyProtection="1">
      <alignment horizontal="center"/>
    </xf>
    <xf numFmtId="0" fontId="12" fillId="0" borderId="0" xfId="14" applyFont="1" applyFill="1" applyBorder="1" applyAlignment="1">
      <alignment horizontal="center"/>
    </xf>
    <xf numFmtId="0" fontId="13" fillId="0" borderId="3" xfId="0" applyFont="1" applyFill="1" applyBorder="1" applyAlignment="1">
      <alignment horizontal="center" wrapText="1"/>
    </xf>
    <xf numFmtId="0" fontId="13" fillId="0" borderId="0" xfId="0" applyFont="1" applyFill="1" applyAlignment="1">
      <alignment horizontal="left" vertical="center"/>
    </xf>
    <xf numFmtId="0" fontId="34" fillId="0" borderId="0" xfId="0" applyFont="1" applyFill="1" applyAlignment="1">
      <alignment horizontal="left" vertical="top" wrapText="1"/>
    </xf>
    <xf numFmtId="0" fontId="13" fillId="0" borderId="0" xfId="0" applyFont="1" applyFill="1" applyBorder="1" applyAlignment="1" applyProtection="1">
      <alignment horizontal="center"/>
    </xf>
    <xf numFmtId="0" fontId="13" fillId="0" borderId="14" xfId="0" applyFont="1" applyFill="1" applyBorder="1" applyAlignment="1" applyProtection="1">
      <alignment horizontal="center"/>
    </xf>
    <xf numFmtId="0" fontId="12" fillId="0" borderId="0" xfId="7" applyFont="1" applyFill="1" applyAlignment="1" applyProtection="1">
      <alignment horizontal="center"/>
    </xf>
    <xf numFmtId="0" fontId="12" fillId="0" borderId="0" xfId="7" applyFont="1" applyFill="1" applyAlignment="1">
      <alignment horizontal="center"/>
    </xf>
    <xf numFmtId="0" fontId="13" fillId="0" borderId="0" xfId="0" applyFont="1" applyFill="1" applyAlignment="1">
      <alignment horizontal="left" vertical="center" wrapText="1"/>
    </xf>
    <xf numFmtId="191" fontId="13" fillId="0" borderId="0" xfId="0" applyNumberFormat="1" applyFont="1" applyFill="1" applyAlignment="1" applyProtection="1">
      <alignment horizontal="left"/>
    </xf>
    <xf numFmtId="191" fontId="13" fillId="0" borderId="0" xfId="0" applyNumberFormat="1" applyFont="1" applyFill="1" applyAlignment="1">
      <alignment horizontal="center"/>
    </xf>
    <xf numFmtId="49" fontId="140" fillId="0" borderId="0" xfId="7" applyNumberFormat="1" applyFont="1" applyFill="1"/>
    <xf numFmtId="40" fontId="140" fillId="0" borderId="0" xfId="7" applyNumberFormat="1" applyFont="1" applyFill="1"/>
    <xf numFmtId="49" fontId="140" fillId="0" borderId="0" xfId="7" applyNumberFormat="1" applyFont="1" applyFill="1" applyAlignment="1">
      <alignment horizontal="center"/>
    </xf>
    <xf numFmtId="43" fontId="13" fillId="0" borderId="0" xfId="1" applyNumberFormat="1" applyFont="1" applyFill="1"/>
    <xf numFmtId="40" fontId="13" fillId="0" borderId="0" xfId="22" applyNumberFormat="1" applyFont="1" applyFill="1" applyProtection="1"/>
    <xf numFmtId="164" fontId="13" fillId="0" borderId="0" xfId="1" applyNumberFormat="1" applyFont="1" applyFill="1" applyBorder="1" applyAlignment="1" applyProtection="1">
      <alignment horizontal="center" wrapText="1"/>
    </xf>
    <xf numFmtId="199" fontId="0" fillId="0" borderId="0" xfId="0" applyNumberFormat="1" applyFill="1" applyProtection="1"/>
    <xf numFmtId="175" fontId="13" fillId="0" borderId="3" xfId="0" applyNumberFormat="1" applyFont="1" applyFill="1" applyBorder="1"/>
    <xf numFmtId="0" fontId="16" fillId="0" borderId="0" xfId="24802" applyFont="1" applyFill="1" applyAlignment="1">
      <alignment horizontal="center"/>
    </xf>
    <xf numFmtId="0" fontId="13" fillId="0" borderId="0" xfId="24802" applyFont="1" applyFill="1"/>
    <xf numFmtId="0" fontId="13" fillId="0" borderId="0" xfId="24457" applyFont="1" applyFill="1" applyAlignment="1">
      <alignment horizontal="right"/>
    </xf>
    <xf numFmtId="166" fontId="13" fillId="0" borderId="0" xfId="5" applyNumberFormat="1" applyFont="1" applyFill="1"/>
    <xf numFmtId="5" fontId="13" fillId="0" borderId="0" xfId="5" applyNumberFormat="1" applyFont="1" applyFill="1" applyAlignment="1" applyProtection="1">
      <alignment horizontal="right"/>
    </xf>
    <xf numFmtId="5" fontId="13" fillId="0" borderId="3" xfId="5" applyNumberFormat="1" applyFont="1" applyFill="1" applyBorder="1" applyAlignment="1" applyProtection="1">
      <alignment horizontal="right"/>
    </xf>
    <xf numFmtId="164" fontId="17" fillId="0" borderId="0" xfId="1" applyNumberFormat="1" applyFont="1" applyFill="1" applyAlignment="1" applyProtection="1">
      <alignment horizontal="right"/>
    </xf>
    <xf numFmtId="164" fontId="13" fillId="0" borderId="3" xfId="1" applyNumberFormat="1" applyFont="1" applyFill="1" applyBorder="1" applyAlignment="1" applyProtection="1"/>
    <xf numFmtId="49" fontId="24" fillId="0" borderId="0" xfId="7" applyNumberFormat="1" applyFont="1" applyFill="1"/>
    <xf numFmtId="43" fontId="24" fillId="0" borderId="0" xfId="28706" applyFont="1" applyFill="1"/>
    <xf numFmtId="41" fontId="13" fillId="0" borderId="4" xfId="5" applyNumberFormat="1" applyFont="1" applyFill="1" applyBorder="1" applyAlignment="1" applyProtection="1"/>
    <xf numFmtId="42" fontId="13" fillId="0" borderId="3" xfId="0" applyNumberFormat="1" applyFont="1" applyFill="1" applyBorder="1" applyProtection="1"/>
    <xf numFmtId="184" fontId="13" fillId="0" borderId="0" xfId="28689" applyNumberFormat="1" applyFont="1" applyFill="1" applyAlignment="1">
      <alignment horizontal="center"/>
    </xf>
    <xf numFmtId="1" fontId="13" fillId="0" borderId="0" xfId="28689" applyNumberFormat="1" applyFont="1" applyFill="1" applyAlignment="1">
      <alignment horizontal="center"/>
    </xf>
    <xf numFmtId="0" fontId="35" fillId="0" borderId="0" xfId="0" applyFont="1" applyFill="1" applyAlignment="1">
      <alignment horizontal="center"/>
    </xf>
    <xf numFmtId="0" fontId="14" fillId="0" borderId="0" xfId="0" applyFont="1" applyFill="1" applyAlignment="1">
      <alignment horizontal="center"/>
    </xf>
    <xf numFmtId="187" fontId="14" fillId="0" borderId="0" xfId="0" applyNumberFormat="1" applyFont="1" applyFill="1" applyAlignment="1">
      <alignment horizontal="center"/>
    </xf>
    <xf numFmtId="0" fontId="14" fillId="0" borderId="0" xfId="0" applyFont="1" applyFill="1" applyAlignment="1" applyProtection="1">
      <alignment horizontal="center"/>
      <protection locked="0"/>
    </xf>
    <xf numFmtId="187" fontId="14" fillId="0" borderId="0" xfId="0" applyNumberFormat="1" applyFont="1" applyFill="1" applyAlignment="1" applyProtection="1">
      <alignment horizontal="center"/>
      <protection locked="0"/>
    </xf>
    <xf numFmtId="0" fontId="15" fillId="0" borderId="0" xfId="0" applyFont="1" applyFill="1" applyAlignment="1">
      <alignment horizontal="center"/>
    </xf>
    <xf numFmtId="0" fontId="13" fillId="0" borderId="0" xfId="0" applyFont="1" applyFill="1" applyAlignment="1">
      <alignment horizontal="center"/>
    </xf>
    <xf numFmtId="0" fontId="12" fillId="0" borderId="0" xfId="0" applyFont="1" applyFill="1" applyAlignment="1">
      <alignment horizontal="center"/>
    </xf>
    <xf numFmtId="175" fontId="13" fillId="0" borderId="3" xfId="0" applyNumberFormat="1" applyFont="1" applyFill="1" applyBorder="1" applyAlignment="1">
      <alignment horizontal="left"/>
    </xf>
    <xf numFmtId="175" fontId="13" fillId="0" borderId="3" xfId="0" applyNumberFormat="1" applyFont="1" applyFill="1" applyBorder="1" applyAlignment="1">
      <alignment horizontal="center"/>
    </xf>
    <xf numFmtId="175" fontId="13" fillId="0" borderId="0" xfId="0" applyNumberFormat="1" applyFont="1" applyFill="1" applyAlignment="1">
      <alignment horizontal="center"/>
    </xf>
    <xf numFmtId="175" fontId="13" fillId="0" borderId="0" xfId="0" applyNumberFormat="1" applyFont="1" applyFill="1" applyAlignment="1">
      <alignment horizontal="left"/>
    </xf>
    <xf numFmtId="175" fontId="13" fillId="0" borderId="0" xfId="0" applyNumberFormat="1" applyFont="1" applyFill="1" applyAlignment="1">
      <alignment horizontal="left" vertical="top"/>
    </xf>
    <xf numFmtId="0" fontId="13" fillId="0" borderId="0" xfId="0" applyFont="1" applyFill="1" applyAlignment="1" applyProtection="1">
      <alignment horizontal="center"/>
    </xf>
    <xf numFmtId="0" fontId="38" fillId="0" borderId="0" xfId="0" applyFont="1" applyFill="1" applyAlignment="1" applyProtection="1">
      <alignment horizontal="center"/>
    </xf>
    <xf numFmtId="0" fontId="13" fillId="0" borderId="0" xfId="0" applyFont="1" applyFill="1" applyAlignment="1" applyProtection="1">
      <alignment horizontal="left" wrapText="1"/>
    </xf>
    <xf numFmtId="0" fontId="12" fillId="0" borderId="0" xfId="0" applyFont="1" applyFill="1" applyAlignment="1" applyProtection="1">
      <alignment horizontal="center"/>
    </xf>
    <xf numFmtId="0" fontId="13" fillId="0" borderId="0" xfId="0" applyFont="1" applyFill="1" applyBorder="1" applyAlignment="1" applyProtection="1">
      <alignment horizontal="left" wrapText="1"/>
    </xf>
    <xf numFmtId="0" fontId="13" fillId="0" borderId="7" xfId="0" applyFont="1" applyFill="1" applyBorder="1" applyAlignment="1" applyProtection="1">
      <alignment horizontal="center"/>
    </xf>
    <xf numFmtId="0" fontId="13" fillId="0" borderId="11" xfId="0" applyFont="1" applyFill="1" applyBorder="1" applyAlignment="1" applyProtection="1">
      <alignment horizontal="center"/>
    </xf>
    <xf numFmtId="0" fontId="13" fillId="0" borderId="5" xfId="0" applyFont="1" applyFill="1" applyBorder="1" applyAlignment="1" applyProtection="1">
      <alignment horizontal="center"/>
    </xf>
    <xf numFmtId="0" fontId="13" fillId="0" borderId="12" xfId="0" applyFont="1" applyFill="1" applyBorder="1" applyAlignment="1" applyProtection="1">
      <alignment horizontal="center"/>
    </xf>
    <xf numFmtId="180" fontId="13" fillId="0" borderId="0" xfId="13" applyFont="1" applyFill="1" applyAlignment="1" applyProtection="1">
      <alignment horizontal="left" wrapText="1"/>
    </xf>
    <xf numFmtId="0" fontId="12" fillId="0" borderId="0" xfId="14" applyFont="1" applyFill="1" applyBorder="1" applyAlignment="1" applyProtection="1">
      <alignment horizontal="center"/>
    </xf>
    <xf numFmtId="0" fontId="12" fillId="0" borderId="0" xfId="14" applyFont="1" applyFill="1" applyBorder="1" applyAlignment="1">
      <alignment horizontal="center"/>
    </xf>
    <xf numFmtId="0" fontId="13" fillId="0" borderId="0" xfId="9" applyFont="1" applyFill="1" applyAlignment="1" applyProtection="1">
      <alignment horizontal="left" wrapText="1"/>
    </xf>
    <xf numFmtId="0" fontId="12" fillId="0" borderId="0" xfId="14" applyFont="1" applyFill="1" applyBorder="1" applyAlignment="1" applyProtection="1">
      <alignment horizontal="center" vertical="center"/>
    </xf>
    <xf numFmtId="0" fontId="27" fillId="0" borderId="0" xfId="14" applyFont="1" applyFill="1" applyBorder="1" applyAlignment="1" applyProtection="1">
      <alignment horizontal="center"/>
    </xf>
    <xf numFmtId="0" fontId="13" fillId="0" borderId="3" xfId="0" applyFont="1" applyFill="1" applyBorder="1" applyAlignment="1">
      <alignment horizontal="center" wrapText="1"/>
    </xf>
    <xf numFmtId="0" fontId="13" fillId="0" borderId="0" xfId="15" applyNumberFormat="1" applyFont="1" applyFill="1" applyAlignment="1">
      <alignment horizontal="left" wrapText="1"/>
    </xf>
    <xf numFmtId="0" fontId="13" fillId="0" borderId="0" xfId="0" applyFont="1" applyFill="1" applyAlignment="1">
      <alignment horizontal="left" vertical="center" wrapText="1"/>
    </xf>
    <xf numFmtId="0" fontId="34" fillId="0" borderId="0" xfId="0" applyFont="1" applyFill="1" applyAlignment="1">
      <alignment horizontal="left" vertical="top" wrapText="1"/>
    </xf>
    <xf numFmtId="0" fontId="13" fillId="0" borderId="0" xfId="0" applyFont="1" applyFill="1" applyAlignment="1" applyProtection="1">
      <alignment horizontal="left" vertical="top" wrapText="1" readingOrder="1"/>
      <protection locked="0"/>
    </xf>
    <xf numFmtId="0" fontId="141" fillId="0" borderId="0" xfId="0" applyFont="1" applyFill="1" applyAlignment="1">
      <alignment horizontal="left" vertical="center" wrapText="1"/>
    </xf>
    <xf numFmtId="0" fontId="13" fillId="0" borderId="0" xfId="0" applyFont="1" applyFill="1" applyAlignment="1">
      <alignment horizontal="left" wrapText="1"/>
    </xf>
    <xf numFmtId="0" fontId="13" fillId="0" borderId="0" xfId="0" applyFont="1" applyFill="1" applyAlignment="1">
      <alignment horizontal="center" vertical="center"/>
    </xf>
    <xf numFmtId="0" fontId="13" fillId="0" borderId="0" xfId="0" applyFont="1" applyFill="1" applyAlignment="1">
      <alignment horizontal="left" vertical="center"/>
    </xf>
    <xf numFmtId="175" fontId="12" fillId="0" borderId="0" xfId="0" applyNumberFormat="1" applyFont="1" applyFill="1" applyAlignment="1" applyProtection="1">
      <alignment horizontal="center"/>
    </xf>
    <xf numFmtId="0" fontId="12" fillId="0" borderId="0" xfId="0" applyFont="1" applyFill="1" applyBorder="1" applyAlignment="1" applyProtection="1">
      <alignment horizontal="center"/>
    </xf>
    <xf numFmtId="0" fontId="13" fillId="0" borderId="13" xfId="0" applyFont="1" applyFill="1" applyBorder="1" applyAlignment="1" applyProtection="1">
      <alignment horizontal="center"/>
    </xf>
    <xf numFmtId="0" fontId="13" fillId="0" borderId="0" xfId="0" applyFont="1" applyFill="1" applyBorder="1" applyAlignment="1" applyProtection="1">
      <alignment horizontal="center"/>
    </xf>
    <xf numFmtId="0" fontId="13" fillId="0" borderId="14" xfId="0" applyFont="1" applyFill="1" applyBorder="1" applyAlignment="1" applyProtection="1">
      <alignment horizontal="center"/>
    </xf>
    <xf numFmtId="0" fontId="13" fillId="0" borderId="13" xfId="0" applyNumberFormat="1" applyFont="1" applyFill="1" applyBorder="1" applyAlignment="1" applyProtection="1">
      <alignment horizontal="left" wrapText="1"/>
    </xf>
    <xf numFmtId="0" fontId="13" fillId="0" borderId="0" xfId="0" applyNumberFormat="1" applyFont="1" applyFill="1" applyBorder="1" applyAlignment="1" applyProtection="1">
      <alignment horizontal="left" wrapText="1"/>
    </xf>
    <xf numFmtId="0" fontId="13" fillId="0" borderId="16" xfId="0" applyFont="1" applyFill="1" applyBorder="1" applyAlignment="1" applyProtection="1">
      <alignment horizontal="left" wrapText="1"/>
    </xf>
    <xf numFmtId="0" fontId="13" fillId="0" borderId="3" xfId="0" applyFont="1" applyFill="1" applyBorder="1" applyAlignment="1" applyProtection="1">
      <alignment horizontal="left" wrapText="1"/>
    </xf>
    <xf numFmtId="0" fontId="13" fillId="0" borderId="17" xfId="0" applyFont="1" applyFill="1" applyBorder="1" applyAlignment="1" applyProtection="1">
      <alignment horizontal="center"/>
    </xf>
    <xf numFmtId="0" fontId="13" fillId="0" borderId="6" xfId="0" applyFont="1" applyFill="1" applyBorder="1" applyAlignment="1" applyProtection="1">
      <alignment horizontal="center"/>
    </xf>
    <xf numFmtId="180" fontId="37" fillId="0" borderId="0" xfId="13" applyFont="1" applyFill="1" applyAlignment="1" applyProtection="1">
      <alignment horizontal="center"/>
    </xf>
    <xf numFmtId="0" fontId="12" fillId="0" borderId="17" xfId="7" applyFont="1" applyFill="1" applyBorder="1" applyAlignment="1" applyProtection="1">
      <alignment horizontal="center"/>
    </xf>
    <xf numFmtId="0" fontId="12" fillId="0" borderId="7" xfId="7" applyFont="1" applyFill="1" applyBorder="1" applyAlignment="1" applyProtection="1">
      <alignment horizontal="center"/>
    </xf>
    <xf numFmtId="0" fontId="12" fillId="0" borderId="6" xfId="7" applyFont="1" applyFill="1" applyBorder="1" applyAlignment="1" applyProtection="1">
      <alignment horizontal="center"/>
    </xf>
    <xf numFmtId="0" fontId="12" fillId="0" borderId="0" xfId="7" applyFont="1" applyFill="1" applyAlignment="1" applyProtection="1">
      <alignment horizontal="center"/>
    </xf>
    <xf numFmtId="0" fontId="12" fillId="0" borderId="17" xfId="7" applyFont="1" applyFill="1" applyBorder="1" applyAlignment="1">
      <alignment horizontal="center"/>
    </xf>
    <xf numFmtId="0" fontId="12" fillId="0" borderId="7" xfId="7" applyFont="1" applyFill="1" applyBorder="1" applyAlignment="1">
      <alignment horizontal="center"/>
    </xf>
    <xf numFmtId="0" fontId="12" fillId="0" borderId="6" xfId="7" applyFont="1" applyFill="1" applyBorder="1" applyAlignment="1">
      <alignment horizontal="center"/>
    </xf>
    <xf numFmtId="0" fontId="12" fillId="0" borderId="0" xfId="7" applyFont="1" applyFill="1" applyAlignment="1">
      <alignment horizontal="center"/>
    </xf>
  </cellXfs>
  <cellStyles count="28711">
    <cellStyle name="20% - Accent1" xfId="7105" builtinId="30" customBuiltin="1"/>
    <cellStyle name="20% - Accent1 10" xfId="640"/>
    <cellStyle name="20% - Accent1 10 2" xfId="4221"/>
    <cellStyle name="20% - Accent1 10 2 2" xfId="7117"/>
    <cellStyle name="20% - Accent1 10 3" xfId="7118"/>
    <cellStyle name="20% - Accent1 10 4" xfId="7119"/>
    <cellStyle name="20% - Accent1 10 5" xfId="7120"/>
    <cellStyle name="20% - Accent1 11" xfId="641"/>
    <cellStyle name="20% - Accent1 11 2" xfId="4222"/>
    <cellStyle name="20% - Accent1 11 2 2" xfId="7121"/>
    <cellStyle name="20% - Accent1 11 3" xfId="7122"/>
    <cellStyle name="20% - Accent1 11 4" xfId="7123"/>
    <cellStyle name="20% - Accent1 11 5" xfId="7124"/>
    <cellStyle name="20% - Accent1 12" xfId="798"/>
    <cellStyle name="20% - Accent1 12 2" xfId="7126"/>
    <cellStyle name="20% - Accent1 12 3" xfId="7127"/>
    <cellStyle name="20% - Accent1 12 4" xfId="7125"/>
    <cellStyle name="20% - Accent1 13" xfId="799"/>
    <cellStyle name="20% - Accent1 13 2" xfId="3845"/>
    <cellStyle name="20% - Accent1 13 2 2" xfId="5925"/>
    <cellStyle name="20% - Accent1 13 2 2 2" xfId="25075"/>
    <cellStyle name="20% - Accent1 13 2 3" xfId="7129"/>
    <cellStyle name="20% - Accent1 13 2 4" xfId="24981"/>
    <cellStyle name="20% - Accent1 13 2 5" xfId="25074"/>
    <cellStyle name="20% - Accent1 13 3" xfId="5924"/>
    <cellStyle name="20% - Accent1 13 3 2" xfId="7130"/>
    <cellStyle name="20% - Accent1 13 3 3" xfId="25076"/>
    <cellStyle name="20% - Accent1 13 4" xfId="7128"/>
    <cellStyle name="20% - Accent1 13 5" xfId="24860"/>
    <cellStyle name="20% - Accent1 13 6" xfId="25073"/>
    <cellStyle name="20% - Accent1 14" xfId="921"/>
    <cellStyle name="20% - Accent1 14 2" xfId="7132"/>
    <cellStyle name="20% - Accent1 14 3" xfId="7133"/>
    <cellStyle name="20% - Accent1 14 4" xfId="7131"/>
    <cellStyle name="20% - Accent1 15" xfId="7134"/>
    <cellStyle name="20% - Accent1 15 2" xfId="7135"/>
    <cellStyle name="20% - Accent1 15 3" xfId="7136"/>
    <cellStyle name="20% - Accent1 16" xfId="7137"/>
    <cellStyle name="20% - Accent1 16 2" xfId="7138"/>
    <cellStyle name="20% - Accent1 16 3" xfId="7139"/>
    <cellStyle name="20% - Accent1 17" xfId="7140"/>
    <cellStyle name="20% - Accent1 17 2" xfId="7141"/>
    <cellStyle name="20% - Accent1 17 3" xfId="7142"/>
    <cellStyle name="20% - Accent1 18" xfId="7143"/>
    <cellStyle name="20% - Accent1 18 2" xfId="7144"/>
    <cellStyle name="20% - Accent1 18 3" xfId="7145"/>
    <cellStyle name="20% - Accent1 19" xfId="7146"/>
    <cellStyle name="20% - Accent1 19 2" xfId="7147"/>
    <cellStyle name="20% - Accent1 2" xfId="68"/>
    <cellStyle name="20% - Accent1 2 10" xfId="1667"/>
    <cellStyle name="20% - Accent1 2 10 2" xfId="4223"/>
    <cellStyle name="20% - Accent1 2 10 2 2" xfId="7148"/>
    <cellStyle name="20% - Accent1 2 10 3" xfId="7149"/>
    <cellStyle name="20% - Accent1 2 10 4" xfId="7150"/>
    <cellStyle name="20% - Accent1 2 10 5" xfId="7151"/>
    <cellStyle name="20% - Accent1 2 11" xfId="1666"/>
    <cellStyle name="20% - Accent1 2 11 2" xfId="4224"/>
    <cellStyle name="20% - Accent1 2 11 2 2" xfId="7152"/>
    <cellStyle name="20% - Accent1 2 11 3" xfId="7153"/>
    <cellStyle name="20% - Accent1 2 11 4" xfId="7154"/>
    <cellStyle name="20% - Accent1 2 11 5" xfId="7155"/>
    <cellStyle name="20% - Accent1 2 12" xfId="1876"/>
    <cellStyle name="20% - Accent1 2 12 2" xfId="4225"/>
    <cellStyle name="20% - Accent1 2 12 2 2" xfId="7156"/>
    <cellStyle name="20% - Accent1 2 12 3" xfId="7157"/>
    <cellStyle name="20% - Accent1 2 12 4" xfId="7158"/>
    <cellStyle name="20% - Accent1 2 12 5" xfId="7159"/>
    <cellStyle name="20% - Accent1 2 13" xfId="2251"/>
    <cellStyle name="20% - Accent1 2 13 2" xfId="4226"/>
    <cellStyle name="20% - Accent1 2 13 2 2" xfId="7160"/>
    <cellStyle name="20% - Accent1 2 13 3" xfId="7161"/>
    <cellStyle name="20% - Accent1 2 13 4" xfId="7162"/>
    <cellStyle name="20% - Accent1 2 13 5" xfId="7163"/>
    <cellStyle name="20% - Accent1 2 14" xfId="2414"/>
    <cellStyle name="20% - Accent1 2 14 2" xfId="4227"/>
    <cellStyle name="20% - Accent1 2 14 2 2" xfId="7164"/>
    <cellStyle name="20% - Accent1 2 14 3" xfId="7165"/>
    <cellStyle name="20% - Accent1 2 14 4" xfId="7166"/>
    <cellStyle name="20% - Accent1 2 14 5" xfId="7167"/>
    <cellStyle name="20% - Accent1 2 15" xfId="2997"/>
    <cellStyle name="20% - Accent1 2 15 2" xfId="4228"/>
    <cellStyle name="20% - Accent1 2 15 2 2" xfId="7168"/>
    <cellStyle name="20% - Accent1 2 15 3" xfId="7169"/>
    <cellStyle name="20% - Accent1 2 16" xfId="3632"/>
    <cellStyle name="20% - Accent1 2 16 2" xfId="4229"/>
    <cellStyle name="20% - Accent1 2 16 2 2" xfId="7170"/>
    <cellStyle name="20% - Accent1 2 16 3" xfId="7171"/>
    <cellStyle name="20% - Accent1 2 17" xfId="24467"/>
    <cellStyle name="20% - Accent1 2 2" xfId="112"/>
    <cellStyle name="20% - Accent1 2 2 10" xfId="7172"/>
    <cellStyle name="20% - Accent1 2 2 10 2" xfId="7173"/>
    <cellStyle name="20% - Accent1 2 2 10 3" xfId="7174"/>
    <cellStyle name="20% - Accent1 2 2 11" xfId="7175"/>
    <cellStyle name="20% - Accent1 2 2 11 2" xfId="7176"/>
    <cellStyle name="20% - Accent1 2 2 11 3" xfId="7177"/>
    <cellStyle name="20% - Accent1 2 2 12" xfId="7178"/>
    <cellStyle name="20% - Accent1 2 2 12 2" xfId="7179"/>
    <cellStyle name="20% - Accent1 2 2 12 3" xfId="7180"/>
    <cellStyle name="20% - Accent1 2 2 13" xfId="7181"/>
    <cellStyle name="20% - Accent1 2 2 14" xfId="7182"/>
    <cellStyle name="20% - Accent1 2 2 15" xfId="7183"/>
    <cellStyle name="20% - Accent1 2 2 2" xfId="171"/>
    <cellStyle name="20% - Accent1 2 2 2 2" xfId="7184"/>
    <cellStyle name="20% - Accent1 2 2 2 3" xfId="7185"/>
    <cellStyle name="20% - Accent1 2 2 3" xfId="335"/>
    <cellStyle name="20% - Accent1 2 2 3 2" xfId="7186"/>
    <cellStyle name="20% - Accent1 2 2 3 3" xfId="7187"/>
    <cellStyle name="20% - Accent1 2 2 4" xfId="2157"/>
    <cellStyle name="20% - Accent1 2 2 4 2" xfId="7188"/>
    <cellStyle name="20% - Accent1 2 2 4 3" xfId="7189"/>
    <cellStyle name="20% - Accent1 2 2 5" xfId="2531"/>
    <cellStyle name="20% - Accent1 2 2 5 2" xfId="7190"/>
    <cellStyle name="20% - Accent1 2 2 5 3" xfId="7191"/>
    <cellStyle name="20% - Accent1 2 2 6" xfId="2903"/>
    <cellStyle name="20% - Accent1 2 2 6 2" xfId="7192"/>
    <cellStyle name="20% - Accent1 2 2 6 3" xfId="7193"/>
    <cellStyle name="20% - Accent1 2 2 7" xfId="3275"/>
    <cellStyle name="20% - Accent1 2 2 7 2" xfId="7194"/>
    <cellStyle name="20% - Accent1 2 2 7 3" xfId="7195"/>
    <cellStyle name="20% - Accent1 2 2 8" xfId="4230"/>
    <cellStyle name="20% - Accent1 2 2 8 2" xfId="7197"/>
    <cellStyle name="20% - Accent1 2 2 8 3" xfId="7198"/>
    <cellStyle name="20% - Accent1 2 2 8 4" xfId="7196"/>
    <cellStyle name="20% - Accent1 2 2 9" xfId="7199"/>
    <cellStyle name="20% - Accent1 2 2 9 2" xfId="7200"/>
    <cellStyle name="20% - Accent1 2 2 9 3" xfId="7201"/>
    <cellStyle name="20% - Accent1 2 3" xfId="277"/>
    <cellStyle name="20% - Accent1 2 3 2" xfId="1333"/>
    <cellStyle name="20% - Accent1 2 3 2 2" xfId="7202"/>
    <cellStyle name="20% - Accent1 2 3 2 3" xfId="7203"/>
    <cellStyle name="20% - Accent1 2 3 3" xfId="7204"/>
    <cellStyle name="20% - Accent1 2 3 4" xfId="7205"/>
    <cellStyle name="20% - Accent1 2 4" xfId="358"/>
    <cellStyle name="20% - Accent1 2 4 2" xfId="7206"/>
    <cellStyle name="20% - Accent1 2 4 2 2" xfId="7207"/>
    <cellStyle name="20% - Accent1 2 4 2 3" xfId="7208"/>
    <cellStyle name="20% - Accent1 2 4 3" xfId="7209"/>
    <cellStyle name="20% - Accent1 2 4 4" xfId="7210"/>
    <cellStyle name="20% - Accent1 2 5" xfId="519"/>
    <cellStyle name="20% - Accent1 2 5 2" xfId="7211"/>
    <cellStyle name="20% - Accent1 2 5 3" xfId="7212"/>
    <cellStyle name="20% - Accent1 2 6" xfId="642"/>
    <cellStyle name="20% - Accent1 2 6 2" xfId="7213"/>
    <cellStyle name="20% - Accent1 2 6 3" xfId="7214"/>
    <cellStyle name="20% - Accent1 2 7" xfId="643"/>
    <cellStyle name="20% - Accent1 2 7 2" xfId="7215"/>
    <cellStyle name="20% - Accent1 2 7 3" xfId="7216"/>
    <cellStyle name="20% - Accent1 2 8" xfId="800"/>
    <cellStyle name="20% - Accent1 2 8 2" xfId="1396"/>
    <cellStyle name="20% - Accent1 2 8 2 2" xfId="7217"/>
    <cellStyle name="20% - Accent1 2 8 3" xfId="7218"/>
    <cellStyle name="20% - Accent1 2 8 4" xfId="7219"/>
    <cellStyle name="20% - Accent1 2 8 5" xfId="7220"/>
    <cellStyle name="20% - Accent1 2 9" xfId="922"/>
    <cellStyle name="20% - Accent1 2 9 2" xfId="1387"/>
    <cellStyle name="20% - Accent1 2 9 2 2" xfId="7221"/>
    <cellStyle name="20% - Accent1 2 9 3" xfId="7222"/>
    <cellStyle name="20% - Accent1 2 9 4" xfId="7223"/>
    <cellStyle name="20% - Accent1 2 9 5" xfId="7224"/>
    <cellStyle name="20% - Accent1 20" xfId="7225"/>
    <cellStyle name="20% - Accent1 21" xfId="7226"/>
    <cellStyle name="20% - Accent1 21 2" xfId="7227"/>
    <cellStyle name="20% - Accent1 21 2 2" xfId="7228"/>
    <cellStyle name="20% - Accent1 21 2 2 2" xfId="25079"/>
    <cellStyle name="20% - Accent1 21 2 2 3" xfId="28150"/>
    <cellStyle name="20% - Accent1 21 2 3" xfId="7229"/>
    <cellStyle name="20% - Accent1 21 2 3 2" xfId="25080"/>
    <cellStyle name="20% - Accent1 21 2 3 3" xfId="28151"/>
    <cellStyle name="20% - Accent1 21 2 4" xfId="25078"/>
    <cellStyle name="20% - Accent1 21 2 5" xfId="28149"/>
    <cellStyle name="20% - Accent1 21 3" xfId="7230"/>
    <cellStyle name="20% - Accent1 21 3 2" xfId="25081"/>
    <cellStyle name="20% - Accent1 21 3 3" xfId="28152"/>
    <cellStyle name="20% - Accent1 21 4" xfId="7231"/>
    <cellStyle name="20% - Accent1 21 4 2" xfId="25082"/>
    <cellStyle name="20% - Accent1 21 4 3" xfId="28153"/>
    <cellStyle name="20% - Accent1 21 5" xfId="25077"/>
    <cellStyle name="20% - Accent1 21 6" xfId="28148"/>
    <cellStyle name="20% - Accent1 22" xfId="7232"/>
    <cellStyle name="20% - Accent1 22 2" xfId="7233"/>
    <cellStyle name="20% - Accent1 22 2 2" xfId="7234"/>
    <cellStyle name="20% - Accent1 22 2 2 2" xfId="25085"/>
    <cellStyle name="20% - Accent1 22 2 2 3" xfId="28156"/>
    <cellStyle name="20% - Accent1 22 2 3" xfId="7235"/>
    <cellStyle name="20% - Accent1 22 2 3 2" xfId="25086"/>
    <cellStyle name="20% - Accent1 22 2 3 3" xfId="28157"/>
    <cellStyle name="20% - Accent1 22 2 4" xfId="25084"/>
    <cellStyle name="20% - Accent1 22 2 5" xfId="28155"/>
    <cellStyle name="20% - Accent1 22 3" xfId="7236"/>
    <cellStyle name="20% - Accent1 22 3 2" xfId="25087"/>
    <cellStyle name="20% - Accent1 22 3 3" xfId="28158"/>
    <cellStyle name="20% - Accent1 22 4" xfId="7237"/>
    <cellStyle name="20% - Accent1 22 4 2" xfId="25088"/>
    <cellStyle name="20% - Accent1 22 4 3" xfId="28159"/>
    <cellStyle name="20% - Accent1 22 5" xfId="25083"/>
    <cellStyle name="20% - Accent1 22 6" xfId="28154"/>
    <cellStyle name="20% - Accent1 23" xfId="7238"/>
    <cellStyle name="20% - Accent1 24" xfId="7239"/>
    <cellStyle name="20% - Accent1 24 2" xfId="7240"/>
    <cellStyle name="20% - Accent1 24 2 2" xfId="7241"/>
    <cellStyle name="20% - Accent1 24 2 2 2" xfId="25091"/>
    <cellStyle name="20% - Accent1 24 2 2 3" xfId="28162"/>
    <cellStyle name="20% - Accent1 24 2 3" xfId="7242"/>
    <cellStyle name="20% - Accent1 24 2 3 2" xfId="25092"/>
    <cellStyle name="20% - Accent1 24 2 3 3" xfId="28163"/>
    <cellStyle name="20% - Accent1 24 2 4" xfId="25090"/>
    <cellStyle name="20% - Accent1 24 2 5" xfId="28161"/>
    <cellStyle name="20% - Accent1 24 3" xfId="7243"/>
    <cellStyle name="20% - Accent1 24 3 2" xfId="25093"/>
    <cellStyle name="20% - Accent1 24 3 3" xfId="28164"/>
    <cellStyle name="20% - Accent1 24 4" xfId="7244"/>
    <cellStyle name="20% - Accent1 24 4 2" xfId="25094"/>
    <cellStyle name="20% - Accent1 24 4 3" xfId="28165"/>
    <cellStyle name="20% - Accent1 24 5" xfId="25089"/>
    <cellStyle name="20% - Accent1 24 6" xfId="28160"/>
    <cellStyle name="20% - Accent1 25" xfId="7245"/>
    <cellStyle name="20% - Accent1 25 2" xfId="7246"/>
    <cellStyle name="20% - Accent1 25 2 2" xfId="7247"/>
    <cellStyle name="20% - Accent1 25 2 2 2" xfId="25097"/>
    <cellStyle name="20% - Accent1 25 2 2 3" xfId="28168"/>
    <cellStyle name="20% - Accent1 25 2 3" xfId="7248"/>
    <cellStyle name="20% - Accent1 25 2 3 2" xfId="25098"/>
    <cellStyle name="20% - Accent1 25 2 3 3" xfId="28169"/>
    <cellStyle name="20% - Accent1 25 2 4" xfId="25096"/>
    <cellStyle name="20% - Accent1 25 2 5" xfId="28167"/>
    <cellStyle name="20% - Accent1 25 3" xfId="7249"/>
    <cellStyle name="20% - Accent1 25 3 2" xfId="25099"/>
    <cellStyle name="20% - Accent1 25 3 3" xfId="28170"/>
    <cellStyle name="20% - Accent1 25 4" xfId="7250"/>
    <cellStyle name="20% - Accent1 25 4 2" xfId="25100"/>
    <cellStyle name="20% - Accent1 25 4 3" xfId="28171"/>
    <cellStyle name="20% - Accent1 25 5" xfId="25095"/>
    <cellStyle name="20% - Accent1 25 6" xfId="28166"/>
    <cellStyle name="20% - Accent1 26" xfId="7251"/>
    <cellStyle name="20% - Accent1 27" xfId="7252"/>
    <cellStyle name="20% - Accent1 27 2" xfId="7253"/>
    <cellStyle name="20% - Accent1 27 2 2" xfId="7254"/>
    <cellStyle name="20% - Accent1 27 2 2 2" xfId="25103"/>
    <cellStyle name="20% - Accent1 27 2 2 3" xfId="28174"/>
    <cellStyle name="20% - Accent1 27 2 3" xfId="7255"/>
    <cellStyle name="20% - Accent1 27 2 3 2" xfId="25104"/>
    <cellStyle name="20% - Accent1 27 2 3 3" xfId="28175"/>
    <cellStyle name="20% - Accent1 27 2 4" xfId="25102"/>
    <cellStyle name="20% - Accent1 27 2 5" xfId="28173"/>
    <cellStyle name="20% - Accent1 27 3" xfId="7256"/>
    <cellStyle name="20% - Accent1 27 3 2" xfId="25105"/>
    <cellStyle name="20% - Accent1 27 3 3" xfId="28176"/>
    <cellStyle name="20% - Accent1 27 4" xfId="7257"/>
    <cellStyle name="20% - Accent1 27 4 2" xfId="25106"/>
    <cellStyle name="20% - Accent1 27 4 3" xfId="28177"/>
    <cellStyle name="20% - Accent1 27 5" xfId="25101"/>
    <cellStyle name="20% - Accent1 27 6" xfId="28172"/>
    <cellStyle name="20% - Accent1 28" xfId="7258"/>
    <cellStyle name="20% - Accent1 28 2" xfId="7259"/>
    <cellStyle name="20% - Accent1 28 2 2" xfId="25108"/>
    <cellStyle name="20% - Accent1 28 2 3" xfId="28179"/>
    <cellStyle name="20% - Accent1 28 3" xfId="7260"/>
    <cellStyle name="20% - Accent1 28 3 2" xfId="25109"/>
    <cellStyle name="20% - Accent1 28 3 3" xfId="28180"/>
    <cellStyle name="20% - Accent1 28 4" xfId="25107"/>
    <cellStyle name="20% - Accent1 28 5" xfId="28178"/>
    <cellStyle name="20% - Accent1 29" xfId="7261"/>
    <cellStyle name="20% - Accent1 29 2" xfId="25110"/>
    <cellStyle name="20% - Accent1 29 3" xfId="28181"/>
    <cellStyle name="20% - Accent1 3" xfId="212"/>
    <cellStyle name="20% - Accent1 3 10" xfId="3675"/>
    <cellStyle name="20% - Accent1 3 10 2" xfId="4231"/>
    <cellStyle name="20% - Accent1 3 10 2 2" xfId="7262"/>
    <cellStyle name="20% - Accent1 3 10 3" xfId="7263"/>
    <cellStyle name="20% - Accent1 3 10 4" xfId="7264"/>
    <cellStyle name="20% - Accent1 3 10 5" xfId="7265"/>
    <cellStyle name="20% - Accent1 3 11" xfId="7266"/>
    <cellStyle name="20% - Accent1 3 11 2" xfId="7267"/>
    <cellStyle name="20% - Accent1 3 11 3" xfId="7268"/>
    <cellStyle name="20% - Accent1 3 12" xfId="7269"/>
    <cellStyle name="20% - Accent1 3 12 2" xfId="7270"/>
    <cellStyle name="20% - Accent1 3 12 3" xfId="7271"/>
    <cellStyle name="20% - Accent1 3 13" xfId="7272"/>
    <cellStyle name="20% - Accent1 3 13 2" xfId="7273"/>
    <cellStyle name="20% - Accent1 3 13 3" xfId="7274"/>
    <cellStyle name="20% - Accent1 3 14" xfId="7275"/>
    <cellStyle name="20% - Accent1 3 15" xfId="7276"/>
    <cellStyle name="20% - Accent1 3 2" xfId="1448"/>
    <cellStyle name="20% - Accent1 3 2 10" xfId="7277"/>
    <cellStyle name="20% - Accent1 3 2 10 2" xfId="7278"/>
    <cellStyle name="20% - Accent1 3 2 10 3" xfId="7279"/>
    <cellStyle name="20% - Accent1 3 2 11" xfId="7280"/>
    <cellStyle name="20% - Accent1 3 2 11 2" xfId="7281"/>
    <cellStyle name="20% - Accent1 3 2 11 3" xfId="7282"/>
    <cellStyle name="20% - Accent1 3 2 12" xfId="7283"/>
    <cellStyle name="20% - Accent1 3 2 12 2" xfId="7284"/>
    <cellStyle name="20% - Accent1 3 2 12 3" xfId="7285"/>
    <cellStyle name="20% - Accent1 3 2 13" xfId="7286"/>
    <cellStyle name="20% - Accent1 3 2 14" xfId="7287"/>
    <cellStyle name="20% - Accent1 3 2 15" xfId="7288"/>
    <cellStyle name="20% - Accent1 3 2 2" xfId="1823"/>
    <cellStyle name="20% - Accent1 3 2 2 2" xfId="7289"/>
    <cellStyle name="20% - Accent1 3 2 2 3" xfId="7290"/>
    <cellStyle name="20% - Accent1 3 2 3" xfId="2198"/>
    <cellStyle name="20% - Accent1 3 2 3 2" xfId="7291"/>
    <cellStyle name="20% - Accent1 3 2 3 3" xfId="7292"/>
    <cellStyle name="20% - Accent1 3 2 4" xfId="2572"/>
    <cellStyle name="20% - Accent1 3 2 4 2" xfId="7293"/>
    <cellStyle name="20% - Accent1 3 2 4 3" xfId="7294"/>
    <cellStyle name="20% - Accent1 3 2 5" xfId="2944"/>
    <cellStyle name="20% - Accent1 3 2 5 2" xfId="7295"/>
    <cellStyle name="20% - Accent1 3 2 5 3" xfId="7296"/>
    <cellStyle name="20% - Accent1 3 2 6" xfId="3316"/>
    <cellStyle name="20% - Accent1 3 2 6 2" xfId="7297"/>
    <cellStyle name="20% - Accent1 3 2 6 3" xfId="7298"/>
    <cellStyle name="20% - Accent1 3 2 7" xfId="4232"/>
    <cellStyle name="20% - Accent1 3 2 7 2" xfId="7300"/>
    <cellStyle name="20% - Accent1 3 2 7 3" xfId="7301"/>
    <cellStyle name="20% - Accent1 3 2 7 4" xfId="7299"/>
    <cellStyle name="20% - Accent1 3 2 8" xfId="7302"/>
    <cellStyle name="20% - Accent1 3 2 8 2" xfId="7303"/>
    <cellStyle name="20% - Accent1 3 2 8 3" xfId="7304"/>
    <cellStyle name="20% - Accent1 3 2 9" xfId="7305"/>
    <cellStyle name="20% - Accent1 3 2 9 2" xfId="7306"/>
    <cellStyle name="20% - Accent1 3 2 9 3" xfId="7307"/>
    <cellStyle name="20% - Accent1 3 3" xfId="1575"/>
    <cellStyle name="20% - Accent1 3 3 2" xfId="1900"/>
    <cellStyle name="20% - Accent1 3 3 3" xfId="2275"/>
    <cellStyle name="20% - Accent1 3 3 4" xfId="2648"/>
    <cellStyle name="20% - Accent1 3 3 5" xfId="3021"/>
    <cellStyle name="20% - Accent1 3 3 6" xfId="3392"/>
    <cellStyle name="20% - Accent1 3 3 7" xfId="4233"/>
    <cellStyle name="20% - Accent1 3 4" xfId="1712"/>
    <cellStyle name="20% - Accent1 3 4 2" xfId="1944"/>
    <cellStyle name="20% - Accent1 3 4 3" xfId="2319"/>
    <cellStyle name="20% - Accent1 3 4 4" xfId="2692"/>
    <cellStyle name="20% - Accent1 3 4 5" xfId="3065"/>
    <cellStyle name="20% - Accent1 3 4 6" xfId="3436"/>
    <cellStyle name="20% - Accent1 3 5" xfId="2047"/>
    <cellStyle name="20% - Accent1 3 5 2" xfId="7308"/>
    <cellStyle name="20% - Accent1 3 5 3" xfId="7309"/>
    <cellStyle name="20% - Accent1 3 5 4" xfId="7310"/>
    <cellStyle name="20% - Accent1 3 6" xfId="2421"/>
    <cellStyle name="20% - Accent1 3 6 2" xfId="7311"/>
    <cellStyle name="20% - Accent1 3 6 3" xfId="7312"/>
    <cellStyle name="20% - Accent1 3 6 4" xfId="7313"/>
    <cellStyle name="20% - Accent1 3 7" xfId="2793"/>
    <cellStyle name="20% - Accent1 3 7 2" xfId="7314"/>
    <cellStyle name="20% - Accent1 3 7 3" xfId="7315"/>
    <cellStyle name="20% - Accent1 3 7 4" xfId="7316"/>
    <cellStyle name="20% - Accent1 3 8" xfId="3164"/>
    <cellStyle name="20% - Accent1 3 8 2" xfId="7317"/>
    <cellStyle name="20% - Accent1 3 8 3" xfId="7318"/>
    <cellStyle name="20% - Accent1 3 8 4" xfId="7319"/>
    <cellStyle name="20% - Accent1 3 9" xfId="3539"/>
    <cellStyle name="20% - Accent1 3 9 2" xfId="4234"/>
    <cellStyle name="20% - Accent1 3 9 2 2" xfId="7320"/>
    <cellStyle name="20% - Accent1 3 9 3" xfId="7321"/>
    <cellStyle name="20% - Accent1 3 9 4" xfId="7322"/>
    <cellStyle name="20% - Accent1 3 9 5" xfId="7323"/>
    <cellStyle name="20% - Accent1 30" xfId="28140"/>
    <cellStyle name="20% - Accent1 4" xfId="235"/>
    <cellStyle name="20% - Accent1 4 10" xfId="3719"/>
    <cellStyle name="20% - Accent1 4 10 2" xfId="4236"/>
    <cellStyle name="20% - Accent1 4 10 2 2" xfId="7325"/>
    <cellStyle name="20% - Accent1 4 10 3" xfId="7326"/>
    <cellStyle name="20% - Accent1 4 10 4" xfId="7327"/>
    <cellStyle name="20% - Accent1 4 10 5" xfId="7328"/>
    <cellStyle name="20% - Accent1 4 11" xfId="1294"/>
    <cellStyle name="20% - Accent1 4 11 10" xfId="25111"/>
    <cellStyle name="20% - Accent1 4 11 11" xfId="28183"/>
    <cellStyle name="20% - Accent1 4 11 2" xfId="4144"/>
    <cellStyle name="20% - Accent1 4 11 2 2" xfId="5306"/>
    <cellStyle name="20% - Accent1 4 11 2 2 2" xfId="5928"/>
    <cellStyle name="20% - Accent1 4 11 2 2 2 2" xfId="25114"/>
    <cellStyle name="20% - Accent1 4 11 2 2 3" xfId="7331"/>
    <cellStyle name="20% - Accent1 4 11 2 2 4" xfId="25113"/>
    <cellStyle name="20% - Accent1 4 11 2 3" xfId="5616"/>
    <cellStyle name="20% - Accent1 4 11 2 3 2" xfId="5929"/>
    <cellStyle name="20% - Accent1 4 11 2 3 2 2" xfId="25116"/>
    <cellStyle name="20% - Accent1 4 11 2 3 3" xfId="25115"/>
    <cellStyle name="20% - Accent1 4 11 2 4" xfId="4238"/>
    <cellStyle name="20% - Accent1 4 11 2 4 2" xfId="5930"/>
    <cellStyle name="20% - Accent1 4 11 2 4 2 2" xfId="25118"/>
    <cellStyle name="20% - Accent1 4 11 2 4 3" xfId="25117"/>
    <cellStyle name="20% - Accent1 4 11 2 5" xfId="5927"/>
    <cellStyle name="20% - Accent1 4 11 2 5 2" xfId="25119"/>
    <cellStyle name="20% - Accent1 4 11 2 6" xfId="7330"/>
    <cellStyle name="20% - Accent1 4 11 2 6 2" xfId="25120"/>
    <cellStyle name="20% - Accent1 4 11 2 7" xfId="24996"/>
    <cellStyle name="20% - Accent1 4 11 2 8" xfId="25112"/>
    <cellStyle name="20% - Accent1 4 11 2 9" xfId="28184"/>
    <cellStyle name="20% - Accent1 4 11 3" xfId="5305"/>
    <cellStyle name="20% - Accent1 4 11 3 2" xfId="5931"/>
    <cellStyle name="20% - Accent1 4 11 3 2 2" xfId="25122"/>
    <cellStyle name="20% - Accent1 4 11 3 3" xfId="7332"/>
    <cellStyle name="20% - Accent1 4 11 3 4" xfId="25121"/>
    <cellStyle name="20% - Accent1 4 11 4" xfId="5615"/>
    <cellStyle name="20% - Accent1 4 11 4 2" xfId="5932"/>
    <cellStyle name="20% - Accent1 4 11 4 2 2" xfId="25124"/>
    <cellStyle name="20% - Accent1 4 11 4 3" xfId="7333"/>
    <cellStyle name="20% - Accent1 4 11 4 4" xfId="25123"/>
    <cellStyle name="20% - Accent1 4 11 5" xfId="4237"/>
    <cellStyle name="20% - Accent1 4 11 5 2" xfId="5933"/>
    <cellStyle name="20% - Accent1 4 11 5 2 2" xfId="7335"/>
    <cellStyle name="20% - Accent1 4 11 5 2 2 2" xfId="25127"/>
    <cellStyle name="20% - Accent1 4 11 5 2 3" xfId="25126"/>
    <cellStyle name="20% - Accent1 4 11 5 2 4" xfId="28186"/>
    <cellStyle name="20% - Accent1 4 11 5 3" xfId="7336"/>
    <cellStyle name="20% - Accent1 4 11 5 3 2" xfId="25128"/>
    <cellStyle name="20% - Accent1 4 11 5 3 3" xfId="28187"/>
    <cellStyle name="20% - Accent1 4 11 5 4" xfId="7334"/>
    <cellStyle name="20% - Accent1 4 11 5 4 2" xfId="25129"/>
    <cellStyle name="20% - Accent1 4 11 5 5" xfId="25125"/>
    <cellStyle name="20% - Accent1 4 11 5 6" xfId="28185"/>
    <cellStyle name="20% - Accent1 4 11 6" xfId="5926"/>
    <cellStyle name="20% - Accent1 4 11 6 2" xfId="7337"/>
    <cellStyle name="20% - Accent1 4 11 6 2 2" xfId="25131"/>
    <cellStyle name="20% - Accent1 4 11 6 3" xfId="25130"/>
    <cellStyle name="20% - Accent1 4 11 6 4" xfId="28188"/>
    <cellStyle name="20% - Accent1 4 11 7" xfId="7338"/>
    <cellStyle name="20% - Accent1 4 11 7 2" xfId="25132"/>
    <cellStyle name="20% - Accent1 4 11 7 3" xfId="28189"/>
    <cellStyle name="20% - Accent1 4 11 8" xfId="7329"/>
    <cellStyle name="20% - Accent1 4 11 8 2" xfId="25133"/>
    <cellStyle name="20% - Accent1 4 11 9" xfId="24876"/>
    <cellStyle name="20% - Accent1 4 12" xfId="4239"/>
    <cellStyle name="20% - Accent1 4 12 2" xfId="5307"/>
    <cellStyle name="20% - Accent1 4 12 2 2" xfId="5935"/>
    <cellStyle name="20% - Accent1 4 12 2 2 2" xfId="25136"/>
    <cellStyle name="20% - Accent1 4 12 2 3" xfId="7340"/>
    <cellStyle name="20% - Accent1 4 12 2 4" xfId="25135"/>
    <cellStyle name="20% - Accent1 4 12 3" xfId="5617"/>
    <cellStyle name="20% - Accent1 4 12 3 2" xfId="5936"/>
    <cellStyle name="20% - Accent1 4 12 3 2 2" xfId="25138"/>
    <cellStyle name="20% - Accent1 4 12 3 3" xfId="7341"/>
    <cellStyle name="20% - Accent1 4 12 3 4" xfId="25137"/>
    <cellStyle name="20% - Accent1 4 12 4" xfId="5934"/>
    <cellStyle name="20% - Accent1 4 12 4 2" xfId="7342"/>
    <cellStyle name="20% - Accent1 4 12 4 3" xfId="25139"/>
    <cellStyle name="20% - Accent1 4 12 5" xfId="7339"/>
    <cellStyle name="20% - Accent1 4 12 5 2" xfId="25140"/>
    <cellStyle name="20% - Accent1 4 12 6" xfId="25134"/>
    <cellStyle name="20% - Accent1 4 12 7" xfId="28190"/>
    <cellStyle name="20% - Accent1 4 13" xfId="5304"/>
    <cellStyle name="20% - Accent1 4 13 2" xfId="5937"/>
    <cellStyle name="20% - Accent1 4 13 2 2" xfId="7344"/>
    <cellStyle name="20% - Accent1 4 13 2 3" xfId="25142"/>
    <cellStyle name="20% - Accent1 4 13 3" xfId="7345"/>
    <cellStyle name="20% - Accent1 4 13 4" xfId="7343"/>
    <cellStyle name="20% - Accent1 4 13 5" xfId="25141"/>
    <cellStyle name="20% - Accent1 4 14" xfId="5614"/>
    <cellStyle name="20% - Accent1 4 14 2" xfId="5938"/>
    <cellStyle name="20% - Accent1 4 14 2 2" xfId="25144"/>
    <cellStyle name="20% - Accent1 4 14 3" xfId="7346"/>
    <cellStyle name="20% - Accent1 4 14 4" xfId="25143"/>
    <cellStyle name="20% - Accent1 4 15" xfId="4235"/>
    <cellStyle name="20% - Accent1 4 15 2" xfId="5939"/>
    <cellStyle name="20% - Accent1 4 15 2 2" xfId="25146"/>
    <cellStyle name="20% - Accent1 4 15 3" xfId="7347"/>
    <cellStyle name="20% - Accent1 4 15 4" xfId="25145"/>
    <cellStyle name="20% - Accent1 4 16" xfId="7348"/>
    <cellStyle name="20% - Accent1 4 17" xfId="7349"/>
    <cellStyle name="20% - Accent1 4 17 2" xfId="7350"/>
    <cellStyle name="20% - Accent1 4 17 2 2" xfId="25148"/>
    <cellStyle name="20% - Accent1 4 17 2 3" xfId="28192"/>
    <cellStyle name="20% - Accent1 4 17 3" xfId="7351"/>
    <cellStyle name="20% - Accent1 4 17 3 2" xfId="25149"/>
    <cellStyle name="20% - Accent1 4 17 3 3" xfId="28193"/>
    <cellStyle name="20% - Accent1 4 17 4" xfId="25147"/>
    <cellStyle name="20% - Accent1 4 17 5" xfId="28191"/>
    <cellStyle name="20% - Accent1 4 18" xfId="7352"/>
    <cellStyle name="20% - Accent1 4 18 2" xfId="25150"/>
    <cellStyle name="20% - Accent1 4 18 3" xfId="28194"/>
    <cellStyle name="20% - Accent1 4 19" xfId="7353"/>
    <cellStyle name="20% - Accent1 4 19 2" xfId="25151"/>
    <cellStyle name="20% - Accent1 4 19 3" xfId="28195"/>
    <cellStyle name="20% - Accent1 4 2" xfId="1493"/>
    <cellStyle name="20% - Accent1 4 2 10" xfId="7354"/>
    <cellStyle name="20% - Accent1 4 2 10 2" xfId="7355"/>
    <cellStyle name="20% - Accent1 4 2 10 3" xfId="7356"/>
    <cellStyle name="20% - Accent1 4 2 11" xfId="7357"/>
    <cellStyle name="20% - Accent1 4 2 11 2" xfId="7358"/>
    <cellStyle name="20% - Accent1 4 2 11 3" xfId="7359"/>
    <cellStyle name="20% - Accent1 4 2 12" xfId="7360"/>
    <cellStyle name="20% - Accent1 4 2 12 2" xfId="7361"/>
    <cellStyle name="20% - Accent1 4 2 12 3" xfId="7362"/>
    <cellStyle name="20% - Accent1 4 2 13" xfId="7363"/>
    <cellStyle name="20% - Accent1 4 2 14" xfId="7364"/>
    <cellStyle name="20% - Accent1 4 2 15" xfId="7365"/>
    <cellStyle name="20% - Accent1 4 2 16" xfId="7366"/>
    <cellStyle name="20% - Accent1 4 2 2" xfId="4240"/>
    <cellStyle name="20% - Accent1 4 2 2 2" xfId="7368"/>
    <cellStyle name="20% - Accent1 4 2 2 3" xfId="7369"/>
    <cellStyle name="20% - Accent1 4 2 2 4" xfId="7367"/>
    <cellStyle name="20% - Accent1 4 2 3" xfId="7370"/>
    <cellStyle name="20% - Accent1 4 2 3 2" xfId="7371"/>
    <cellStyle name="20% - Accent1 4 2 3 3" xfId="7372"/>
    <cellStyle name="20% - Accent1 4 2 4" xfId="7373"/>
    <cellStyle name="20% - Accent1 4 2 4 2" xfId="7374"/>
    <cellStyle name="20% - Accent1 4 2 4 3" xfId="7375"/>
    <cellStyle name="20% - Accent1 4 2 5" xfId="7376"/>
    <cellStyle name="20% - Accent1 4 2 5 2" xfId="7377"/>
    <cellStyle name="20% - Accent1 4 2 5 3" xfId="7378"/>
    <cellStyle name="20% - Accent1 4 2 6" xfId="7379"/>
    <cellStyle name="20% - Accent1 4 2 6 2" xfId="7380"/>
    <cellStyle name="20% - Accent1 4 2 6 3" xfId="7381"/>
    <cellStyle name="20% - Accent1 4 2 7" xfId="7382"/>
    <cellStyle name="20% - Accent1 4 2 7 2" xfId="7383"/>
    <cellStyle name="20% - Accent1 4 2 7 3" xfId="7384"/>
    <cellStyle name="20% - Accent1 4 2 8" xfId="7385"/>
    <cellStyle name="20% - Accent1 4 2 8 2" xfId="7386"/>
    <cellStyle name="20% - Accent1 4 2 8 3" xfId="7387"/>
    <cellStyle name="20% - Accent1 4 2 9" xfId="7388"/>
    <cellStyle name="20% - Accent1 4 2 9 2" xfId="7389"/>
    <cellStyle name="20% - Accent1 4 2 9 3" xfId="7390"/>
    <cellStyle name="20% - Accent1 4 20" xfId="7324"/>
    <cellStyle name="20% - Accent1 4 20 2" xfId="25152"/>
    <cellStyle name="20% - Accent1 4 21" xfId="28182"/>
    <cellStyle name="20% - Accent1 4 3" xfId="1618"/>
    <cellStyle name="20% - Accent1 4 3 2" xfId="4241"/>
    <cellStyle name="20% - Accent1 4 3 2 2" xfId="7391"/>
    <cellStyle name="20% - Accent1 4 3 3" xfId="7392"/>
    <cellStyle name="20% - Accent1 4 3 4" xfId="7393"/>
    <cellStyle name="20% - Accent1 4 3 5" xfId="7394"/>
    <cellStyle name="20% - Accent1 4 4" xfId="1804"/>
    <cellStyle name="20% - Accent1 4 4 2" xfId="7395"/>
    <cellStyle name="20% - Accent1 4 4 3" xfId="7396"/>
    <cellStyle name="20% - Accent1 4 4 4" xfId="7397"/>
    <cellStyle name="20% - Accent1 4 5" xfId="2140"/>
    <cellStyle name="20% - Accent1 4 5 2" xfId="7398"/>
    <cellStyle name="20% - Accent1 4 5 3" xfId="7399"/>
    <cellStyle name="20% - Accent1 4 5 4" xfId="7400"/>
    <cellStyle name="20% - Accent1 4 6" xfId="2514"/>
    <cellStyle name="20% - Accent1 4 6 2" xfId="7401"/>
    <cellStyle name="20% - Accent1 4 6 3" xfId="7402"/>
    <cellStyle name="20% - Accent1 4 6 4" xfId="7403"/>
    <cellStyle name="20% - Accent1 4 7" xfId="2886"/>
    <cellStyle name="20% - Accent1 4 7 2" xfId="7404"/>
    <cellStyle name="20% - Accent1 4 7 3" xfId="7405"/>
    <cellStyle name="20% - Accent1 4 7 4" xfId="7406"/>
    <cellStyle name="20% - Accent1 4 8" xfId="3257"/>
    <cellStyle name="20% - Accent1 4 8 2" xfId="7407"/>
    <cellStyle name="20% - Accent1 4 8 3" xfId="7408"/>
    <cellStyle name="20% - Accent1 4 8 4" xfId="7409"/>
    <cellStyle name="20% - Accent1 4 9" xfId="3582"/>
    <cellStyle name="20% - Accent1 4 9 2" xfId="4242"/>
    <cellStyle name="20% - Accent1 4 9 2 2" xfId="7410"/>
    <cellStyle name="20% - Accent1 4 9 3" xfId="7411"/>
    <cellStyle name="20% - Accent1 4 9 4" xfId="7412"/>
    <cellStyle name="20% - Accent1 4 9 5" xfId="7413"/>
    <cellStyle name="20% - Accent1 5" xfId="359"/>
    <cellStyle name="20% - Accent1 5 10" xfId="7414"/>
    <cellStyle name="20% - Accent1 5 10 2" xfId="7415"/>
    <cellStyle name="20% - Accent1 5 10 3" xfId="7416"/>
    <cellStyle name="20% - Accent1 5 11" xfId="7417"/>
    <cellStyle name="20% - Accent1 5 11 2" xfId="7418"/>
    <cellStyle name="20% - Accent1 5 11 3" xfId="7419"/>
    <cellStyle name="20% - Accent1 5 12" xfId="7420"/>
    <cellStyle name="20% - Accent1 5 12 2" xfId="7421"/>
    <cellStyle name="20% - Accent1 5 12 3" xfId="7422"/>
    <cellStyle name="20% - Accent1 5 13" xfId="7423"/>
    <cellStyle name="20% - Accent1 5 13 2" xfId="7424"/>
    <cellStyle name="20% - Accent1 5 13 3" xfId="7425"/>
    <cellStyle name="20% - Accent1 5 14" xfId="7426"/>
    <cellStyle name="20% - Accent1 5 15" xfId="7427"/>
    <cellStyle name="20% - Accent1 5 16" xfId="7428"/>
    <cellStyle name="20% - Accent1 5 17" xfId="7429"/>
    <cellStyle name="20% - Accent1 5 2" xfId="1867"/>
    <cellStyle name="20% - Accent1 5 2 10" xfId="7430"/>
    <cellStyle name="20% - Accent1 5 2 10 2" xfId="7431"/>
    <cellStyle name="20% - Accent1 5 2 10 3" xfId="7432"/>
    <cellStyle name="20% - Accent1 5 2 11" xfId="7433"/>
    <cellStyle name="20% - Accent1 5 2 11 2" xfId="7434"/>
    <cellStyle name="20% - Accent1 5 2 11 3" xfId="7435"/>
    <cellStyle name="20% - Accent1 5 2 12" xfId="7436"/>
    <cellStyle name="20% - Accent1 5 2 12 2" xfId="7437"/>
    <cellStyle name="20% - Accent1 5 2 12 3" xfId="7438"/>
    <cellStyle name="20% - Accent1 5 2 13" xfId="7439"/>
    <cellStyle name="20% - Accent1 5 2 14" xfId="7440"/>
    <cellStyle name="20% - Accent1 5 2 15" xfId="7441"/>
    <cellStyle name="20% - Accent1 5 2 2" xfId="7442"/>
    <cellStyle name="20% - Accent1 5 2 2 2" xfId="7443"/>
    <cellStyle name="20% - Accent1 5 2 2 3" xfId="7444"/>
    <cellStyle name="20% - Accent1 5 2 3" xfId="7445"/>
    <cellStyle name="20% - Accent1 5 2 3 2" xfId="7446"/>
    <cellStyle name="20% - Accent1 5 2 3 3" xfId="7447"/>
    <cellStyle name="20% - Accent1 5 2 4" xfId="7448"/>
    <cellStyle name="20% - Accent1 5 2 4 2" xfId="7449"/>
    <cellStyle name="20% - Accent1 5 2 4 3" xfId="7450"/>
    <cellStyle name="20% - Accent1 5 2 5" xfId="7451"/>
    <cellStyle name="20% - Accent1 5 2 5 2" xfId="7452"/>
    <cellStyle name="20% - Accent1 5 2 5 3" xfId="7453"/>
    <cellStyle name="20% - Accent1 5 2 6" xfId="7454"/>
    <cellStyle name="20% - Accent1 5 2 6 2" xfId="7455"/>
    <cellStyle name="20% - Accent1 5 2 6 3" xfId="7456"/>
    <cellStyle name="20% - Accent1 5 2 7" xfId="7457"/>
    <cellStyle name="20% - Accent1 5 2 7 2" xfId="7458"/>
    <cellStyle name="20% - Accent1 5 2 7 3" xfId="7459"/>
    <cellStyle name="20% - Accent1 5 2 8" xfId="7460"/>
    <cellStyle name="20% - Accent1 5 2 8 2" xfId="7461"/>
    <cellStyle name="20% - Accent1 5 2 8 3" xfId="7462"/>
    <cellStyle name="20% - Accent1 5 2 9" xfId="7463"/>
    <cellStyle name="20% - Accent1 5 2 9 2" xfId="7464"/>
    <cellStyle name="20% - Accent1 5 2 9 3" xfId="7465"/>
    <cellStyle name="20% - Accent1 5 3" xfId="2242"/>
    <cellStyle name="20% - Accent1 5 3 2" xfId="7466"/>
    <cellStyle name="20% - Accent1 5 3 3" xfId="7467"/>
    <cellStyle name="20% - Accent1 5 3 4" xfId="7468"/>
    <cellStyle name="20% - Accent1 5 4" xfId="2616"/>
    <cellStyle name="20% - Accent1 5 4 2" xfId="7469"/>
    <cellStyle name="20% - Accent1 5 4 3" xfId="7470"/>
    <cellStyle name="20% - Accent1 5 4 4" xfId="7471"/>
    <cellStyle name="20% - Accent1 5 5" xfId="2988"/>
    <cellStyle name="20% - Accent1 5 5 2" xfId="7472"/>
    <cellStyle name="20% - Accent1 5 5 3" xfId="7473"/>
    <cellStyle name="20% - Accent1 5 5 4" xfId="7474"/>
    <cellStyle name="20% - Accent1 5 6" xfId="3360"/>
    <cellStyle name="20% - Accent1 5 6 2" xfId="7475"/>
    <cellStyle name="20% - Accent1 5 6 3" xfId="7476"/>
    <cellStyle name="20% - Accent1 5 6 4" xfId="7477"/>
    <cellStyle name="20% - Accent1 5 7" xfId="4243"/>
    <cellStyle name="20% - Accent1 5 7 2" xfId="7479"/>
    <cellStyle name="20% - Accent1 5 7 3" xfId="7480"/>
    <cellStyle name="20% - Accent1 5 7 4" xfId="7478"/>
    <cellStyle name="20% - Accent1 5 8" xfId="7481"/>
    <cellStyle name="20% - Accent1 5 8 2" xfId="7482"/>
    <cellStyle name="20% - Accent1 5 8 3" xfId="7483"/>
    <cellStyle name="20% - Accent1 5 9" xfId="7484"/>
    <cellStyle name="20% - Accent1 5 9 2" xfId="7485"/>
    <cellStyle name="20% - Accent1 5 9 3" xfId="7486"/>
    <cellStyle name="20% - Accent1 6" xfId="360"/>
    <cellStyle name="20% - Accent1 6 10" xfId="5308"/>
    <cellStyle name="20% - Accent1 6 10 2" xfId="5941"/>
    <cellStyle name="20% - Accent1 6 10 2 2" xfId="7489"/>
    <cellStyle name="20% - Accent1 6 10 2 3" xfId="25155"/>
    <cellStyle name="20% - Accent1 6 10 3" xfId="7490"/>
    <cellStyle name="20% - Accent1 6 10 4" xfId="7488"/>
    <cellStyle name="20% - Accent1 6 10 5" xfId="25154"/>
    <cellStyle name="20% - Accent1 6 11" xfId="5618"/>
    <cellStyle name="20% - Accent1 6 11 2" xfId="5942"/>
    <cellStyle name="20% - Accent1 6 11 2 2" xfId="7492"/>
    <cellStyle name="20% - Accent1 6 11 2 3" xfId="25157"/>
    <cellStyle name="20% - Accent1 6 11 3" xfId="7493"/>
    <cellStyle name="20% - Accent1 6 11 4" xfId="7491"/>
    <cellStyle name="20% - Accent1 6 11 5" xfId="25156"/>
    <cellStyle name="20% - Accent1 6 12" xfId="4244"/>
    <cellStyle name="20% - Accent1 6 12 2" xfId="5943"/>
    <cellStyle name="20% - Accent1 6 12 2 2" xfId="7495"/>
    <cellStyle name="20% - Accent1 6 12 2 3" xfId="25159"/>
    <cellStyle name="20% - Accent1 6 12 3" xfId="7496"/>
    <cellStyle name="20% - Accent1 6 12 4" xfId="7494"/>
    <cellStyle name="20% - Accent1 6 12 5" xfId="25158"/>
    <cellStyle name="20% - Accent1 6 13" xfId="5940"/>
    <cellStyle name="20% - Accent1 6 13 2" xfId="7497"/>
    <cellStyle name="20% - Accent1 6 13 3" xfId="25160"/>
    <cellStyle name="20% - Accent1 6 14" xfId="7498"/>
    <cellStyle name="20% - Accent1 6 15" xfId="7499"/>
    <cellStyle name="20% - Accent1 6 16" xfId="7500"/>
    <cellStyle name="20% - Accent1 6 16 2" xfId="7501"/>
    <cellStyle name="20% - Accent1 6 16 2 2" xfId="25162"/>
    <cellStyle name="20% - Accent1 6 16 2 3" xfId="28198"/>
    <cellStyle name="20% - Accent1 6 16 3" xfId="7502"/>
    <cellStyle name="20% - Accent1 6 16 3 2" xfId="25163"/>
    <cellStyle name="20% - Accent1 6 16 3 3" xfId="28199"/>
    <cellStyle name="20% - Accent1 6 16 4" xfId="25161"/>
    <cellStyle name="20% - Accent1 6 16 5" xfId="28197"/>
    <cellStyle name="20% - Accent1 6 17" xfId="7503"/>
    <cellStyle name="20% - Accent1 6 17 2" xfId="25164"/>
    <cellStyle name="20% - Accent1 6 17 3" xfId="28200"/>
    <cellStyle name="20% - Accent1 6 18" xfId="7504"/>
    <cellStyle name="20% - Accent1 6 18 2" xfId="25165"/>
    <cellStyle name="20% - Accent1 6 18 3" xfId="28201"/>
    <cellStyle name="20% - Accent1 6 19" xfId="7487"/>
    <cellStyle name="20% - Accent1 6 19 2" xfId="25166"/>
    <cellStyle name="20% - Accent1 6 2" xfId="1969"/>
    <cellStyle name="20% - Accent1 6 2 2" xfId="4245"/>
    <cellStyle name="20% - Accent1 6 2 2 2" xfId="7505"/>
    <cellStyle name="20% - Accent1 6 2 3" xfId="7506"/>
    <cellStyle name="20% - Accent1 6 2 4" xfId="7507"/>
    <cellStyle name="20% - Accent1 6 2 5" xfId="7508"/>
    <cellStyle name="20% - Accent1 6 20" xfId="24831"/>
    <cellStyle name="20% - Accent1 6 21" xfId="25153"/>
    <cellStyle name="20% - Accent1 6 22" xfId="28196"/>
    <cellStyle name="20% - Accent1 6 3" xfId="2344"/>
    <cellStyle name="20% - Accent1 6 3 2" xfId="4246"/>
    <cellStyle name="20% - Accent1 6 3 2 2" xfId="7509"/>
    <cellStyle name="20% - Accent1 6 3 3" xfId="7510"/>
    <cellStyle name="20% - Accent1 6 3 4" xfId="7511"/>
    <cellStyle name="20% - Accent1 6 3 5" xfId="7512"/>
    <cellStyle name="20% - Accent1 6 4" xfId="2717"/>
    <cellStyle name="20% - Accent1 6 4 2" xfId="4247"/>
    <cellStyle name="20% - Accent1 6 4 2 2" xfId="7513"/>
    <cellStyle name="20% - Accent1 6 4 3" xfId="7514"/>
    <cellStyle name="20% - Accent1 6 4 4" xfId="7515"/>
    <cellStyle name="20% - Accent1 6 4 5" xfId="7516"/>
    <cellStyle name="20% - Accent1 6 5" xfId="3090"/>
    <cellStyle name="20% - Accent1 6 5 2" xfId="4248"/>
    <cellStyle name="20% - Accent1 6 5 2 2" xfId="7517"/>
    <cellStyle name="20% - Accent1 6 5 3" xfId="7518"/>
    <cellStyle name="20% - Accent1 6 5 4" xfId="7519"/>
    <cellStyle name="20% - Accent1 6 5 5" xfId="7520"/>
    <cellStyle name="20% - Accent1 6 6" xfId="3461"/>
    <cellStyle name="20% - Accent1 6 6 2" xfId="4249"/>
    <cellStyle name="20% - Accent1 6 6 2 2" xfId="7521"/>
    <cellStyle name="20% - Accent1 6 6 3" xfId="7522"/>
    <cellStyle name="20% - Accent1 6 6 4" xfId="7523"/>
    <cellStyle name="20% - Accent1 6 6 5" xfId="7524"/>
    <cellStyle name="20% - Accent1 6 7" xfId="3767"/>
    <cellStyle name="20% - Accent1 6 7 2" xfId="4250"/>
    <cellStyle name="20% - Accent1 6 7 2 2" xfId="7525"/>
    <cellStyle name="20% - Accent1 6 7 3" xfId="7526"/>
    <cellStyle name="20% - Accent1 6 7 4" xfId="7527"/>
    <cellStyle name="20% - Accent1 6 7 5" xfId="7528"/>
    <cellStyle name="20% - Accent1 6 8" xfId="1357"/>
    <cellStyle name="20% - Accent1 6 8 10" xfId="25167"/>
    <cellStyle name="20% - Accent1 6 8 11" xfId="28202"/>
    <cellStyle name="20% - Accent1 6 8 2" xfId="4157"/>
    <cellStyle name="20% - Accent1 6 8 2 2" xfId="5310"/>
    <cellStyle name="20% - Accent1 6 8 2 2 2" xfId="5946"/>
    <cellStyle name="20% - Accent1 6 8 2 2 2 2" xfId="25170"/>
    <cellStyle name="20% - Accent1 6 8 2 2 3" xfId="7531"/>
    <cellStyle name="20% - Accent1 6 8 2 2 4" xfId="25169"/>
    <cellStyle name="20% - Accent1 6 8 2 3" xfId="5620"/>
    <cellStyle name="20% - Accent1 6 8 2 3 2" xfId="5947"/>
    <cellStyle name="20% - Accent1 6 8 2 3 2 2" xfId="25172"/>
    <cellStyle name="20% - Accent1 6 8 2 3 3" xfId="25171"/>
    <cellStyle name="20% - Accent1 6 8 2 4" xfId="4252"/>
    <cellStyle name="20% - Accent1 6 8 2 4 2" xfId="5948"/>
    <cellStyle name="20% - Accent1 6 8 2 4 2 2" xfId="25174"/>
    <cellStyle name="20% - Accent1 6 8 2 4 3" xfId="25173"/>
    <cellStyle name="20% - Accent1 6 8 2 5" xfId="5945"/>
    <cellStyle name="20% - Accent1 6 8 2 5 2" xfId="25175"/>
    <cellStyle name="20% - Accent1 6 8 2 6" xfId="7530"/>
    <cellStyle name="20% - Accent1 6 8 2 6 2" xfId="25176"/>
    <cellStyle name="20% - Accent1 6 8 2 7" xfId="25009"/>
    <cellStyle name="20% - Accent1 6 8 2 8" xfId="25168"/>
    <cellStyle name="20% - Accent1 6 8 2 9" xfId="28203"/>
    <cellStyle name="20% - Accent1 6 8 3" xfId="5309"/>
    <cellStyle name="20% - Accent1 6 8 3 2" xfId="5949"/>
    <cellStyle name="20% - Accent1 6 8 3 2 2" xfId="25178"/>
    <cellStyle name="20% - Accent1 6 8 3 3" xfId="7532"/>
    <cellStyle name="20% - Accent1 6 8 3 4" xfId="25177"/>
    <cellStyle name="20% - Accent1 6 8 4" xfId="5619"/>
    <cellStyle name="20% - Accent1 6 8 4 2" xfId="5950"/>
    <cellStyle name="20% - Accent1 6 8 4 2 2" xfId="25180"/>
    <cellStyle name="20% - Accent1 6 8 4 3" xfId="7533"/>
    <cellStyle name="20% - Accent1 6 8 4 4" xfId="25179"/>
    <cellStyle name="20% - Accent1 6 8 5" xfId="4251"/>
    <cellStyle name="20% - Accent1 6 8 5 2" xfId="5951"/>
    <cellStyle name="20% - Accent1 6 8 5 2 2" xfId="7535"/>
    <cellStyle name="20% - Accent1 6 8 5 2 2 2" xfId="25183"/>
    <cellStyle name="20% - Accent1 6 8 5 2 3" xfId="25182"/>
    <cellStyle name="20% - Accent1 6 8 5 2 4" xfId="28205"/>
    <cellStyle name="20% - Accent1 6 8 5 3" xfId="7536"/>
    <cellStyle name="20% - Accent1 6 8 5 3 2" xfId="25184"/>
    <cellStyle name="20% - Accent1 6 8 5 3 3" xfId="28206"/>
    <cellStyle name="20% - Accent1 6 8 5 4" xfId="7534"/>
    <cellStyle name="20% - Accent1 6 8 5 4 2" xfId="25185"/>
    <cellStyle name="20% - Accent1 6 8 5 5" xfId="25181"/>
    <cellStyle name="20% - Accent1 6 8 5 6" xfId="28204"/>
    <cellStyle name="20% - Accent1 6 8 6" xfId="5944"/>
    <cellStyle name="20% - Accent1 6 8 6 2" xfId="7537"/>
    <cellStyle name="20% - Accent1 6 8 6 2 2" xfId="25187"/>
    <cellStyle name="20% - Accent1 6 8 6 3" xfId="25186"/>
    <cellStyle name="20% - Accent1 6 8 6 4" xfId="28207"/>
    <cellStyle name="20% - Accent1 6 8 7" xfId="7538"/>
    <cellStyle name="20% - Accent1 6 8 7 2" xfId="25188"/>
    <cellStyle name="20% - Accent1 6 8 7 3" xfId="28208"/>
    <cellStyle name="20% - Accent1 6 8 8" xfId="7529"/>
    <cellStyle name="20% - Accent1 6 8 8 2" xfId="25189"/>
    <cellStyle name="20% - Accent1 6 8 9" xfId="24889"/>
    <cellStyle name="20% - Accent1 6 9" xfId="3817"/>
    <cellStyle name="20% - Accent1 6 9 2" xfId="5311"/>
    <cellStyle name="20% - Accent1 6 9 2 2" xfId="5953"/>
    <cellStyle name="20% - Accent1 6 9 2 2 2" xfId="25192"/>
    <cellStyle name="20% - Accent1 6 9 2 3" xfId="7540"/>
    <cellStyle name="20% - Accent1 6 9 2 4" xfId="25191"/>
    <cellStyle name="20% - Accent1 6 9 3" xfId="5621"/>
    <cellStyle name="20% - Accent1 6 9 3 2" xfId="5954"/>
    <cellStyle name="20% - Accent1 6 9 3 2 2" xfId="25194"/>
    <cellStyle name="20% - Accent1 6 9 3 3" xfId="7541"/>
    <cellStyle name="20% - Accent1 6 9 3 4" xfId="25193"/>
    <cellStyle name="20% - Accent1 6 9 4" xfId="4253"/>
    <cellStyle name="20% - Accent1 6 9 4 2" xfId="5955"/>
    <cellStyle name="20% - Accent1 6 9 4 2 2" xfId="25196"/>
    <cellStyle name="20% - Accent1 6 9 4 3" xfId="7542"/>
    <cellStyle name="20% - Accent1 6 9 4 4" xfId="25195"/>
    <cellStyle name="20% - Accent1 6 9 5" xfId="5952"/>
    <cellStyle name="20% - Accent1 6 9 5 2" xfId="25197"/>
    <cellStyle name="20% - Accent1 6 9 6" xfId="7539"/>
    <cellStyle name="20% - Accent1 6 9 6 2" xfId="25198"/>
    <cellStyle name="20% - Accent1 6 9 7" xfId="24953"/>
    <cellStyle name="20% - Accent1 6 9 8" xfId="25190"/>
    <cellStyle name="20% - Accent1 6 9 9" xfId="28209"/>
    <cellStyle name="20% - Accent1 7" xfId="361"/>
    <cellStyle name="20% - Accent1 7 10" xfId="7543"/>
    <cellStyle name="20% - Accent1 7 10 2" xfId="7544"/>
    <cellStyle name="20% - Accent1 7 10 3" xfId="7545"/>
    <cellStyle name="20% - Accent1 7 11" xfId="7546"/>
    <cellStyle name="20% - Accent1 7 11 2" xfId="7547"/>
    <cellStyle name="20% - Accent1 7 11 3" xfId="7548"/>
    <cellStyle name="20% - Accent1 7 12" xfId="7549"/>
    <cellStyle name="20% - Accent1 7 12 2" xfId="7550"/>
    <cellStyle name="20% - Accent1 7 12 3" xfId="7551"/>
    <cellStyle name="20% - Accent1 7 13" xfId="7552"/>
    <cellStyle name="20% - Accent1 7 14" xfId="7553"/>
    <cellStyle name="20% - Accent1 7 15" xfId="7554"/>
    <cellStyle name="20% - Accent1 7 16" xfId="7555"/>
    <cellStyle name="20% - Accent1 7 2" xfId="4254"/>
    <cellStyle name="20% - Accent1 7 2 2" xfId="7557"/>
    <cellStyle name="20% - Accent1 7 2 3" xfId="7558"/>
    <cellStyle name="20% - Accent1 7 2 4" xfId="7556"/>
    <cellStyle name="20% - Accent1 7 3" xfId="7559"/>
    <cellStyle name="20% - Accent1 7 3 2" xfId="7560"/>
    <cellStyle name="20% - Accent1 7 3 3" xfId="7561"/>
    <cellStyle name="20% - Accent1 7 4" xfId="7562"/>
    <cellStyle name="20% - Accent1 7 4 2" xfId="7563"/>
    <cellStyle name="20% - Accent1 7 4 3" xfId="7564"/>
    <cellStyle name="20% - Accent1 7 5" xfId="7565"/>
    <cellStyle name="20% - Accent1 7 5 2" xfId="7566"/>
    <cellStyle name="20% - Accent1 7 5 3" xfId="7567"/>
    <cellStyle name="20% - Accent1 7 6" xfId="7568"/>
    <cellStyle name="20% - Accent1 7 6 2" xfId="7569"/>
    <cellStyle name="20% - Accent1 7 6 3" xfId="7570"/>
    <cellStyle name="20% - Accent1 7 7" xfId="7571"/>
    <cellStyle name="20% - Accent1 7 7 2" xfId="7572"/>
    <cellStyle name="20% - Accent1 7 7 3" xfId="7573"/>
    <cellStyle name="20% - Accent1 7 8" xfId="7574"/>
    <cellStyle name="20% - Accent1 7 8 2" xfId="7575"/>
    <cellStyle name="20% - Accent1 7 8 3" xfId="7576"/>
    <cellStyle name="20% - Accent1 7 9" xfId="7577"/>
    <cellStyle name="20% - Accent1 7 9 2" xfId="7578"/>
    <cellStyle name="20% - Accent1 7 9 3" xfId="7579"/>
    <cellStyle name="20% - Accent1 8" xfId="520"/>
    <cellStyle name="20% - Accent1 8 10" xfId="24845"/>
    <cellStyle name="20% - Accent1 8 11" xfId="25199"/>
    <cellStyle name="20% - Accent1 8 12" xfId="28210"/>
    <cellStyle name="20% - Accent1 8 2" xfId="1372"/>
    <cellStyle name="20% - Accent1 8 2 10" xfId="25200"/>
    <cellStyle name="20% - Accent1 8 2 11" xfId="28211"/>
    <cellStyle name="20% - Accent1 8 2 2" xfId="4172"/>
    <cellStyle name="20% - Accent1 8 2 2 2" xfId="5314"/>
    <cellStyle name="20% - Accent1 8 2 2 2 2" xfId="5959"/>
    <cellStyle name="20% - Accent1 8 2 2 2 2 2" xfId="25203"/>
    <cellStyle name="20% - Accent1 8 2 2 2 3" xfId="7583"/>
    <cellStyle name="20% - Accent1 8 2 2 2 4" xfId="25202"/>
    <cellStyle name="20% - Accent1 8 2 2 3" xfId="5624"/>
    <cellStyle name="20% - Accent1 8 2 2 3 2" xfId="5960"/>
    <cellStyle name="20% - Accent1 8 2 2 3 2 2" xfId="25205"/>
    <cellStyle name="20% - Accent1 8 2 2 3 3" xfId="25204"/>
    <cellStyle name="20% - Accent1 8 2 2 4" xfId="4257"/>
    <cellStyle name="20% - Accent1 8 2 2 4 2" xfId="5961"/>
    <cellStyle name="20% - Accent1 8 2 2 4 2 2" xfId="25207"/>
    <cellStyle name="20% - Accent1 8 2 2 4 3" xfId="25206"/>
    <cellStyle name="20% - Accent1 8 2 2 5" xfId="5958"/>
    <cellStyle name="20% - Accent1 8 2 2 5 2" xfId="25208"/>
    <cellStyle name="20% - Accent1 8 2 2 6" xfId="7582"/>
    <cellStyle name="20% - Accent1 8 2 2 6 2" xfId="25209"/>
    <cellStyle name="20% - Accent1 8 2 2 7" xfId="25024"/>
    <cellStyle name="20% - Accent1 8 2 2 8" xfId="25201"/>
    <cellStyle name="20% - Accent1 8 2 2 9" xfId="28212"/>
    <cellStyle name="20% - Accent1 8 2 3" xfId="5313"/>
    <cellStyle name="20% - Accent1 8 2 3 2" xfId="5962"/>
    <cellStyle name="20% - Accent1 8 2 3 2 2" xfId="25211"/>
    <cellStyle name="20% - Accent1 8 2 3 3" xfId="7584"/>
    <cellStyle name="20% - Accent1 8 2 3 4" xfId="25210"/>
    <cellStyle name="20% - Accent1 8 2 4" xfId="5623"/>
    <cellStyle name="20% - Accent1 8 2 4 2" xfId="5963"/>
    <cellStyle name="20% - Accent1 8 2 4 2 2" xfId="25213"/>
    <cellStyle name="20% - Accent1 8 2 4 3" xfId="7585"/>
    <cellStyle name="20% - Accent1 8 2 4 4" xfId="25212"/>
    <cellStyle name="20% - Accent1 8 2 5" xfId="4256"/>
    <cellStyle name="20% - Accent1 8 2 5 2" xfId="5964"/>
    <cellStyle name="20% - Accent1 8 2 5 2 2" xfId="7587"/>
    <cellStyle name="20% - Accent1 8 2 5 2 2 2" xfId="25216"/>
    <cellStyle name="20% - Accent1 8 2 5 2 3" xfId="25215"/>
    <cellStyle name="20% - Accent1 8 2 5 2 4" xfId="28214"/>
    <cellStyle name="20% - Accent1 8 2 5 3" xfId="7588"/>
    <cellStyle name="20% - Accent1 8 2 5 3 2" xfId="25217"/>
    <cellStyle name="20% - Accent1 8 2 5 3 3" xfId="28215"/>
    <cellStyle name="20% - Accent1 8 2 5 4" xfId="7586"/>
    <cellStyle name="20% - Accent1 8 2 5 4 2" xfId="25218"/>
    <cellStyle name="20% - Accent1 8 2 5 5" xfId="25214"/>
    <cellStyle name="20% - Accent1 8 2 5 6" xfId="28213"/>
    <cellStyle name="20% - Accent1 8 2 6" xfId="5957"/>
    <cellStyle name="20% - Accent1 8 2 6 2" xfId="7589"/>
    <cellStyle name="20% - Accent1 8 2 6 2 2" xfId="25220"/>
    <cellStyle name="20% - Accent1 8 2 6 3" xfId="25219"/>
    <cellStyle name="20% - Accent1 8 2 6 4" xfId="28216"/>
    <cellStyle name="20% - Accent1 8 2 7" xfId="7590"/>
    <cellStyle name="20% - Accent1 8 2 7 2" xfId="25221"/>
    <cellStyle name="20% - Accent1 8 2 7 3" xfId="28217"/>
    <cellStyle name="20% - Accent1 8 2 8" xfId="7581"/>
    <cellStyle name="20% - Accent1 8 2 8 2" xfId="25222"/>
    <cellStyle name="20% - Accent1 8 2 9" xfId="24904"/>
    <cellStyle name="20% - Accent1 8 3" xfId="3831"/>
    <cellStyle name="20% - Accent1 8 3 2" xfId="5315"/>
    <cellStyle name="20% - Accent1 8 3 2 2" xfId="5966"/>
    <cellStyle name="20% - Accent1 8 3 2 2 2" xfId="25225"/>
    <cellStyle name="20% - Accent1 8 3 2 3" xfId="7592"/>
    <cellStyle name="20% - Accent1 8 3 2 4" xfId="25224"/>
    <cellStyle name="20% - Accent1 8 3 3" xfId="5625"/>
    <cellStyle name="20% - Accent1 8 3 3 2" xfId="5967"/>
    <cellStyle name="20% - Accent1 8 3 3 2 2" xfId="25227"/>
    <cellStyle name="20% - Accent1 8 3 3 3" xfId="25226"/>
    <cellStyle name="20% - Accent1 8 3 4" xfId="4258"/>
    <cellStyle name="20% - Accent1 8 3 4 2" xfId="5968"/>
    <cellStyle name="20% - Accent1 8 3 4 2 2" xfId="25229"/>
    <cellStyle name="20% - Accent1 8 3 4 3" xfId="25228"/>
    <cellStyle name="20% - Accent1 8 3 5" xfId="5965"/>
    <cellStyle name="20% - Accent1 8 3 5 2" xfId="25230"/>
    <cellStyle name="20% - Accent1 8 3 6" xfId="7591"/>
    <cellStyle name="20% - Accent1 8 3 6 2" xfId="25231"/>
    <cellStyle name="20% - Accent1 8 3 7" xfId="24967"/>
    <cellStyle name="20% - Accent1 8 3 8" xfId="25223"/>
    <cellStyle name="20% - Accent1 8 3 9" xfId="28218"/>
    <cellStyle name="20% - Accent1 8 4" xfId="5312"/>
    <cellStyle name="20% - Accent1 8 4 2" xfId="5969"/>
    <cellStyle name="20% - Accent1 8 4 2 2" xfId="25233"/>
    <cellStyle name="20% - Accent1 8 4 3" xfId="7593"/>
    <cellStyle name="20% - Accent1 8 4 4" xfId="25232"/>
    <cellStyle name="20% - Accent1 8 5" xfId="5622"/>
    <cellStyle name="20% - Accent1 8 5 2" xfId="5970"/>
    <cellStyle name="20% - Accent1 8 5 2 2" xfId="25235"/>
    <cellStyle name="20% - Accent1 8 5 3" xfId="7594"/>
    <cellStyle name="20% - Accent1 8 5 4" xfId="25234"/>
    <cellStyle name="20% - Accent1 8 6" xfId="4255"/>
    <cellStyle name="20% - Accent1 8 6 2" xfId="5971"/>
    <cellStyle name="20% - Accent1 8 6 2 2" xfId="7596"/>
    <cellStyle name="20% - Accent1 8 6 2 2 2" xfId="25238"/>
    <cellStyle name="20% - Accent1 8 6 2 3" xfId="25237"/>
    <cellStyle name="20% - Accent1 8 6 2 4" xfId="28220"/>
    <cellStyle name="20% - Accent1 8 6 3" xfId="7597"/>
    <cellStyle name="20% - Accent1 8 6 3 2" xfId="25239"/>
    <cellStyle name="20% - Accent1 8 6 3 3" xfId="28221"/>
    <cellStyle name="20% - Accent1 8 6 4" xfId="7595"/>
    <cellStyle name="20% - Accent1 8 6 4 2" xfId="25240"/>
    <cellStyle name="20% - Accent1 8 6 5" xfId="25236"/>
    <cellStyle name="20% - Accent1 8 6 6" xfId="28219"/>
    <cellStyle name="20% - Accent1 8 7" xfId="5956"/>
    <cellStyle name="20% - Accent1 8 7 2" xfId="7598"/>
    <cellStyle name="20% - Accent1 8 7 2 2" xfId="25242"/>
    <cellStyle name="20% - Accent1 8 7 3" xfId="25241"/>
    <cellStyle name="20% - Accent1 8 7 4" xfId="28222"/>
    <cellStyle name="20% - Accent1 8 8" xfId="7599"/>
    <cellStyle name="20% - Accent1 8 8 2" xfId="25243"/>
    <cellStyle name="20% - Accent1 8 8 3" xfId="28223"/>
    <cellStyle name="20% - Accent1 8 9" xfId="7580"/>
    <cellStyle name="20% - Accent1 8 9 2" xfId="25244"/>
    <cellStyle name="20% - Accent1 9" xfId="521"/>
    <cellStyle name="20% - Accent1 9 2" xfId="4259"/>
    <cellStyle name="20% - Accent1 9 2 2" xfId="7601"/>
    <cellStyle name="20% - Accent1 9 2 3" xfId="7602"/>
    <cellStyle name="20% - Accent1 9 2 4" xfId="7600"/>
    <cellStyle name="20% - Accent1 9 3" xfId="7603"/>
    <cellStyle name="20% - Accent1 9 4" xfId="7604"/>
    <cellStyle name="20% - Accent1 9 5" xfId="7605"/>
    <cellStyle name="20% - Accent1 9 6" xfId="7606"/>
    <cellStyle name="20% - Accent2" xfId="7107" builtinId="34" customBuiltin="1"/>
    <cellStyle name="20% - Accent2 10" xfId="644"/>
    <cellStyle name="20% - Accent2 10 2" xfId="4260"/>
    <cellStyle name="20% - Accent2 10 2 2" xfId="7607"/>
    <cellStyle name="20% - Accent2 10 3" xfId="7608"/>
    <cellStyle name="20% - Accent2 10 4" xfId="7609"/>
    <cellStyle name="20% - Accent2 10 5" xfId="7610"/>
    <cellStyle name="20% - Accent2 11" xfId="645"/>
    <cellStyle name="20% - Accent2 11 2" xfId="4261"/>
    <cellStyle name="20% - Accent2 11 2 2" xfId="7611"/>
    <cellStyle name="20% - Accent2 11 3" xfId="7612"/>
    <cellStyle name="20% - Accent2 11 4" xfId="7613"/>
    <cellStyle name="20% - Accent2 11 5" xfId="7614"/>
    <cellStyle name="20% - Accent2 12" xfId="801"/>
    <cellStyle name="20% - Accent2 12 2" xfId="7616"/>
    <cellStyle name="20% - Accent2 12 3" xfId="7617"/>
    <cellStyle name="20% - Accent2 12 4" xfId="7615"/>
    <cellStyle name="20% - Accent2 13" xfId="802"/>
    <cellStyle name="20% - Accent2 13 2" xfId="3846"/>
    <cellStyle name="20% - Accent2 13 2 2" xfId="5973"/>
    <cellStyle name="20% - Accent2 13 2 2 2" xfId="25247"/>
    <cellStyle name="20% - Accent2 13 2 3" xfId="7619"/>
    <cellStyle name="20% - Accent2 13 2 4" xfId="24982"/>
    <cellStyle name="20% - Accent2 13 2 5" xfId="25246"/>
    <cellStyle name="20% - Accent2 13 3" xfId="5972"/>
    <cellStyle name="20% - Accent2 13 3 2" xfId="7620"/>
    <cellStyle name="20% - Accent2 13 3 3" xfId="25248"/>
    <cellStyle name="20% - Accent2 13 4" xfId="7618"/>
    <cellStyle name="20% - Accent2 13 5" xfId="24861"/>
    <cellStyle name="20% - Accent2 13 6" xfId="25245"/>
    <cellStyle name="20% - Accent2 14" xfId="923"/>
    <cellStyle name="20% - Accent2 14 2" xfId="7622"/>
    <cellStyle name="20% - Accent2 14 3" xfId="7623"/>
    <cellStyle name="20% - Accent2 14 4" xfId="7621"/>
    <cellStyle name="20% - Accent2 15" xfId="7624"/>
    <cellStyle name="20% - Accent2 15 2" xfId="7625"/>
    <cellStyle name="20% - Accent2 15 3" xfId="7626"/>
    <cellStyle name="20% - Accent2 16" xfId="7627"/>
    <cellStyle name="20% - Accent2 16 2" xfId="7628"/>
    <cellStyle name="20% - Accent2 16 3" xfId="7629"/>
    <cellStyle name="20% - Accent2 17" xfId="7630"/>
    <cellStyle name="20% - Accent2 17 2" xfId="7631"/>
    <cellStyle name="20% - Accent2 17 3" xfId="7632"/>
    <cellStyle name="20% - Accent2 18" xfId="7633"/>
    <cellStyle name="20% - Accent2 18 2" xfId="7634"/>
    <cellStyle name="20% - Accent2 18 3" xfId="7635"/>
    <cellStyle name="20% - Accent2 19" xfId="7636"/>
    <cellStyle name="20% - Accent2 19 2" xfId="7637"/>
    <cellStyle name="20% - Accent2 2" xfId="69"/>
    <cellStyle name="20% - Accent2 2 10" xfId="1668"/>
    <cellStyle name="20% - Accent2 2 10 2" xfId="4262"/>
    <cellStyle name="20% - Accent2 2 10 2 2" xfId="7638"/>
    <cellStyle name="20% - Accent2 2 10 3" xfId="7639"/>
    <cellStyle name="20% - Accent2 2 10 4" xfId="7640"/>
    <cellStyle name="20% - Accent2 2 10 5" xfId="7641"/>
    <cellStyle name="20% - Accent2 2 11" xfId="1665"/>
    <cellStyle name="20% - Accent2 2 11 2" xfId="4263"/>
    <cellStyle name="20% - Accent2 2 11 2 2" xfId="7642"/>
    <cellStyle name="20% - Accent2 2 11 3" xfId="7643"/>
    <cellStyle name="20% - Accent2 2 11 4" xfId="7644"/>
    <cellStyle name="20% - Accent2 2 11 5" xfId="7645"/>
    <cellStyle name="20% - Accent2 2 12" xfId="1705"/>
    <cellStyle name="20% - Accent2 2 12 2" xfId="4264"/>
    <cellStyle name="20% - Accent2 2 12 2 2" xfId="7646"/>
    <cellStyle name="20% - Accent2 2 12 3" xfId="7647"/>
    <cellStyle name="20% - Accent2 2 12 4" xfId="7648"/>
    <cellStyle name="20% - Accent2 2 12 5" xfId="7649"/>
    <cellStyle name="20% - Accent2 2 13" xfId="2040"/>
    <cellStyle name="20% - Accent2 2 13 2" xfId="4265"/>
    <cellStyle name="20% - Accent2 2 13 2 2" xfId="7650"/>
    <cellStyle name="20% - Accent2 2 13 3" xfId="7651"/>
    <cellStyle name="20% - Accent2 2 13 4" xfId="7652"/>
    <cellStyle name="20% - Accent2 2 13 5" xfId="7653"/>
    <cellStyle name="20% - Accent2 2 14" xfId="2415"/>
    <cellStyle name="20% - Accent2 2 14 2" xfId="4266"/>
    <cellStyle name="20% - Accent2 2 14 2 2" xfId="7654"/>
    <cellStyle name="20% - Accent2 2 14 3" xfId="7655"/>
    <cellStyle name="20% - Accent2 2 14 4" xfId="7656"/>
    <cellStyle name="20% - Accent2 2 14 5" xfId="7657"/>
    <cellStyle name="20% - Accent2 2 15" xfId="2787"/>
    <cellStyle name="20% - Accent2 2 15 2" xfId="4267"/>
    <cellStyle name="20% - Accent2 2 15 2 2" xfId="7658"/>
    <cellStyle name="20% - Accent2 2 15 3" xfId="7659"/>
    <cellStyle name="20% - Accent2 2 16" xfId="3633"/>
    <cellStyle name="20% - Accent2 2 16 2" xfId="4268"/>
    <cellStyle name="20% - Accent2 2 16 2 2" xfId="7660"/>
    <cellStyle name="20% - Accent2 2 16 3" xfId="7661"/>
    <cellStyle name="20% - Accent2 2 17" xfId="24468"/>
    <cellStyle name="20% - Accent2 2 2" xfId="113"/>
    <cellStyle name="20% - Accent2 2 2 10" xfId="7662"/>
    <cellStyle name="20% - Accent2 2 2 10 2" xfId="7663"/>
    <cellStyle name="20% - Accent2 2 2 10 3" xfId="7664"/>
    <cellStyle name="20% - Accent2 2 2 11" xfId="7665"/>
    <cellStyle name="20% - Accent2 2 2 11 2" xfId="7666"/>
    <cellStyle name="20% - Accent2 2 2 11 3" xfId="7667"/>
    <cellStyle name="20% - Accent2 2 2 12" xfId="7668"/>
    <cellStyle name="20% - Accent2 2 2 12 2" xfId="7669"/>
    <cellStyle name="20% - Accent2 2 2 12 3" xfId="7670"/>
    <cellStyle name="20% - Accent2 2 2 13" xfId="7671"/>
    <cellStyle name="20% - Accent2 2 2 14" xfId="7672"/>
    <cellStyle name="20% - Accent2 2 2 15" xfId="7673"/>
    <cellStyle name="20% - Accent2 2 2 2" xfId="175"/>
    <cellStyle name="20% - Accent2 2 2 2 2" xfId="7674"/>
    <cellStyle name="20% - Accent2 2 2 2 3" xfId="7675"/>
    <cellStyle name="20% - Accent2 2 2 3" xfId="339"/>
    <cellStyle name="20% - Accent2 2 2 3 2" xfId="7676"/>
    <cellStyle name="20% - Accent2 2 2 3 3" xfId="7677"/>
    <cellStyle name="20% - Accent2 2 2 4" xfId="2161"/>
    <cellStyle name="20% - Accent2 2 2 4 2" xfId="7678"/>
    <cellStyle name="20% - Accent2 2 2 4 3" xfId="7679"/>
    <cellStyle name="20% - Accent2 2 2 5" xfId="2535"/>
    <cellStyle name="20% - Accent2 2 2 5 2" xfId="7680"/>
    <cellStyle name="20% - Accent2 2 2 5 3" xfId="7681"/>
    <cellStyle name="20% - Accent2 2 2 6" xfId="2907"/>
    <cellStyle name="20% - Accent2 2 2 6 2" xfId="7682"/>
    <cellStyle name="20% - Accent2 2 2 6 3" xfId="7683"/>
    <cellStyle name="20% - Accent2 2 2 7" xfId="3279"/>
    <cellStyle name="20% - Accent2 2 2 7 2" xfId="7684"/>
    <cellStyle name="20% - Accent2 2 2 7 3" xfId="7685"/>
    <cellStyle name="20% - Accent2 2 2 8" xfId="4269"/>
    <cellStyle name="20% - Accent2 2 2 8 2" xfId="7687"/>
    <cellStyle name="20% - Accent2 2 2 8 3" xfId="7688"/>
    <cellStyle name="20% - Accent2 2 2 8 4" xfId="7686"/>
    <cellStyle name="20% - Accent2 2 2 9" xfId="7689"/>
    <cellStyle name="20% - Accent2 2 2 9 2" xfId="7690"/>
    <cellStyle name="20% - Accent2 2 2 9 3" xfId="7691"/>
    <cellStyle name="20% - Accent2 2 3" xfId="278"/>
    <cellStyle name="20% - Accent2 2 3 2" xfId="1337"/>
    <cellStyle name="20% - Accent2 2 3 2 2" xfId="7692"/>
    <cellStyle name="20% - Accent2 2 3 2 3" xfId="7693"/>
    <cellStyle name="20% - Accent2 2 3 3" xfId="7694"/>
    <cellStyle name="20% - Accent2 2 3 4" xfId="7695"/>
    <cellStyle name="20% - Accent2 2 4" xfId="362"/>
    <cellStyle name="20% - Accent2 2 4 2" xfId="7696"/>
    <cellStyle name="20% - Accent2 2 4 2 2" xfId="7697"/>
    <cellStyle name="20% - Accent2 2 4 2 3" xfId="7698"/>
    <cellStyle name="20% - Accent2 2 4 3" xfId="7699"/>
    <cellStyle name="20% - Accent2 2 4 4" xfId="7700"/>
    <cellStyle name="20% - Accent2 2 5" xfId="522"/>
    <cellStyle name="20% - Accent2 2 5 2" xfId="7701"/>
    <cellStyle name="20% - Accent2 2 5 3" xfId="7702"/>
    <cellStyle name="20% - Accent2 2 6" xfId="646"/>
    <cellStyle name="20% - Accent2 2 6 2" xfId="7703"/>
    <cellStyle name="20% - Accent2 2 6 3" xfId="7704"/>
    <cellStyle name="20% - Accent2 2 7" xfId="647"/>
    <cellStyle name="20% - Accent2 2 7 2" xfId="7705"/>
    <cellStyle name="20% - Accent2 2 7 3" xfId="7706"/>
    <cellStyle name="20% - Accent2 2 8" xfId="803"/>
    <cellStyle name="20% - Accent2 2 8 2" xfId="1397"/>
    <cellStyle name="20% - Accent2 2 8 2 2" xfId="7707"/>
    <cellStyle name="20% - Accent2 2 8 3" xfId="7708"/>
    <cellStyle name="20% - Accent2 2 8 4" xfId="7709"/>
    <cellStyle name="20% - Accent2 2 8 5" xfId="7710"/>
    <cellStyle name="20% - Accent2 2 9" xfId="924"/>
    <cellStyle name="20% - Accent2 2 9 2" xfId="1392"/>
    <cellStyle name="20% - Accent2 2 9 2 2" xfId="7711"/>
    <cellStyle name="20% - Accent2 2 9 3" xfId="7712"/>
    <cellStyle name="20% - Accent2 2 9 4" xfId="7713"/>
    <cellStyle name="20% - Accent2 2 9 5" xfId="7714"/>
    <cellStyle name="20% - Accent2 20" xfId="7715"/>
    <cellStyle name="20% - Accent2 21" xfId="7716"/>
    <cellStyle name="20% - Accent2 21 2" xfId="7717"/>
    <cellStyle name="20% - Accent2 21 2 2" xfId="7718"/>
    <cellStyle name="20% - Accent2 21 2 2 2" xfId="25251"/>
    <cellStyle name="20% - Accent2 21 2 2 3" xfId="28226"/>
    <cellStyle name="20% - Accent2 21 2 3" xfId="7719"/>
    <cellStyle name="20% - Accent2 21 2 3 2" xfId="25252"/>
    <cellStyle name="20% - Accent2 21 2 3 3" xfId="28227"/>
    <cellStyle name="20% - Accent2 21 2 4" xfId="25250"/>
    <cellStyle name="20% - Accent2 21 2 5" xfId="28225"/>
    <cellStyle name="20% - Accent2 21 3" xfId="7720"/>
    <cellStyle name="20% - Accent2 21 3 2" xfId="25253"/>
    <cellStyle name="20% - Accent2 21 3 3" xfId="28228"/>
    <cellStyle name="20% - Accent2 21 4" xfId="7721"/>
    <cellStyle name="20% - Accent2 21 4 2" xfId="25254"/>
    <cellStyle name="20% - Accent2 21 4 3" xfId="28229"/>
    <cellStyle name="20% - Accent2 21 5" xfId="25249"/>
    <cellStyle name="20% - Accent2 21 6" xfId="28224"/>
    <cellStyle name="20% - Accent2 22" xfId="7722"/>
    <cellStyle name="20% - Accent2 22 2" xfId="7723"/>
    <cellStyle name="20% - Accent2 22 2 2" xfId="7724"/>
    <cellStyle name="20% - Accent2 22 2 2 2" xfId="25257"/>
    <cellStyle name="20% - Accent2 22 2 2 3" xfId="28232"/>
    <cellStyle name="20% - Accent2 22 2 3" xfId="7725"/>
    <cellStyle name="20% - Accent2 22 2 3 2" xfId="25258"/>
    <cellStyle name="20% - Accent2 22 2 3 3" xfId="28233"/>
    <cellStyle name="20% - Accent2 22 2 4" xfId="25256"/>
    <cellStyle name="20% - Accent2 22 2 5" xfId="28231"/>
    <cellStyle name="20% - Accent2 22 3" xfId="7726"/>
    <cellStyle name="20% - Accent2 22 3 2" xfId="25259"/>
    <cellStyle name="20% - Accent2 22 3 3" xfId="28234"/>
    <cellStyle name="20% - Accent2 22 4" xfId="7727"/>
    <cellStyle name="20% - Accent2 22 4 2" xfId="25260"/>
    <cellStyle name="20% - Accent2 22 4 3" xfId="28235"/>
    <cellStyle name="20% - Accent2 22 5" xfId="25255"/>
    <cellStyle name="20% - Accent2 22 6" xfId="28230"/>
    <cellStyle name="20% - Accent2 23" xfId="7728"/>
    <cellStyle name="20% - Accent2 24" xfId="7729"/>
    <cellStyle name="20% - Accent2 24 2" xfId="7730"/>
    <cellStyle name="20% - Accent2 24 2 2" xfId="7731"/>
    <cellStyle name="20% - Accent2 24 2 2 2" xfId="25263"/>
    <cellStyle name="20% - Accent2 24 2 2 3" xfId="28238"/>
    <cellStyle name="20% - Accent2 24 2 3" xfId="7732"/>
    <cellStyle name="20% - Accent2 24 2 3 2" xfId="25264"/>
    <cellStyle name="20% - Accent2 24 2 3 3" xfId="28239"/>
    <cellStyle name="20% - Accent2 24 2 4" xfId="25262"/>
    <cellStyle name="20% - Accent2 24 2 5" xfId="28237"/>
    <cellStyle name="20% - Accent2 24 3" xfId="7733"/>
    <cellStyle name="20% - Accent2 24 3 2" xfId="25265"/>
    <cellStyle name="20% - Accent2 24 3 3" xfId="28240"/>
    <cellStyle name="20% - Accent2 24 4" xfId="7734"/>
    <cellStyle name="20% - Accent2 24 4 2" xfId="25266"/>
    <cellStyle name="20% - Accent2 24 4 3" xfId="28241"/>
    <cellStyle name="20% - Accent2 24 5" xfId="25261"/>
    <cellStyle name="20% - Accent2 24 6" xfId="28236"/>
    <cellStyle name="20% - Accent2 25" xfId="7735"/>
    <cellStyle name="20% - Accent2 25 2" xfId="7736"/>
    <cellStyle name="20% - Accent2 25 2 2" xfId="7737"/>
    <cellStyle name="20% - Accent2 25 2 2 2" xfId="25269"/>
    <cellStyle name="20% - Accent2 25 2 2 3" xfId="28244"/>
    <cellStyle name="20% - Accent2 25 2 3" xfId="7738"/>
    <cellStyle name="20% - Accent2 25 2 3 2" xfId="25270"/>
    <cellStyle name="20% - Accent2 25 2 3 3" xfId="28245"/>
    <cellStyle name="20% - Accent2 25 2 4" xfId="25268"/>
    <cellStyle name="20% - Accent2 25 2 5" xfId="28243"/>
    <cellStyle name="20% - Accent2 25 3" xfId="7739"/>
    <cellStyle name="20% - Accent2 25 3 2" xfId="25271"/>
    <cellStyle name="20% - Accent2 25 3 3" xfId="28246"/>
    <cellStyle name="20% - Accent2 25 4" xfId="7740"/>
    <cellStyle name="20% - Accent2 25 4 2" xfId="25272"/>
    <cellStyle name="20% - Accent2 25 4 3" xfId="28247"/>
    <cellStyle name="20% - Accent2 25 5" xfId="25267"/>
    <cellStyle name="20% - Accent2 25 6" xfId="28242"/>
    <cellStyle name="20% - Accent2 26" xfId="7741"/>
    <cellStyle name="20% - Accent2 27" xfId="7742"/>
    <cellStyle name="20% - Accent2 27 2" xfId="7743"/>
    <cellStyle name="20% - Accent2 27 2 2" xfId="7744"/>
    <cellStyle name="20% - Accent2 27 2 2 2" xfId="25275"/>
    <cellStyle name="20% - Accent2 27 2 2 3" xfId="28250"/>
    <cellStyle name="20% - Accent2 27 2 3" xfId="7745"/>
    <cellStyle name="20% - Accent2 27 2 3 2" xfId="25276"/>
    <cellStyle name="20% - Accent2 27 2 3 3" xfId="28251"/>
    <cellStyle name="20% - Accent2 27 2 4" xfId="25274"/>
    <cellStyle name="20% - Accent2 27 2 5" xfId="28249"/>
    <cellStyle name="20% - Accent2 27 3" xfId="7746"/>
    <cellStyle name="20% - Accent2 27 3 2" xfId="25277"/>
    <cellStyle name="20% - Accent2 27 3 3" xfId="28252"/>
    <cellStyle name="20% - Accent2 27 4" xfId="7747"/>
    <cellStyle name="20% - Accent2 27 4 2" xfId="25278"/>
    <cellStyle name="20% - Accent2 27 4 3" xfId="28253"/>
    <cellStyle name="20% - Accent2 27 5" xfId="25273"/>
    <cellStyle name="20% - Accent2 27 6" xfId="28248"/>
    <cellStyle name="20% - Accent2 28" xfId="7748"/>
    <cellStyle name="20% - Accent2 28 2" xfId="7749"/>
    <cellStyle name="20% - Accent2 28 2 2" xfId="25280"/>
    <cellStyle name="20% - Accent2 28 2 3" xfId="28255"/>
    <cellStyle name="20% - Accent2 28 3" xfId="7750"/>
    <cellStyle name="20% - Accent2 28 3 2" xfId="25281"/>
    <cellStyle name="20% - Accent2 28 3 3" xfId="28256"/>
    <cellStyle name="20% - Accent2 28 4" xfId="25279"/>
    <cellStyle name="20% - Accent2 28 5" xfId="28254"/>
    <cellStyle name="20% - Accent2 29" xfId="7751"/>
    <cellStyle name="20% - Accent2 29 2" xfId="25282"/>
    <cellStyle name="20% - Accent2 29 3" xfId="28257"/>
    <cellStyle name="20% - Accent2 3" xfId="216"/>
    <cellStyle name="20% - Accent2 3 10" xfId="3676"/>
    <cellStyle name="20% - Accent2 3 10 2" xfId="4270"/>
    <cellStyle name="20% - Accent2 3 10 2 2" xfId="7752"/>
    <cellStyle name="20% - Accent2 3 10 3" xfId="7753"/>
    <cellStyle name="20% - Accent2 3 10 4" xfId="7754"/>
    <cellStyle name="20% - Accent2 3 10 5" xfId="7755"/>
    <cellStyle name="20% - Accent2 3 11" xfId="7756"/>
    <cellStyle name="20% - Accent2 3 11 2" xfId="7757"/>
    <cellStyle name="20% - Accent2 3 11 3" xfId="7758"/>
    <cellStyle name="20% - Accent2 3 12" xfId="7759"/>
    <cellStyle name="20% - Accent2 3 12 2" xfId="7760"/>
    <cellStyle name="20% - Accent2 3 12 3" xfId="7761"/>
    <cellStyle name="20% - Accent2 3 13" xfId="7762"/>
    <cellStyle name="20% - Accent2 3 13 2" xfId="7763"/>
    <cellStyle name="20% - Accent2 3 13 3" xfId="7764"/>
    <cellStyle name="20% - Accent2 3 14" xfId="7765"/>
    <cellStyle name="20% - Accent2 3 15" xfId="7766"/>
    <cellStyle name="20% - Accent2 3 2" xfId="1449"/>
    <cellStyle name="20% - Accent2 3 2 10" xfId="7767"/>
    <cellStyle name="20% - Accent2 3 2 10 2" xfId="7768"/>
    <cellStyle name="20% - Accent2 3 2 10 3" xfId="7769"/>
    <cellStyle name="20% - Accent2 3 2 11" xfId="7770"/>
    <cellStyle name="20% - Accent2 3 2 11 2" xfId="7771"/>
    <cellStyle name="20% - Accent2 3 2 11 3" xfId="7772"/>
    <cellStyle name="20% - Accent2 3 2 12" xfId="7773"/>
    <cellStyle name="20% - Accent2 3 2 12 2" xfId="7774"/>
    <cellStyle name="20% - Accent2 3 2 12 3" xfId="7775"/>
    <cellStyle name="20% - Accent2 3 2 13" xfId="7776"/>
    <cellStyle name="20% - Accent2 3 2 14" xfId="7777"/>
    <cellStyle name="20% - Accent2 3 2 15" xfId="7778"/>
    <cellStyle name="20% - Accent2 3 2 2" xfId="1827"/>
    <cellStyle name="20% - Accent2 3 2 2 2" xfId="7779"/>
    <cellStyle name="20% - Accent2 3 2 2 3" xfId="7780"/>
    <cellStyle name="20% - Accent2 3 2 3" xfId="2202"/>
    <cellStyle name="20% - Accent2 3 2 3 2" xfId="7781"/>
    <cellStyle name="20% - Accent2 3 2 3 3" xfId="7782"/>
    <cellStyle name="20% - Accent2 3 2 4" xfId="2576"/>
    <cellStyle name="20% - Accent2 3 2 4 2" xfId="7783"/>
    <cellStyle name="20% - Accent2 3 2 4 3" xfId="7784"/>
    <cellStyle name="20% - Accent2 3 2 5" xfId="2948"/>
    <cellStyle name="20% - Accent2 3 2 5 2" xfId="7785"/>
    <cellStyle name="20% - Accent2 3 2 5 3" xfId="7786"/>
    <cellStyle name="20% - Accent2 3 2 6" xfId="3320"/>
    <cellStyle name="20% - Accent2 3 2 6 2" xfId="7787"/>
    <cellStyle name="20% - Accent2 3 2 6 3" xfId="7788"/>
    <cellStyle name="20% - Accent2 3 2 7" xfId="4271"/>
    <cellStyle name="20% - Accent2 3 2 7 2" xfId="7790"/>
    <cellStyle name="20% - Accent2 3 2 7 3" xfId="7791"/>
    <cellStyle name="20% - Accent2 3 2 7 4" xfId="7789"/>
    <cellStyle name="20% - Accent2 3 2 8" xfId="7792"/>
    <cellStyle name="20% - Accent2 3 2 8 2" xfId="7793"/>
    <cellStyle name="20% - Accent2 3 2 8 3" xfId="7794"/>
    <cellStyle name="20% - Accent2 3 2 9" xfId="7795"/>
    <cellStyle name="20% - Accent2 3 2 9 2" xfId="7796"/>
    <cellStyle name="20% - Accent2 3 2 9 3" xfId="7797"/>
    <cellStyle name="20% - Accent2 3 3" xfId="1576"/>
    <cellStyle name="20% - Accent2 3 3 2" xfId="1904"/>
    <cellStyle name="20% - Accent2 3 3 3" xfId="2279"/>
    <cellStyle name="20% - Accent2 3 3 4" xfId="2652"/>
    <cellStyle name="20% - Accent2 3 3 5" xfId="3025"/>
    <cellStyle name="20% - Accent2 3 3 6" xfId="3396"/>
    <cellStyle name="20% - Accent2 3 3 7" xfId="4272"/>
    <cellStyle name="20% - Accent2 3 4" xfId="1713"/>
    <cellStyle name="20% - Accent2 3 4 2" xfId="1948"/>
    <cellStyle name="20% - Accent2 3 4 3" xfId="2323"/>
    <cellStyle name="20% - Accent2 3 4 4" xfId="2696"/>
    <cellStyle name="20% - Accent2 3 4 5" xfId="3069"/>
    <cellStyle name="20% - Accent2 3 4 6" xfId="3440"/>
    <cellStyle name="20% - Accent2 3 5" xfId="2048"/>
    <cellStyle name="20% - Accent2 3 5 2" xfId="7798"/>
    <cellStyle name="20% - Accent2 3 5 3" xfId="7799"/>
    <cellStyle name="20% - Accent2 3 5 4" xfId="7800"/>
    <cellStyle name="20% - Accent2 3 6" xfId="2422"/>
    <cellStyle name="20% - Accent2 3 6 2" xfId="7801"/>
    <cellStyle name="20% - Accent2 3 6 3" xfId="7802"/>
    <cellStyle name="20% - Accent2 3 6 4" xfId="7803"/>
    <cellStyle name="20% - Accent2 3 7" xfId="2794"/>
    <cellStyle name="20% - Accent2 3 7 2" xfId="7804"/>
    <cellStyle name="20% - Accent2 3 7 3" xfId="7805"/>
    <cellStyle name="20% - Accent2 3 7 4" xfId="7806"/>
    <cellStyle name="20% - Accent2 3 8" xfId="3165"/>
    <cellStyle name="20% - Accent2 3 8 2" xfId="7807"/>
    <cellStyle name="20% - Accent2 3 8 3" xfId="7808"/>
    <cellStyle name="20% - Accent2 3 8 4" xfId="7809"/>
    <cellStyle name="20% - Accent2 3 9" xfId="3540"/>
    <cellStyle name="20% - Accent2 3 9 2" xfId="4273"/>
    <cellStyle name="20% - Accent2 3 9 2 2" xfId="7810"/>
    <cellStyle name="20% - Accent2 3 9 3" xfId="7811"/>
    <cellStyle name="20% - Accent2 3 9 4" xfId="7812"/>
    <cellStyle name="20% - Accent2 3 9 5" xfId="7813"/>
    <cellStyle name="20% - Accent2 30" xfId="28142"/>
    <cellStyle name="20% - Accent2 4" xfId="236"/>
    <cellStyle name="20% - Accent2 4 10" xfId="3720"/>
    <cellStyle name="20% - Accent2 4 10 2" xfId="4275"/>
    <cellStyle name="20% - Accent2 4 10 2 2" xfId="7815"/>
    <cellStyle name="20% - Accent2 4 10 3" xfId="7816"/>
    <cellStyle name="20% - Accent2 4 10 4" xfId="7817"/>
    <cellStyle name="20% - Accent2 4 10 5" xfId="7818"/>
    <cellStyle name="20% - Accent2 4 11" xfId="1298"/>
    <cellStyle name="20% - Accent2 4 11 10" xfId="25283"/>
    <cellStyle name="20% - Accent2 4 11 11" xfId="28259"/>
    <cellStyle name="20% - Accent2 4 11 2" xfId="4146"/>
    <cellStyle name="20% - Accent2 4 11 2 2" xfId="5318"/>
    <cellStyle name="20% - Accent2 4 11 2 2 2" xfId="5976"/>
    <cellStyle name="20% - Accent2 4 11 2 2 2 2" xfId="25286"/>
    <cellStyle name="20% - Accent2 4 11 2 2 3" xfId="7821"/>
    <cellStyle name="20% - Accent2 4 11 2 2 4" xfId="25285"/>
    <cellStyle name="20% - Accent2 4 11 2 3" xfId="5628"/>
    <cellStyle name="20% - Accent2 4 11 2 3 2" xfId="5977"/>
    <cellStyle name="20% - Accent2 4 11 2 3 2 2" xfId="25288"/>
    <cellStyle name="20% - Accent2 4 11 2 3 3" xfId="25287"/>
    <cellStyle name="20% - Accent2 4 11 2 4" xfId="4277"/>
    <cellStyle name="20% - Accent2 4 11 2 4 2" xfId="5978"/>
    <cellStyle name="20% - Accent2 4 11 2 4 2 2" xfId="25290"/>
    <cellStyle name="20% - Accent2 4 11 2 4 3" xfId="25289"/>
    <cellStyle name="20% - Accent2 4 11 2 5" xfId="5975"/>
    <cellStyle name="20% - Accent2 4 11 2 5 2" xfId="25291"/>
    <cellStyle name="20% - Accent2 4 11 2 6" xfId="7820"/>
    <cellStyle name="20% - Accent2 4 11 2 6 2" xfId="25292"/>
    <cellStyle name="20% - Accent2 4 11 2 7" xfId="24998"/>
    <cellStyle name="20% - Accent2 4 11 2 8" xfId="25284"/>
    <cellStyle name="20% - Accent2 4 11 2 9" xfId="28260"/>
    <cellStyle name="20% - Accent2 4 11 3" xfId="5317"/>
    <cellStyle name="20% - Accent2 4 11 3 2" xfId="5979"/>
    <cellStyle name="20% - Accent2 4 11 3 2 2" xfId="25294"/>
    <cellStyle name="20% - Accent2 4 11 3 3" xfId="7822"/>
    <cellStyle name="20% - Accent2 4 11 3 4" xfId="25293"/>
    <cellStyle name="20% - Accent2 4 11 4" xfId="5627"/>
    <cellStyle name="20% - Accent2 4 11 4 2" xfId="5980"/>
    <cellStyle name="20% - Accent2 4 11 4 2 2" xfId="25296"/>
    <cellStyle name="20% - Accent2 4 11 4 3" xfId="7823"/>
    <cellStyle name="20% - Accent2 4 11 4 4" xfId="25295"/>
    <cellStyle name="20% - Accent2 4 11 5" xfId="4276"/>
    <cellStyle name="20% - Accent2 4 11 5 2" xfId="5981"/>
    <cellStyle name="20% - Accent2 4 11 5 2 2" xfId="7825"/>
    <cellStyle name="20% - Accent2 4 11 5 2 2 2" xfId="25299"/>
    <cellStyle name="20% - Accent2 4 11 5 2 3" xfId="25298"/>
    <cellStyle name="20% - Accent2 4 11 5 2 4" xfId="28262"/>
    <cellStyle name="20% - Accent2 4 11 5 3" xfId="7826"/>
    <cellStyle name="20% - Accent2 4 11 5 3 2" xfId="25300"/>
    <cellStyle name="20% - Accent2 4 11 5 3 3" xfId="28263"/>
    <cellStyle name="20% - Accent2 4 11 5 4" xfId="7824"/>
    <cellStyle name="20% - Accent2 4 11 5 4 2" xfId="25301"/>
    <cellStyle name="20% - Accent2 4 11 5 5" xfId="25297"/>
    <cellStyle name="20% - Accent2 4 11 5 6" xfId="28261"/>
    <cellStyle name="20% - Accent2 4 11 6" xfId="5974"/>
    <cellStyle name="20% - Accent2 4 11 6 2" xfId="7827"/>
    <cellStyle name="20% - Accent2 4 11 6 2 2" xfId="25303"/>
    <cellStyle name="20% - Accent2 4 11 6 3" xfId="25302"/>
    <cellStyle name="20% - Accent2 4 11 6 4" xfId="28264"/>
    <cellStyle name="20% - Accent2 4 11 7" xfId="7828"/>
    <cellStyle name="20% - Accent2 4 11 7 2" xfId="25304"/>
    <cellStyle name="20% - Accent2 4 11 7 3" xfId="28265"/>
    <cellStyle name="20% - Accent2 4 11 8" xfId="7819"/>
    <cellStyle name="20% - Accent2 4 11 8 2" xfId="25305"/>
    <cellStyle name="20% - Accent2 4 11 9" xfId="24878"/>
    <cellStyle name="20% - Accent2 4 12" xfId="4278"/>
    <cellStyle name="20% - Accent2 4 12 2" xfId="5319"/>
    <cellStyle name="20% - Accent2 4 12 2 2" xfId="5983"/>
    <cellStyle name="20% - Accent2 4 12 2 2 2" xfId="25308"/>
    <cellStyle name="20% - Accent2 4 12 2 3" xfId="7830"/>
    <cellStyle name="20% - Accent2 4 12 2 4" xfId="25307"/>
    <cellStyle name="20% - Accent2 4 12 3" xfId="5629"/>
    <cellStyle name="20% - Accent2 4 12 3 2" xfId="5984"/>
    <cellStyle name="20% - Accent2 4 12 3 2 2" xfId="25310"/>
    <cellStyle name="20% - Accent2 4 12 3 3" xfId="7831"/>
    <cellStyle name="20% - Accent2 4 12 3 4" xfId="25309"/>
    <cellStyle name="20% - Accent2 4 12 4" xfId="5982"/>
    <cellStyle name="20% - Accent2 4 12 4 2" xfId="7832"/>
    <cellStyle name="20% - Accent2 4 12 4 3" xfId="25311"/>
    <cellStyle name="20% - Accent2 4 12 5" xfId="7829"/>
    <cellStyle name="20% - Accent2 4 12 5 2" xfId="25312"/>
    <cellStyle name="20% - Accent2 4 12 6" xfId="25306"/>
    <cellStyle name="20% - Accent2 4 12 7" xfId="28266"/>
    <cellStyle name="20% - Accent2 4 13" xfId="5316"/>
    <cellStyle name="20% - Accent2 4 13 2" xfId="5985"/>
    <cellStyle name="20% - Accent2 4 13 2 2" xfId="7834"/>
    <cellStyle name="20% - Accent2 4 13 2 3" xfId="25314"/>
    <cellStyle name="20% - Accent2 4 13 3" xfId="7835"/>
    <cellStyle name="20% - Accent2 4 13 4" xfId="7833"/>
    <cellStyle name="20% - Accent2 4 13 5" xfId="25313"/>
    <cellStyle name="20% - Accent2 4 14" xfId="5626"/>
    <cellStyle name="20% - Accent2 4 14 2" xfId="5986"/>
    <cellStyle name="20% - Accent2 4 14 2 2" xfId="25316"/>
    <cellStyle name="20% - Accent2 4 14 3" xfId="7836"/>
    <cellStyle name="20% - Accent2 4 14 4" xfId="25315"/>
    <cellStyle name="20% - Accent2 4 15" xfId="4274"/>
    <cellStyle name="20% - Accent2 4 15 2" xfId="5987"/>
    <cellStyle name="20% - Accent2 4 15 2 2" xfId="25318"/>
    <cellStyle name="20% - Accent2 4 15 3" xfId="7837"/>
    <cellStyle name="20% - Accent2 4 15 4" xfId="25317"/>
    <cellStyle name="20% - Accent2 4 16" xfId="7838"/>
    <cellStyle name="20% - Accent2 4 17" xfId="7839"/>
    <cellStyle name="20% - Accent2 4 17 2" xfId="7840"/>
    <cellStyle name="20% - Accent2 4 17 2 2" xfId="25320"/>
    <cellStyle name="20% - Accent2 4 17 2 3" xfId="28268"/>
    <cellStyle name="20% - Accent2 4 17 3" xfId="7841"/>
    <cellStyle name="20% - Accent2 4 17 3 2" xfId="25321"/>
    <cellStyle name="20% - Accent2 4 17 3 3" xfId="28269"/>
    <cellStyle name="20% - Accent2 4 17 4" xfId="25319"/>
    <cellStyle name="20% - Accent2 4 17 5" xfId="28267"/>
    <cellStyle name="20% - Accent2 4 18" xfId="7842"/>
    <cellStyle name="20% - Accent2 4 18 2" xfId="25322"/>
    <cellStyle name="20% - Accent2 4 18 3" xfId="28270"/>
    <cellStyle name="20% - Accent2 4 19" xfId="7843"/>
    <cellStyle name="20% - Accent2 4 19 2" xfId="25323"/>
    <cellStyle name="20% - Accent2 4 19 3" xfId="28271"/>
    <cellStyle name="20% - Accent2 4 2" xfId="1494"/>
    <cellStyle name="20% - Accent2 4 2 10" xfId="7844"/>
    <cellStyle name="20% - Accent2 4 2 10 2" xfId="7845"/>
    <cellStyle name="20% - Accent2 4 2 10 3" xfId="7846"/>
    <cellStyle name="20% - Accent2 4 2 11" xfId="7847"/>
    <cellStyle name="20% - Accent2 4 2 11 2" xfId="7848"/>
    <cellStyle name="20% - Accent2 4 2 11 3" xfId="7849"/>
    <cellStyle name="20% - Accent2 4 2 12" xfId="7850"/>
    <cellStyle name="20% - Accent2 4 2 12 2" xfId="7851"/>
    <cellStyle name="20% - Accent2 4 2 12 3" xfId="7852"/>
    <cellStyle name="20% - Accent2 4 2 13" xfId="7853"/>
    <cellStyle name="20% - Accent2 4 2 14" xfId="7854"/>
    <cellStyle name="20% - Accent2 4 2 15" xfId="7855"/>
    <cellStyle name="20% - Accent2 4 2 16" xfId="7856"/>
    <cellStyle name="20% - Accent2 4 2 2" xfId="4279"/>
    <cellStyle name="20% - Accent2 4 2 2 2" xfId="7858"/>
    <cellStyle name="20% - Accent2 4 2 2 3" xfId="7859"/>
    <cellStyle name="20% - Accent2 4 2 2 4" xfId="7857"/>
    <cellStyle name="20% - Accent2 4 2 3" xfId="7860"/>
    <cellStyle name="20% - Accent2 4 2 3 2" xfId="7861"/>
    <cellStyle name="20% - Accent2 4 2 3 3" xfId="7862"/>
    <cellStyle name="20% - Accent2 4 2 4" xfId="7863"/>
    <cellStyle name="20% - Accent2 4 2 4 2" xfId="7864"/>
    <cellStyle name="20% - Accent2 4 2 4 3" xfId="7865"/>
    <cellStyle name="20% - Accent2 4 2 5" xfId="7866"/>
    <cellStyle name="20% - Accent2 4 2 5 2" xfId="7867"/>
    <cellStyle name="20% - Accent2 4 2 5 3" xfId="7868"/>
    <cellStyle name="20% - Accent2 4 2 6" xfId="7869"/>
    <cellStyle name="20% - Accent2 4 2 6 2" xfId="7870"/>
    <cellStyle name="20% - Accent2 4 2 6 3" xfId="7871"/>
    <cellStyle name="20% - Accent2 4 2 7" xfId="7872"/>
    <cellStyle name="20% - Accent2 4 2 7 2" xfId="7873"/>
    <cellStyle name="20% - Accent2 4 2 7 3" xfId="7874"/>
    <cellStyle name="20% - Accent2 4 2 8" xfId="7875"/>
    <cellStyle name="20% - Accent2 4 2 8 2" xfId="7876"/>
    <cellStyle name="20% - Accent2 4 2 8 3" xfId="7877"/>
    <cellStyle name="20% - Accent2 4 2 9" xfId="7878"/>
    <cellStyle name="20% - Accent2 4 2 9 2" xfId="7879"/>
    <cellStyle name="20% - Accent2 4 2 9 3" xfId="7880"/>
    <cellStyle name="20% - Accent2 4 20" xfId="7814"/>
    <cellStyle name="20% - Accent2 4 20 2" xfId="25324"/>
    <cellStyle name="20% - Accent2 4 21" xfId="28258"/>
    <cellStyle name="20% - Accent2 4 3" xfId="1619"/>
    <cellStyle name="20% - Accent2 4 3 2" xfId="4280"/>
    <cellStyle name="20% - Accent2 4 3 2 2" xfId="7881"/>
    <cellStyle name="20% - Accent2 4 3 3" xfId="7882"/>
    <cellStyle name="20% - Accent2 4 3 4" xfId="7883"/>
    <cellStyle name="20% - Accent2 4 3 5" xfId="7884"/>
    <cellStyle name="20% - Accent2 4 4" xfId="1803"/>
    <cellStyle name="20% - Accent2 4 4 2" xfId="7885"/>
    <cellStyle name="20% - Accent2 4 4 3" xfId="7886"/>
    <cellStyle name="20% - Accent2 4 4 4" xfId="7887"/>
    <cellStyle name="20% - Accent2 4 5" xfId="2139"/>
    <cellStyle name="20% - Accent2 4 5 2" xfId="7888"/>
    <cellStyle name="20% - Accent2 4 5 3" xfId="7889"/>
    <cellStyle name="20% - Accent2 4 5 4" xfId="7890"/>
    <cellStyle name="20% - Accent2 4 6" xfId="2513"/>
    <cellStyle name="20% - Accent2 4 6 2" xfId="7891"/>
    <cellStyle name="20% - Accent2 4 6 3" xfId="7892"/>
    <cellStyle name="20% - Accent2 4 6 4" xfId="7893"/>
    <cellStyle name="20% - Accent2 4 7" xfId="2885"/>
    <cellStyle name="20% - Accent2 4 7 2" xfId="7894"/>
    <cellStyle name="20% - Accent2 4 7 3" xfId="7895"/>
    <cellStyle name="20% - Accent2 4 7 4" xfId="7896"/>
    <cellStyle name="20% - Accent2 4 8" xfId="3256"/>
    <cellStyle name="20% - Accent2 4 8 2" xfId="7897"/>
    <cellStyle name="20% - Accent2 4 8 3" xfId="7898"/>
    <cellStyle name="20% - Accent2 4 8 4" xfId="7899"/>
    <cellStyle name="20% - Accent2 4 9" xfId="3583"/>
    <cellStyle name="20% - Accent2 4 9 2" xfId="4281"/>
    <cellStyle name="20% - Accent2 4 9 2 2" xfId="7900"/>
    <cellStyle name="20% - Accent2 4 9 3" xfId="7901"/>
    <cellStyle name="20% - Accent2 4 9 4" xfId="7902"/>
    <cellStyle name="20% - Accent2 4 9 5" xfId="7903"/>
    <cellStyle name="20% - Accent2 5" xfId="363"/>
    <cellStyle name="20% - Accent2 5 10" xfId="7904"/>
    <cellStyle name="20% - Accent2 5 10 2" xfId="7905"/>
    <cellStyle name="20% - Accent2 5 10 3" xfId="7906"/>
    <cellStyle name="20% - Accent2 5 11" xfId="7907"/>
    <cellStyle name="20% - Accent2 5 11 2" xfId="7908"/>
    <cellStyle name="20% - Accent2 5 11 3" xfId="7909"/>
    <cellStyle name="20% - Accent2 5 12" xfId="7910"/>
    <cellStyle name="20% - Accent2 5 12 2" xfId="7911"/>
    <cellStyle name="20% - Accent2 5 12 3" xfId="7912"/>
    <cellStyle name="20% - Accent2 5 13" xfId="7913"/>
    <cellStyle name="20% - Accent2 5 13 2" xfId="7914"/>
    <cellStyle name="20% - Accent2 5 13 3" xfId="7915"/>
    <cellStyle name="20% - Accent2 5 14" xfId="7916"/>
    <cellStyle name="20% - Accent2 5 15" xfId="7917"/>
    <cellStyle name="20% - Accent2 5 16" xfId="7918"/>
    <cellStyle name="20% - Accent2 5 17" xfId="7919"/>
    <cellStyle name="20% - Accent2 5 2" xfId="1880"/>
    <cellStyle name="20% - Accent2 5 2 10" xfId="7920"/>
    <cellStyle name="20% - Accent2 5 2 10 2" xfId="7921"/>
    <cellStyle name="20% - Accent2 5 2 10 3" xfId="7922"/>
    <cellStyle name="20% - Accent2 5 2 11" xfId="7923"/>
    <cellStyle name="20% - Accent2 5 2 11 2" xfId="7924"/>
    <cellStyle name="20% - Accent2 5 2 11 3" xfId="7925"/>
    <cellStyle name="20% - Accent2 5 2 12" xfId="7926"/>
    <cellStyle name="20% - Accent2 5 2 12 2" xfId="7927"/>
    <cellStyle name="20% - Accent2 5 2 12 3" xfId="7928"/>
    <cellStyle name="20% - Accent2 5 2 13" xfId="7929"/>
    <cellStyle name="20% - Accent2 5 2 14" xfId="7930"/>
    <cellStyle name="20% - Accent2 5 2 15" xfId="7931"/>
    <cellStyle name="20% - Accent2 5 2 2" xfId="7932"/>
    <cellStyle name="20% - Accent2 5 2 2 2" xfId="7933"/>
    <cellStyle name="20% - Accent2 5 2 2 3" xfId="7934"/>
    <cellStyle name="20% - Accent2 5 2 3" xfId="7935"/>
    <cellStyle name="20% - Accent2 5 2 3 2" xfId="7936"/>
    <cellStyle name="20% - Accent2 5 2 3 3" xfId="7937"/>
    <cellStyle name="20% - Accent2 5 2 4" xfId="7938"/>
    <cellStyle name="20% - Accent2 5 2 4 2" xfId="7939"/>
    <cellStyle name="20% - Accent2 5 2 4 3" xfId="7940"/>
    <cellStyle name="20% - Accent2 5 2 5" xfId="7941"/>
    <cellStyle name="20% - Accent2 5 2 5 2" xfId="7942"/>
    <cellStyle name="20% - Accent2 5 2 5 3" xfId="7943"/>
    <cellStyle name="20% - Accent2 5 2 6" xfId="7944"/>
    <cellStyle name="20% - Accent2 5 2 6 2" xfId="7945"/>
    <cellStyle name="20% - Accent2 5 2 6 3" xfId="7946"/>
    <cellStyle name="20% - Accent2 5 2 7" xfId="7947"/>
    <cellStyle name="20% - Accent2 5 2 7 2" xfId="7948"/>
    <cellStyle name="20% - Accent2 5 2 7 3" xfId="7949"/>
    <cellStyle name="20% - Accent2 5 2 8" xfId="7950"/>
    <cellStyle name="20% - Accent2 5 2 8 2" xfId="7951"/>
    <cellStyle name="20% - Accent2 5 2 8 3" xfId="7952"/>
    <cellStyle name="20% - Accent2 5 2 9" xfId="7953"/>
    <cellStyle name="20% - Accent2 5 2 9 2" xfId="7954"/>
    <cellStyle name="20% - Accent2 5 2 9 3" xfId="7955"/>
    <cellStyle name="20% - Accent2 5 3" xfId="2255"/>
    <cellStyle name="20% - Accent2 5 3 2" xfId="7956"/>
    <cellStyle name="20% - Accent2 5 3 3" xfId="7957"/>
    <cellStyle name="20% - Accent2 5 3 4" xfId="7958"/>
    <cellStyle name="20% - Accent2 5 4" xfId="2628"/>
    <cellStyle name="20% - Accent2 5 4 2" xfId="7959"/>
    <cellStyle name="20% - Accent2 5 4 3" xfId="7960"/>
    <cellStyle name="20% - Accent2 5 4 4" xfId="7961"/>
    <cellStyle name="20% - Accent2 5 5" xfId="3001"/>
    <cellStyle name="20% - Accent2 5 5 2" xfId="7962"/>
    <cellStyle name="20% - Accent2 5 5 3" xfId="7963"/>
    <cellStyle name="20% - Accent2 5 5 4" xfId="7964"/>
    <cellStyle name="20% - Accent2 5 6" xfId="3372"/>
    <cellStyle name="20% - Accent2 5 6 2" xfId="7965"/>
    <cellStyle name="20% - Accent2 5 6 3" xfId="7966"/>
    <cellStyle name="20% - Accent2 5 6 4" xfId="7967"/>
    <cellStyle name="20% - Accent2 5 7" xfId="4282"/>
    <cellStyle name="20% - Accent2 5 7 2" xfId="7969"/>
    <cellStyle name="20% - Accent2 5 7 3" xfId="7970"/>
    <cellStyle name="20% - Accent2 5 7 4" xfId="7968"/>
    <cellStyle name="20% - Accent2 5 8" xfId="7971"/>
    <cellStyle name="20% - Accent2 5 8 2" xfId="7972"/>
    <cellStyle name="20% - Accent2 5 8 3" xfId="7973"/>
    <cellStyle name="20% - Accent2 5 9" xfId="7974"/>
    <cellStyle name="20% - Accent2 5 9 2" xfId="7975"/>
    <cellStyle name="20% - Accent2 5 9 3" xfId="7976"/>
    <cellStyle name="20% - Accent2 6" xfId="364"/>
    <cellStyle name="20% - Accent2 6 10" xfId="5320"/>
    <cellStyle name="20% - Accent2 6 10 2" xfId="5989"/>
    <cellStyle name="20% - Accent2 6 10 2 2" xfId="7979"/>
    <cellStyle name="20% - Accent2 6 10 2 3" xfId="25327"/>
    <cellStyle name="20% - Accent2 6 10 3" xfId="7980"/>
    <cellStyle name="20% - Accent2 6 10 4" xfId="7978"/>
    <cellStyle name="20% - Accent2 6 10 5" xfId="25326"/>
    <cellStyle name="20% - Accent2 6 11" xfId="5630"/>
    <cellStyle name="20% - Accent2 6 11 2" xfId="5990"/>
    <cellStyle name="20% - Accent2 6 11 2 2" xfId="7982"/>
    <cellStyle name="20% - Accent2 6 11 2 3" xfId="25329"/>
    <cellStyle name="20% - Accent2 6 11 3" xfId="7983"/>
    <cellStyle name="20% - Accent2 6 11 4" xfId="7981"/>
    <cellStyle name="20% - Accent2 6 11 5" xfId="25328"/>
    <cellStyle name="20% - Accent2 6 12" xfId="4283"/>
    <cellStyle name="20% - Accent2 6 12 2" xfId="5991"/>
    <cellStyle name="20% - Accent2 6 12 2 2" xfId="7985"/>
    <cellStyle name="20% - Accent2 6 12 2 3" xfId="25331"/>
    <cellStyle name="20% - Accent2 6 12 3" xfId="7986"/>
    <cellStyle name="20% - Accent2 6 12 4" xfId="7984"/>
    <cellStyle name="20% - Accent2 6 12 5" xfId="25330"/>
    <cellStyle name="20% - Accent2 6 13" xfId="5988"/>
    <cellStyle name="20% - Accent2 6 13 2" xfId="7987"/>
    <cellStyle name="20% - Accent2 6 13 3" xfId="25332"/>
    <cellStyle name="20% - Accent2 6 14" xfId="7988"/>
    <cellStyle name="20% - Accent2 6 15" xfId="7989"/>
    <cellStyle name="20% - Accent2 6 16" xfId="7990"/>
    <cellStyle name="20% - Accent2 6 16 2" xfId="7991"/>
    <cellStyle name="20% - Accent2 6 16 2 2" xfId="25334"/>
    <cellStyle name="20% - Accent2 6 16 2 3" xfId="28274"/>
    <cellStyle name="20% - Accent2 6 16 3" xfId="7992"/>
    <cellStyle name="20% - Accent2 6 16 3 2" xfId="25335"/>
    <cellStyle name="20% - Accent2 6 16 3 3" xfId="28275"/>
    <cellStyle name="20% - Accent2 6 16 4" xfId="25333"/>
    <cellStyle name="20% - Accent2 6 16 5" xfId="28273"/>
    <cellStyle name="20% - Accent2 6 17" xfId="7993"/>
    <cellStyle name="20% - Accent2 6 17 2" xfId="25336"/>
    <cellStyle name="20% - Accent2 6 17 3" xfId="28276"/>
    <cellStyle name="20% - Accent2 6 18" xfId="7994"/>
    <cellStyle name="20% - Accent2 6 18 2" xfId="25337"/>
    <cellStyle name="20% - Accent2 6 18 3" xfId="28277"/>
    <cellStyle name="20% - Accent2 6 19" xfId="7977"/>
    <cellStyle name="20% - Accent2 6 19 2" xfId="25338"/>
    <cellStyle name="20% - Accent2 6 2" xfId="1970"/>
    <cellStyle name="20% - Accent2 6 2 2" xfId="4284"/>
    <cellStyle name="20% - Accent2 6 2 2 2" xfId="7995"/>
    <cellStyle name="20% - Accent2 6 2 3" xfId="7996"/>
    <cellStyle name="20% - Accent2 6 2 4" xfId="7997"/>
    <cellStyle name="20% - Accent2 6 2 5" xfId="7998"/>
    <cellStyle name="20% - Accent2 6 20" xfId="24832"/>
    <cellStyle name="20% - Accent2 6 21" xfId="25325"/>
    <cellStyle name="20% - Accent2 6 22" xfId="28272"/>
    <cellStyle name="20% - Accent2 6 3" xfId="2345"/>
    <cellStyle name="20% - Accent2 6 3 2" xfId="4285"/>
    <cellStyle name="20% - Accent2 6 3 2 2" xfId="7999"/>
    <cellStyle name="20% - Accent2 6 3 3" xfId="8000"/>
    <cellStyle name="20% - Accent2 6 3 4" xfId="8001"/>
    <cellStyle name="20% - Accent2 6 3 5" xfId="8002"/>
    <cellStyle name="20% - Accent2 6 4" xfId="2718"/>
    <cellStyle name="20% - Accent2 6 4 2" xfId="4286"/>
    <cellStyle name="20% - Accent2 6 4 2 2" xfId="8003"/>
    <cellStyle name="20% - Accent2 6 4 3" xfId="8004"/>
    <cellStyle name="20% - Accent2 6 4 4" xfId="8005"/>
    <cellStyle name="20% - Accent2 6 4 5" xfId="8006"/>
    <cellStyle name="20% - Accent2 6 5" xfId="3091"/>
    <cellStyle name="20% - Accent2 6 5 2" xfId="4287"/>
    <cellStyle name="20% - Accent2 6 5 2 2" xfId="8007"/>
    <cellStyle name="20% - Accent2 6 5 3" xfId="8008"/>
    <cellStyle name="20% - Accent2 6 5 4" xfId="8009"/>
    <cellStyle name="20% - Accent2 6 5 5" xfId="8010"/>
    <cellStyle name="20% - Accent2 6 6" xfId="3462"/>
    <cellStyle name="20% - Accent2 6 6 2" xfId="4288"/>
    <cellStyle name="20% - Accent2 6 6 2 2" xfId="8011"/>
    <cellStyle name="20% - Accent2 6 6 3" xfId="8012"/>
    <cellStyle name="20% - Accent2 6 6 4" xfId="8013"/>
    <cellStyle name="20% - Accent2 6 6 5" xfId="8014"/>
    <cellStyle name="20% - Accent2 6 7" xfId="3768"/>
    <cellStyle name="20% - Accent2 6 7 2" xfId="4289"/>
    <cellStyle name="20% - Accent2 6 7 2 2" xfId="8015"/>
    <cellStyle name="20% - Accent2 6 7 3" xfId="8016"/>
    <cellStyle name="20% - Accent2 6 7 4" xfId="8017"/>
    <cellStyle name="20% - Accent2 6 7 5" xfId="8018"/>
    <cellStyle name="20% - Accent2 6 8" xfId="1358"/>
    <cellStyle name="20% - Accent2 6 8 10" xfId="25339"/>
    <cellStyle name="20% - Accent2 6 8 11" xfId="28278"/>
    <cellStyle name="20% - Accent2 6 8 2" xfId="4158"/>
    <cellStyle name="20% - Accent2 6 8 2 2" xfId="5322"/>
    <cellStyle name="20% - Accent2 6 8 2 2 2" xfId="5994"/>
    <cellStyle name="20% - Accent2 6 8 2 2 2 2" xfId="25342"/>
    <cellStyle name="20% - Accent2 6 8 2 2 3" xfId="8021"/>
    <cellStyle name="20% - Accent2 6 8 2 2 4" xfId="25341"/>
    <cellStyle name="20% - Accent2 6 8 2 3" xfId="5632"/>
    <cellStyle name="20% - Accent2 6 8 2 3 2" xfId="5995"/>
    <cellStyle name="20% - Accent2 6 8 2 3 2 2" xfId="25344"/>
    <cellStyle name="20% - Accent2 6 8 2 3 3" xfId="25343"/>
    <cellStyle name="20% - Accent2 6 8 2 4" xfId="4291"/>
    <cellStyle name="20% - Accent2 6 8 2 4 2" xfId="5996"/>
    <cellStyle name="20% - Accent2 6 8 2 4 2 2" xfId="25346"/>
    <cellStyle name="20% - Accent2 6 8 2 4 3" xfId="25345"/>
    <cellStyle name="20% - Accent2 6 8 2 5" xfId="5993"/>
    <cellStyle name="20% - Accent2 6 8 2 5 2" xfId="25347"/>
    <cellStyle name="20% - Accent2 6 8 2 6" xfId="8020"/>
    <cellStyle name="20% - Accent2 6 8 2 6 2" xfId="25348"/>
    <cellStyle name="20% - Accent2 6 8 2 7" xfId="25010"/>
    <cellStyle name="20% - Accent2 6 8 2 8" xfId="25340"/>
    <cellStyle name="20% - Accent2 6 8 2 9" xfId="28279"/>
    <cellStyle name="20% - Accent2 6 8 3" xfId="5321"/>
    <cellStyle name="20% - Accent2 6 8 3 2" xfId="5997"/>
    <cellStyle name="20% - Accent2 6 8 3 2 2" xfId="25350"/>
    <cellStyle name="20% - Accent2 6 8 3 3" xfId="8022"/>
    <cellStyle name="20% - Accent2 6 8 3 4" xfId="25349"/>
    <cellStyle name="20% - Accent2 6 8 4" xfId="5631"/>
    <cellStyle name="20% - Accent2 6 8 4 2" xfId="5998"/>
    <cellStyle name="20% - Accent2 6 8 4 2 2" xfId="25352"/>
    <cellStyle name="20% - Accent2 6 8 4 3" xfId="8023"/>
    <cellStyle name="20% - Accent2 6 8 4 4" xfId="25351"/>
    <cellStyle name="20% - Accent2 6 8 5" xfId="4290"/>
    <cellStyle name="20% - Accent2 6 8 5 2" xfId="5999"/>
    <cellStyle name="20% - Accent2 6 8 5 2 2" xfId="8025"/>
    <cellStyle name="20% - Accent2 6 8 5 2 2 2" xfId="25355"/>
    <cellStyle name="20% - Accent2 6 8 5 2 3" xfId="25354"/>
    <cellStyle name="20% - Accent2 6 8 5 2 4" xfId="28281"/>
    <cellStyle name="20% - Accent2 6 8 5 3" xfId="8026"/>
    <cellStyle name="20% - Accent2 6 8 5 3 2" xfId="25356"/>
    <cellStyle name="20% - Accent2 6 8 5 3 3" xfId="28282"/>
    <cellStyle name="20% - Accent2 6 8 5 4" xfId="8024"/>
    <cellStyle name="20% - Accent2 6 8 5 4 2" xfId="25357"/>
    <cellStyle name="20% - Accent2 6 8 5 5" xfId="25353"/>
    <cellStyle name="20% - Accent2 6 8 5 6" xfId="28280"/>
    <cellStyle name="20% - Accent2 6 8 6" xfId="5992"/>
    <cellStyle name="20% - Accent2 6 8 6 2" xfId="8027"/>
    <cellStyle name="20% - Accent2 6 8 6 2 2" xfId="25359"/>
    <cellStyle name="20% - Accent2 6 8 6 3" xfId="25358"/>
    <cellStyle name="20% - Accent2 6 8 6 4" xfId="28283"/>
    <cellStyle name="20% - Accent2 6 8 7" xfId="8028"/>
    <cellStyle name="20% - Accent2 6 8 7 2" xfId="25360"/>
    <cellStyle name="20% - Accent2 6 8 7 3" xfId="28284"/>
    <cellStyle name="20% - Accent2 6 8 8" xfId="8019"/>
    <cellStyle name="20% - Accent2 6 8 8 2" xfId="25361"/>
    <cellStyle name="20% - Accent2 6 8 9" xfId="24890"/>
    <cellStyle name="20% - Accent2 6 9" xfId="3818"/>
    <cellStyle name="20% - Accent2 6 9 2" xfId="5323"/>
    <cellStyle name="20% - Accent2 6 9 2 2" xfId="6001"/>
    <cellStyle name="20% - Accent2 6 9 2 2 2" xfId="25364"/>
    <cellStyle name="20% - Accent2 6 9 2 3" xfId="8030"/>
    <cellStyle name="20% - Accent2 6 9 2 4" xfId="25363"/>
    <cellStyle name="20% - Accent2 6 9 3" xfId="5633"/>
    <cellStyle name="20% - Accent2 6 9 3 2" xfId="6002"/>
    <cellStyle name="20% - Accent2 6 9 3 2 2" xfId="25366"/>
    <cellStyle name="20% - Accent2 6 9 3 3" xfId="8031"/>
    <cellStyle name="20% - Accent2 6 9 3 4" xfId="25365"/>
    <cellStyle name="20% - Accent2 6 9 4" xfId="4292"/>
    <cellStyle name="20% - Accent2 6 9 4 2" xfId="6003"/>
    <cellStyle name="20% - Accent2 6 9 4 2 2" xfId="25368"/>
    <cellStyle name="20% - Accent2 6 9 4 3" xfId="8032"/>
    <cellStyle name="20% - Accent2 6 9 4 4" xfId="25367"/>
    <cellStyle name="20% - Accent2 6 9 5" xfId="6000"/>
    <cellStyle name="20% - Accent2 6 9 5 2" xfId="25369"/>
    <cellStyle name="20% - Accent2 6 9 6" xfId="8029"/>
    <cellStyle name="20% - Accent2 6 9 6 2" xfId="25370"/>
    <cellStyle name="20% - Accent2 6 9 7" xfId="24954"/>
    <cellStyle name="20% - Accent2 6 9 8" xfId="25362"/>
    <cellStyle name="20% - Accent2 6 9 9" xfId="28285"/>
    <cellStyle name="20% - Accent2 7" xfId="365"/>
    <cellStyle name="20% - Accent2 7 10" xfId="8033"/>
    <cellStyle name="20% - Accent2 7 10 2" xfId="8034"/>
    <cellStyle name="20% - Accent2 7 10 3" xfId="8035"/>
    <cellStyle name="20% - Accent2 7 11" xfId="8036"/>
    <cellStyle name="20% - Accent2 7 11 2" xfId="8037"/>
    <cellStyle name="20% - Accent2 7 11 3" xfId="8038"/>
    <cellStyle name="20% - Accent2 7 12" xfId="8039"/>
    <cellStyle name="20% - Accent2 7 12 2" xfId="8040"/>
    <cellStyle name="20% - Accent2 7 12 3" xfId="8041"/>
    <cellStyle name="20% - Accent2 7 13" xfId="8042"/>
    <cellStyle name="20% - Accent2 7 14" xfId="8043"/>
    <cellStyle name="20% - Accent2 7 15" xfId="8044"/>
    <cellStyle name="20% - Accent2 7 16" xfId="8045"/>
    <cellStyle name="20% - Accent2 7 2" xfId="4293"/>
    <cellStyle name="20% - Accent2 7 2 2" xfId="8047"/>
    <cellStyle name="20% - Accent2 7 2 3" xfId="8048"/>
    <cellStyle name="20% - Accent2 7 2 4" xfId="8046"/>
    <cellStyle name="20% - Accent2 7 3" xfId="8049"/>
    <cellStyle name="20% - Accent2 7 3 2" xfId="8050"/>
    <cellStyle name="20% - Accent2 7 3 3" xfId="8051"/>
    <cellStyle name="20% - Accent2 7 4" xfId="8052"/>
    <cellStyle name="20% - Accent2 7 4 2" xfId="8053"/>
    <cellStyle name="20% - Accent2 7 4 3" xfId="8054"/>
    <cellStyle name="20% - Accent2 7 5" xfId="8055"/>
    <cellStyle name="20% - Accent2 7 5 2" xfId="8056"/>
    <cellStyle name="20% - Accent2 7 5 3" xfId="8057"/>
    <cellStyle name="20% - Accent2 7 6" xfId="8058"/>
    <cellStyle name="20% - Accent2 7 6 2" xfId="8059"/>
    <cellStyle name="20% - Accent2 7 6 3" xfId="8060"/>
    <cellStyle name="20% - Accent2 7 7" xfId="8061"/>
    <cellStyle name="20% - Accent2 7 7 2" xfId="8062"/>
    <cellStyle name="20% - Accent2 7 7 3" xfId="8063"/>
    <cellStyle name="20% - Accent2 7 8" xfId="8064"/>
    <cellStyle name="20% - Accent2 7 8 2" xfId="8065"/>
    <cellStyle name="20% - Accent2 7 8 3" xfId="8066"/>
    <cellStyle name="20% - Accent2 7 9" xfId="8067"/>
    <cellStyle name="20% - Accent2 7 9 2" xfId="8068"/>
    <cellStyle name="20% - Accent2 7 9 3" xfId="8069"/>
    <cellStyle name="20% - Accent2 8" xfId="523"/>
    <cellStyle name="20% - Accent2 8 10" xfId="24846"/>
    <cellStyle name="20% - Accent2 8 11" xfId="25371"/>
    <cellStyle name="20% - Accent2 8 12" xfId="28286"/>
    <cellStyle name="20% - Accent2 8 2" xfId="1374"/>
    <cellStyle name="20% - Accent2 8 2 10" xfId="25372"/>
    <cellStyle name="20% - Accent2 8 2 11" xfId="28287"/>
    <cellStyle name="20% - Accent2 8 2 2" xfId="4174"/>
    <cellStyle name="20% - Accent2 8 2 2 2" xfId="5326"/>
    <cellStyle name="20% - Accent2 8 2 2 2 2" xfId="6007"/>
    <cellStyle name="20% - Accent2 8 2 2 2 2 2" xfId="25375"/>
    <cellStyle name="20% - Accent2 8 2 2 2 3" xfId="8073"/>
    <cellStyle name="20% - Accent2 8 2 2 2 4" xfId="25374"/>
    <cellStyle name="20% - Accent2 8 2 2 3" xfId="5636"/>
    <cellStyle name="20% - Accent2 8 2 2 3 2" xfId="6008"/>
    <cellStyle name="20% - Accent2 8 2 2 3 2 2" xfId="25377"/>
    <cellStyle name="20% - Accent2 8 2 2 3 3" xfId="25376"/>
    <cellStyle name="20% - Accent2 8 2 2 4" xfId="4296"/>
    <cellStyle name="20% - Accent2 8 2 2 4 2" xfId="6009"/>
    <cellStyle name="20% - Accent2 8 2 2 4 2 2" xfId="25379"/>
    <cellStyle name="20% - Accent2 8 2 2 4 3" xfId="25378"/>
    <cellStyle name="20% - Accent2 8 2 2 5" xfId="6006"/>
    <cellStyle name="20% - Accent2 8 2 2 5 2" xfId="25380"/>
    <cellStyle name="20% - Accent2 8 2 2 6" xfId="8072"/>
    <cellStyle name="20% - Accent2 8 2 2 6 2" xfId="25381"/>
    <cellStyle name="20% - Accent2 8 2 2 7" xfId="25026"/>
    <cellStyle name="20% - Accent2 8 2 2 8" xfId="25373"/>
    <cellStyle name="20% - Accent2 8 2 2 9" xfId="28288"/>
    <cellStyle name="20% - Accent2 8 2 3" xfId="5325"/>
    <cellStyle name="20% - Accent2 8 2 3 2" xfId="6010"/>
    <cellStyle name="20% - Accent2 8 2 3 2 2" xfId="25383"/>
    <cellStyle name="20% - Accent2 8 2 3 3" xfId="8074"/>
    <cellStyle name="20% - Accent2 8 2 3 4" xfId="25382"/>
    <cellStyle name="20% - Accent2 8 2 4" xfId="5635"/>
    <cellStyle name="20% - Accent2 8 2 4 2" xfId="6011"/>
    <cellStyle name="20% - Accent2 8 2 4 2 2" xfId="25385"/>
    <cellStyle name="20% - Accent2 8 2 4 3" xfId="8075"/>
    <cellStyle name="20% - Accent2 8 2 4 4" xfId="25384"/>
    <cellStyle name="20% - Accent2 8 2 5" xfId="4295"/>
    <cellStyle name="20% - Accent2 8 2 5 2" xfId="6012"/>
    <cellStyle name="20% - Accent2 8 2 5 2 2" xfId="8077"/>
    <cellStyle name="20% - Accent2 8 2 5 2 2 2" xfId="25388"/>
    <cellStyle name="20% - Accent2 8 2 5 2 3" xfId="25387"/>
    <cellStyle name="20% - Accent2 8 2 5 2 4" xfId="28290"/>
    <cellStyle name="20% - Accent2 8 2 5 3" xfId="8078"/>
    <cellStyle name="20% - Accent2 8 2 5 3 2" xfId="25389"/>
    <cellStyle name="20% - Accent2 8 2 5 3 3" xfId="28291"/>
    <cellStyle name="20% - Accent2 8 2 5 4" xfId="8076"/>
    <cellStyle name="20% - Accent2 8 2 5 4 2" xfId="25390"/>
    <cellStyle name="20% - Accent2 8 2 5 5" xfId="25386"/>
    <cellStyle name="20% - Accent2 8 2 5 6" xfId="28289"/>
    <cellStyle name="20% - Accent2 8 2 6" xfId="6005"/>
    <cellStyle name="20% - Accent2 8 2 6 2" xfId="8079"/>
    <cellStyle name="20% - Accent2 8 2 6 2 2" xfId="25392"/>
    <cellStyle name="20% - Accent2 8 2 6 3" xfId="25391"/>
    <cellStyle name="20% - Accent2 8 2 6 4" xfId="28292"/>
    <cellStyle name="20% - Accent2 8 2 7" xfId="8080"/>
    <cellStyle name="20% - Accent2 8 2 7 2" xfId="25393"/>
    <cellStyle name="20% - Accent2 8 2 7 3" xfId="28293"/>
    <cellStyle name="20% - Accent2 8 2 8" xfId="8071"/>
    <cellStyle name="20% - Accent2 8 2 8 2" xfId="25394"/>
    <cellStyle name="20% - Accent2 8 2 9" xfId="24906"/>
    <cellStyle name="20% - Accent2 8 3" xfId="3832"/>
    <cellStyle name="20% - Accent2 8 3 2" xfId="5327"/>
    <cellStyle name="20% - Accent2 8 3 2 2" xfId="6014"/>
    <cellStyle name="20% - Accent2 8 3 2 2 2" xfId="25397"/>
    <cellStyle name="20% - Accent2 8 3 2 3" xfId="8082"/>
    <cellStyle name="20% - Accent2 8 3 2 4" xfId="25396"/>
    <cellStyle name="20% - Accent2 8 3 3" xfId="5637"/>
    <cellStyle name="20% - Accent2 8 3 3 2" xfId="6015"/>
    <cellStyle name="20% - Accent2 8 3 3 2 2" xfId="25399"/>
    <cellStyle name="20% - Accent2 8 3 3 3" xfId="25398"/>
    <cellStyle name="20% - Accent2 8 3 4" xfId="4297"/>
    <cellStyle name="20% - Accent2 8 3 4 2" xfId="6016"/>
    <cellStyle name="20% - Accent2 8 3 4 2 2" xfId="25401"/>
    <cellStyle name="20% - Accent2 8 3 4 3" xfId="25400"/>
    <cellStyle name="20% - Accent2 8 3 5" xfId="6013"/>
    <cellStyle name="20% - Accent2 8 3 5 2" xfId="25402"/>
    <cellStyle name="20% - Accent2 8 3 6" xfId="8081"/>
    <cellStyle name="20% - Accent2 8 3 6 2" xfId="25403"/>
    <cellStyle name="20% - Accent2 8 3 7" xfId="24968"/>
    <cellStyle name="20% - Accent2 8 3 8" xfId="25395"/>
    <cellStyle name="20% - Accent2 8 3 9" xfId="28294"/>
    <cellStyle name="20% - Accent2 8 4" xfId="5324"/>
    <cellStyle name="20% - Accent2 8 4 2" xfId="6017"/>
    <cellStyle name="20% - Accent2 8 4 2 2" xfId="25405"/>
    <cellStyle name="20% - Accent2 8 4 3" xfId="8083"/>
    <cellStyle name="20% - Accent2 8 4 4" xfId="25404"/>
    <cellStyle name="20% - Accent2 8 5" xfId="5634"/>
    <cellStyle name="20% - Accent2 8 5 2" xfId="6018"/>
    <cellStyle name="20% - Accent2 8 5 2 2" xfId="25407"/>
    <cellStyle name="20% - Accent2 8 5 3" xfId="8084"/>
    <cellStyle name="20% - Accent2 8 5 4" xfId="25406"/>
    <cellStyle name="20% - Accent2 8 6" xfId="4294"/>
    <cellStyle name="20% - Accent2 8 6 2" xfId="6019"/>
    <cellStyle name="20% - Accent2 8 6 2 2" xfId="8086"/>
    <cellStyle name="20% - Accent2 8 6 2 2 2" xfId="25410"/>
    <cellStyle name="20% - Accent2 8 6 2 3" xfId="25409"/>
    <cellStyle name="20% - Accent2 8 6 2 4" xfId="28296"/>
    <cellStyle name="20% - Accent2 8 6 3" xfId="8087"/>
    <cellStyle name="20% - Accent2 8 6 3 2" xfId="25411"/>
    <cellStyle name="20% - Accent2 8 6 3 3" xfId="28297"/>
    <cellStyle name="20% - Accent2 8 6 4" xfId="8085"/>
    <cellStyle name="20% - Accent2 8 6 4 2" xfId="25412"/>
    <cellStyle name="20% - Accent2 8 6 5" xfId="25408"/>
    <cellStyle name="20% - Accent2 8 6 6" xfId="28295"/>
    <cellStyle name="20% - Accent2 8 7" xfId="6004"/>
    <cellStyle name="20% - Accent2 8 7 2" xfId="8088"/>
    <cellStyle name="20% - Accent2 8 7 2 2" xfId="25414"/>
    <cellStyle name="20% - Accent2 8 7 3" xfId="25413"/>
    <cellStyle name="20% - Accent2 8 7 4" xfId="28298"/>
    <cellStyle name="20% - Accent2 8 8" xfId="8089"/>
    <cellStyle name="20% - Accent2 8 8 2" xfId="25415"/>
    <cellStyle name="20% - Accent2 8 8 3" xfId="28299"/>
    <cellStyle name="20% - Accent2 8 9" xfId="8070"/>
    <cellStyle name="20% - Accent2 8 9 2" xfId="25416"/>
    <cellStyle name="20% - Accent2 9" xfId="524"/>
    <cellStyle name="20% - Accent2 9 2" xfId="4298"/>
    <cellStyle name="20% - Accent2 9 2 2" xfId="8091"/>
    <cellStyle name="20% - Accent2 9 2 3" xfId="8092"/>
    <cellStyle name="20% - Accent2 9 2 4" xfId="8090"/>
    <cellStyle name="20% - Accent2 9 3" xfId="8093"/>
    <cellStyle name="20% - Accent2 9 4" xfId="8094"/>
    <cellStyle name="20% - Accent2 9 5" xfId="8095"/>
    <cellStyle name="20% - Accent2 9 6" xfId="8096"/>
    <cellStyle name="20% - Accent3" xfId="7109" builtinId="38" customBuiltin="1"/>
    <cellStyle name="20% - Accent3 10" xfId="648"/>
    <cellStyle name="20% - Accent3 10 2" xfId="4299"/>
    <cellStyle name="20% - Accent3 10 2 2" xfId="8097"/>
    <cellStyle name="20% - Accent3 10 3" xfId="8098"/>
    <cellStyle name="20% - Accent3 10 4" xfId="8099"/>
    <cellStyle name="20% - Accent3 10 5" xfId="8100"/>
    <cellStyle name="20% - Accent3 11" xfId="649"/>
    <cellStyle name="20% - Accent3 11 2" xfId="4300"/>
    <cellStyle name="20% - Accent3 11 2 2" xfId="8101"/>
    <cellStyle name="20% - Accent3 11 3" xfId="8102"/>
    <cellStyle name="20% - Accent3 11 4" xfId="8103"/>
    <cellStyle name="20% - Accent3 11 5" xfId="8104"/>
    <cellStyle name="20% - Accent3 12" xfId="804"/>
    <cellStyle name="20% - Accent3 12 2" xfId="8106"/>
    <cellStyle name="20% - Accent3 12 3" xfId="8107"/>
    <cellStyle name="20% - Accent3 12 4" xfId="8105"/>
    <cellStyle name="20% - Accent3 13" xfId="805"/>
    <cellStyle name="20% - Accent3 13 2" xfId="3847"/>
    <cellStyle name="20% - Accent3 13 2 2" xfId="6021"/>
    <cellStyle name="20% - Accent3 13 2 2 2" xfId="25419"/>
    <cellStyle name="20% - Accent3 13 2 3" xfId="8109"/>
    <cellStyle name="20% - Accent3 13 2 4" xfId="24983"/>
    <cellStyle name="20% - Accent3 13 2 5" xfId="25418"/>
    <cellStyle name="20% - Accent3 13 3" xfId="6020"/>
    <cellStyle name="20% - Accent3 13 3 2" xfId="8110"/>
    <cellStyle name="20% - Accent3 13 3 3" xfId="25420"/>
    <cellStyle name="20% - Accent3 13 4" xfId="8108"/>
    <cellStyle name="20% - Accent3 13 5" xfId="24862"/>
    <cellStyle name="20% - Accent3 13 6" xfId="25417"/>
    <cellStyle name="20% - Accent3 14" xfId="925"/>
    <cellStyle name="20% - Accent3 14 2" xfId="8112"/>
    <cellStyle name="20% - Accent3 14 3" xfId="8113"/>
    <cellStyle name="20% - Accent3 14 4" xfId="8111"/>
    <cellStyle name="20% - Accent3 15" xfId="8114"/>
    <cellStyle name="20% - Accent3 15 2" xfId="8115"/>
    <cellStyle name="20% - Accent3 15 3" xfId="8116"/>
    <cellStyle name="20% - Accent3 16" xfId="8117"/>
    <cellStyle name="20% - Accent3 16 2" xfId="8118"/>
    <cellStyle name="20% - Accent3 16 3" xfId="8119"/>
    <cellStyle name="20% - Accent3 17" xfId="8120"/>
    <cellStyle name="20% - Accent3 17 2" xfId="8121"/>
    <cellStyle name="20% - Accent3 17 3" xfId="8122"/>
    <cellStyle name="20% - Accent3 18" xfId="8123"/>
    <cellStyle name="20% - Accent3 18 2" xfId="8124"/>
    <cellStyle name="20% - Accent3 18 3" xfId="8125"/>
    <cellStyle name="20% - Accent3 19" xfId="8126"/>
    <cellStyle name="20% - Accent3 19 2" xfId="8127"/>
    <cellStyle name="20% - Accent3 2" xfId="70"/>
    <cellStyle name="20% - Accent3 2 10" xfId="1669"/>
    <cellStyle name="20% - Accent3 2 10 2" xfId="4301"/>
    <cellStyle name="20% - Accent3 2 10 2 2" xfId="8128"/>
    <cellStyle name="20% - Accent3 2 10 3" xfId="8129"/>
    <cellStyle name="20% - Accent3 2 10 4" xfId="8130"/>
    <cellStyle name="20% - Accent3 2 10 5" xfId="8131"/>
    <cellStyle name="20% - Accent3 2 11" xfId="1664"/>
    <cellStyle name="20% - Accent3 2 11 2" xfId="4302"/>
    <cellStyle name="20% - Accent3 2 11 2 2" xfId="8132"/>
    <cellStyle name="20% - Accent3 2 11 3" xfId="8133"/>
    <cellStyle name="20% - Accent3 2 11 4" xfId="8134"/>
    <cellStyle name="20% - Accent3 2 11 5" xfId="8135"/>
    <cellStyle name="20% - Accent3 2 12" xfId="1706"/>
    <cellStyle name="20% - Accent3 2 12 2" xfId="4303"/>
    <cellStyle name="20% - Accent3 2 12 2 2" xfId="8136"/>
    <cellStyle name="20% - Accent3 2 12 3" xfId="8137"/>
    <cellStyle name="20% - Accent3 2 12 4" xfId="8138"/>
    <cellStyle name="20% - Accent3 2 12 5" xfId="8139"/>
    <cellStyle name="20% - Accent3 2 13" xfId="2041"/>
    <cellStyle name="20% - Accent3 2 13 2" xfId="4304"/>
    <cellStyle name="20% - Accent3 2 13 2 2" xfId="8140"/>
    <cellStyle name="20% - Accent3 2 13 3" xfId="8141"/>
    <cellStyle name="20% - Accent3 2 13 4" xfId="8142"/>
    <cellStyle name="20% - Accent3 2 13 5" xfId="8143"/>
    <cellStyle name="20% - Accent3 2 14" xfId="2416"/>
    <cellStyle name="20% - Accent3 2 14 2" xfId="4305"/>
    <cellStyle name="20% - Accent3 2 14 2 2" xfId="8144"/>
    <cellStyle name="20% - Accent3 2 14 3" xfId="8145"/>
    <cellStyle name="20% - Accent3 2 14 4" xfId="8146"/>
    <cellStyle name="20% - Accent3 2 14 5" xfId="8147"/>
    <cellStyle name="20% - Accent3 2 15" xfId="2788"/>
    <cellStyle name="20% - Accent3 2 15 2" xfId="4306"/>
    <cellStyle name="20% - Accent3 2 15 2 2" xfId="8148"/>
    <cellStyle name="20% - Accent3 2 15 3" xfId="8149"/>
    <cellStyle name="20% - Accent3 2 16" xfId="3634"/>
    <cellStyle name="20% - Accent3 2 16 2" xfId="4307"/>
    <cellStyle name="20% - Accent3 2 16 2 2" xfId="8150"/>
    <cellStyle name="20% - Accent3 2 16 3" xfId="8151"/>
    <cellStyle name="20% - Accent3 2 17" xfId="24469"/>
    <cellStyle name="20% - Accent3 2 2" xfId="114"/>
    <cellStyle name="20% - Accent3 2 2 10" xfId="8152"/>
    <cellStyle name="20% - Accent3 2 2 10 2" xfId="8153"/>
    <cellStyle name="20% - Accent3 2 2 10 3" xfId="8154"/>
    <cellStyle name="20% - Accent3 2 2 11" xfId="8155"/>
    <cellStyle name="20% - Accent3 2 2 11 2" xfId="8156"/>
    <cellStyle name="20% - Accent3 2 2 11 3" xfId="8157"/>
    <cellStyle name="20% - Accent3 2 2 12" xfId="8158"/>
    <cellStyle name="20% - Accent3 2 2 12 2" xfId="8159"/>
    <cellStyle name="20% - Accent3 2 2 12 3" xfId="8160"/>
    <cellStyle name="20% - Accent3 2 2 13" xfId="8161"/>
    <cellStyle name="20% - Accent3 2 2 14" xfId="8162"/>
    <cellStyle name="20% - Accent3 2 2 15" xfId="8163"/>
    <cellStyle name="20% - Accent3 2 2 2" xfId="179"/>
    <cellStyle name="20% - Accent3 2 2 2 2" xfId="8164"/>
    <cellStyle name="20% - Accent3 2 2 2 3" xfId="8165"/>
    <cellStyle name="20% - Accent3 2 2 3" xfId="343"/>
    <cellStyle name="20% - Accent3 2 2 3 2" xfId="8166"/>
    <cellStyle name="20% - Accent3 2 2 3 3" xfId="8167"/>
    <cellStyle name="20% - Accent3 2 2 4" xfId="2165"/>
    <cellStyle name="20% - Accent3 2 2 4 2" xfId="8168"/>
    <cellStyle name="20% - Accent3 2 2 4 3" xfId="8169"/>
    <cellStyle name="20% - Accent3 2 2 5" xfId="2539"/>
    <cellStyle name="20% - Accent3 2 2 5 2" xfId="8170"/>
    <cellStyle name="20% - Accent3 2 2 5 3" xfId="8171"/>
    <cellStyle name="20% - Accent3 2 2 6" xfId="2911"/>
    <cellStyle name="20% - Accent3 2 2 6 2" xfId="8172"/>
    <cellStyle name="20% - Accent3 2 2 6 3" xfId="8173"/>
    <cellStyle name="20% - Accent3 2 2 7" xfId="3283"/>
    <cellStyle name="20% - Accent3 2 2 7 2" xfId="8174"/>
    <cellStyle name="20% - Accent3 2 2 7 3" xfId="8175"/>
    <cellStyle name="20% - Accent3 2 2 8" xfId="4308"/>
    <cellStyle name="20% - Accent3 2 2 8 2" xfId="8177"/>
    <cellStyle name="20% - Accent3 2 2 8 3" xfId="8178"/>
    <cellStyle name="20% - Accent3 2 2 8 4" xfId="8176"/>
    <cellStyle name="20% - Accent3 2 2 9" xfId="8179"/>
    <cellStyle name="20% - Accent3 2 2 9 2" xfId="8180"/>
    <cellStyle name="20% - Accent3 2 2 9 3" xfId="8181"/>
    <cellStyle name="20% - Accent3 2 3" xfId="279"/>
    <cellStyle name="20% - Accent3 2 3 2" xfId="1341"/>
    <cellStyle name="20% - Accent3 2 3 2 2" xfId="8182"/>
    <cellStyle name="20% - Accent3 2 3 2 3" xfId="8183"/>
    <cellStyle name="20% - Accent3 2 3 3" xfId="8184"/>
    <cellStyle name="20% - Accent3 2 3 4" xfId="8185"/>
    <cellStyle name="20% - Accent3 2 4" xfId="366"/>
    <cellStyle name="20% - Accent3 2 4 2" xfId="8186"/>
    <cellStyle name="20% - Accent3 2 4 2 2" xfId="8187"/>
    <cellStyle name="20% - Accent3 2 4 2 3" xfId="8188"/>
    <cellStyle name="20% - Accent3 2 4 3" xfId="8189"/>
    <cellStyle name="20% - Accent3 2 4 4" xfId="8190"/>
    <cellStyle name="20% - Accent3 2 5" xfId="525"/>
    <cellStyle name="20% - Accent3 2 5 2" xfId="8191"/>
    <cellStyle name="20% - Accent3 2 5 3" xfId="8192"/>
    <cellStyle name="20% - Accent3 2 6" xfId="650"/>
    <cellStyle name="20% - Accent3 2 6 2" xfId="8193"/>
    <cellStyle name="20% - Accent3 2 6 3" xfId="8194"/>
    <cellStyle name="20% - Accent3 2 7" xfId="651"/>
    <cellStyle name="20% - Accent3 2 7 2" xfId="8195"/>
    <cellStyle name="20% - Accent3 2 7 3" xfId="8196"/>
    <cellStyle name="20% - Accent3 2 8" xfId="806"/>
    <cellStyle name="20% - Accent3 2 8 2" xfId="1398"/>
    <cellStyle name="20% - Accent3 2 8 2 2" xfId="8197"/>
    <cellStyle name="20% - Accent3 2 8 3" xfId="8198"/>
    <cellStyle name="20% - Accent3 2 8 4" xfId="8199"/>
    <cellStyle name="20% - Accent3 2 8 5" xfId="8200"/>
    <cellStyle name="20% - Accent3 2 9" xfId="926"/>
    <cellStyle name="20% - Accent3 2 9 2" xfId="1491"/>
    <cellStyle name="20% - Accent3 2 9 2 2" xfId="8201"/>
    <cellStyle name="20% - Accent3 2 9 3" xfId="8202"/>
    <cellStyle name="20% - Accent3 2 9 4" xfId="8203"/>
    <cellStyle name="20% - Accent3 2 9 5" xfId="8204"/>
    <cellStyle name="20% - Accent3 20" xfId="8205"/>
    <cellStyle name="20% - Accent3 21" xfId="8206"/>
    <cellStyle name="20% - Accent3 21 2" xfId="8207"/>
    <cellStyle name="20% - Accent3 21 2 2" xfId="8208"/>
    <cellStyle name="20% - Accent3 21 2 2 2" xfId="25423"/>
    <cellStyle name="20% - Accent3 21 2 2 3" xfId="28302"/>
    <cellStyle name="20% - Accent3 21 2 3" xfId="8209"/>
    <cellStyle name="20% - Accent3 21 2 3 2" xfId="25424"/>
    <cellStyle name="20% - Accent3 21 2 3 3" xfId="28303"/>
    <cellStyle name="20% - Accent3 21 2 4" xfId="25422"/>
    <cellStyle name="20% - Accent3 21 2 5" xfId="28301"/>
    <cellStyle name="20% - Accent3 21 3" xfId="8210"/>
    <cellStyle name="20% - Accent3 21 3 2" xfId="25425"/>
    <cellStyle name="20% - Accent3 21 3 3" xfId="28304"/>
    <cellStyle name="20% - Accent3 21 4" xfId="8211"/>
    <cellStyle name="20% - Accent3 21 4 2" xfId="25426"/>
    <cellStyle name="20% - Accent3 21 4 3" xfId="28305"/>
    <cellStyle name="20% - Accent3 21 5" xfId="25421"/>
    <cellStyle name="20% - Accent3 21 6" xfId="28300"/>
    <cellStyle name="20% - Accent3 22" xfId="8212"/>
    <cellStyle name="20% - Accent3 22 2" xfId="8213"/>
    <cellStyle name="20% - Accent3 22 2 2" xfId="8214"/>
    <cellStyle name="20% - Accent3 22 2 2 2" xfId="25429"/>
    <cellStyle name="20% - Accent3 22 2 2 3" xfId="28308"/>
    <cellStyle name="20% - Accent3 22 2 3" xfId="8215"/>
    <cellStyle name="20% - Accent3 22 2 3 2" xfId="25430"/>
    <cellStyle name="20% - Accent3 22 2 3 3" xfId="28309"/>
    <cellStyle name="20% - Accent3 22 2 4" xfId="25428"/>
    <cellStyle name="20% - Accent3 22 2 5" xfId="28307"/>
    <cellStyle name="20% - Accent3 22 3" xfId="8216"/>
    <cellStyle name="20% - Accent3 22 3 2" xfId="25431"/>
    <cellStyle name="20% - Accent3 22 3 3" xfId="28310"/>
    <cellStyle name="20% - Accent3 22 4" xfId="8217"/>
    <cellStyle name="20% - Accent3 22 4 2" xfId="25432"/>
    <cellStyle name="20% - Accent3 22 4 3" xfId="28311"/>
    <cellStyle name="20% - Accent3 22 5" xfId="25427"/>
    <cellStyle name="20% - Accent3 22 6" xfId="28306"/>
    <cellStyle name="20% - Accent3 23" xfId="8218"/>
    <cellStyle name="20% - Accent3 24" xfId="8219"/>
    <cellStyle name="20% - Accent3 24 2" xfId="8220"/>
    <cellStyle name="20% - Accent3 24 2 2" xfId="8221"/>
    <cellStyle name="20% - Accent3 24 2 2 2" xfId="25435"/>
    <cellStyle name="20% - Accent3 24 2 2 3" xfId="28314"/>
    <cellStyle name="20% - Accent3 24 2 3" xfId="8222"/>
    <cellStyle name="20% - Accent3 24 2 3 2" xfId="25436"/>
    <cellStyle name="20% - Accent3 24 2 3 3" xfId="28315"/>
    <cellStyle name="20% - Accent3 24 2 4" xfId="25434"/>
    <cellStyle name="20% - Accent3 24 2 5" xfId="28313"/>
    <cellStyle name="20% - Accent3 24 3" xfId="8223"/>
    <cellStyle name="20% - Accent3 24 3 2" xfId="25437"/>
    <cellStyle name="20% - Accent3 24 3 3" xfId="28316"/>
    <cellStyle name="20% - Accent3 24 4" xfId="8224"/>
    <cellStyle name="20% - Accent3 24 4 2" xfId="25438"/>
    <cellStyle name="20% - Accent3 24 4 3" xfId="28317"/>
    <cellStyle name="20% - Accent3 24 5" xfId="25433"/>
    <cellStyle name="20% - Accent3 24 6" xfId="28312"/>
    <cellStyle name="20% - Accent3 25" xfId="8225"/>
    <cellStyle name="20% - Accent3 25 2" xfId="8226"/>
    <cellStyle name="20% - Accent3 25 2 2" xfId="8227"/>
    <cellStyle name="20% - Accent3 25 2 2 2" xfId="25441"/>
    <cellStyle name="20% - Accent3 25 2 2 3" xfId="28320"/>
    <cellStyle name="20% - Accent3 25 2 3" xfId="8228"/>
    <cellStyle name="20% - Accent3 25 2 3 2" xfId="25442"/>
    <cellStyle name="20% - Accent3 25 2 3 3" xfId="28321"/>
    <cellStyle name="20% - Accent3 25 2 4" xfId="25440"/>
    <cellStyle name="20% - Accent3 25 2 5" xfId="28319"/>
    <cellStyle name="20% - Accent3 25 3" xfId="8229"/>
    <cellStyle name="20% - Accent3 25 3 2" xfId="25443"/>
    <cellStyle name="20% - Accent3 25 3 3" xfId="28322"/>
    <cellStyle name="20% - Accent3 25 4" xfId="8230"/>
    <cellStyle name="20% - Accent3 25 4 2" xfId="25444"/>
    <cellStyle name="20% - Accent3 25 4 3" xfId="28323"/>
    <cellStyle name="20% - Accent3 25 5" xfId="25439"/>
    <cellStyle name="20% - Accent3 25 6" xfId="28318"/>
    <cellStyle name="20% - Accent3 26" xfId="8231"/>
    <cellStyle name="20% - Accent3 27" xfId="8232"/>
    <cellStyle name="20% - Accent3 27 2" xfId="8233"/>
    <cellStyle name="20% - Accent3 27 2 2" xfId="8234"/>
    <cellStyle name="20% - Accent3 27 2 2 2" xfId="25447"/>
    <cellStyle name="20% - Accent3 27 2 2 3" xfId="28326"/>
    <cellStyle name="20% - Accent3 27 2 3" xfId="8235"/>
    <cellStyle name="20% - Accent3 27 2 3 2" xfId="25448"/>
    <cellStyle name="20% - Accent3 27 2 3 3" xfId="28327"/>
    <cellStyle name="20% - Accent3 27 2 4" xfId="25446"/>
    <cellStyle name="20% - Accent3 27 2 5" xfId="28325"/>
    <cellStyle name="20% - Accent3 27 3" xfId="8236"/>
    <cellStyle name="20% - Accent3 27 3 2" xfId="25449"/>
    <cellStyle name="20% - Accent3 27 3 3" xfId="28328"/>
    <cellStyle name="20% - Accent3 27 4" xfId="8237"/>
    <cellStyle name="20% - Accent3 27 4 2" xfId="25450"/>
    <cellStyle name="20% - Accent3 27 4 3" xfId="28329"/>
    <cellStyle name="20% - Accent3 27 5" xfId="25445"/>
    <cellStyle name="20% - Accent3 27 6" xfId="28324"/>
    <cellStyle name="20% - Accent3 28" xfId="8238"/>
    <cellStyle name="20% - Accent3 28 2" xfId="8239"/>
    <cellStyle name="20% - Accent3 28 2 2" xfId="25452"/>
    <cellStyle name="20% - Accent3 28 2 3" xfId="28331"/>
    <cellStyle name="20% - Accent3 28 3" xfId="8240"/>
    <cellStyle name="20% - Accent3 28 3 2" xfId="25453"/>
    <cellStyle name="20% - Accent3 28 3 3" xfId="28332"/>
    <cellStyle name="20% - Accent3 28 4" xfId="25451"/>
    <cellStyle name="20% - Accent3 28 5" xfId="28330"/>
    <cellStyle name="20% - Accent3 29" xfId="8241"/>
    <cellStyle name="20% - Accent3 29 2" xfId="25454"/>
    <cellStyle name="20% - Accent3 29 3" xfId="28333"/>
    <cellStyle name="20% - Accent3 3" xfId="220"/>
    <cellStyle name="20% - Accent3 3 10" xfId="3677"/>
    <cellStyle name="20% - Accent3 3 10 2" xfId="4309"/>
    <cellStyle name="20% - Accent3 3 10 2 2" xfId="8242"/>
    <cellStyle name="20% - Accent3 3 10 3" xfId="8243"/>
    <cellStyle name="20% - Accent3 3 10 4" xfId="8244"/>
    <cellStyle name="20% - Accent3 3 10 5" xfId="8245"/>
    <cellStyle name="20% - Accent3 3 11" xfId="8246"/>
    <cellStyle name="20% - Accent3 3 11 2" xfId="8247"/>
    <cellStyle name="20% - Accent3 3 11 3" xfId="8248"/>
    <cellStyle name="20% - Accent3 3 12" xfId="8249"/>
    <cellStyle name="20% - Accent3 3 12 2" xfId="8250"/>
    <cellStyle name="20% - Accent3 3 12 3" xfId="8251"/>
    <cellStyle name="20% - Accent3 3 13" xfId="8252"/>
    <cellStyle name="20% - Accent3 3 13 2" xfId="8253"/>
    <cellStyle name="20% - Accent3 3 13 3" xfId="8254"/>
    <cellStyle name="20% - Accent3 3 14" xfId="8255"/>
    <cellStyle name="20% - Accent3 3 15" xfId="8256"/>
    <cellStyle name="20% - Accent3 3 2" xfId="1450"/>
    <cellStyle name="20% - Accent3 3 2 10" xfId="8257"/>
    <cellStyle name="20% - Accent3 3 2 10 2" xfId="8258"/>
    <cellStyle name="20% - Accent3 3 2 10 3" xfId="8259"/>
    <cellStyle name="20% - Accent3 3 2 11" xfId="8260"/>
    <cellStyle name="20% - Accent3 3 2 11 2" xfId="8261"/>
    <cellStyle name="20% - Accent3 3 2 11 3" xfId="8262"/>
    <cellStyle name="20% - Accent3 3 2 12" xfId="8263"/>
    <cellStyle name="20% - Accent3 3 2 12 2" xfId="8264"/>
    <cellStyle name="20% - Accent3 3 2 12 3" xfId="8265"/>
    <cellStyle name="20% - Accent3 3 2 13" xfId="8266"/>
    <cellStyle name="20% - Accent3 3 2 14" xfId="8267"/>
    <cellStyle name="20% - Accent3 3 2 15" xfId="8268"/>
    <cellStyle name="20% - Accent3 3 2 2" xfId="1831"/>
    <cellStyle name="20% - Accent3 3 2 2 2" xfId="8269"/>
    <cellStyle name="20% - Accent3 3 2 2 3" xfId="8270"/>
    <cellStyle name="20% - Accent3 3 2 3" xfId="2206"/>
    <cellStyle name="20% - Accent3 3 2 3 2" xfId="8271"/>
    <cellStyle name="20% - Accent3 3 2 3 3" xfId="8272"/>
    <cellStyle name="20% - Accent3 3 2 4" xfId="2580"/>
    <cellStyle name="20% - Accent3 3 2 4 2" xfId="8273"/>
    <cellStyle name="20% - Accent3 3 2 4 3" xfId="8274"/>
    <cellStyle name="20% - Accent3 3 2 5" xfId="2952"/>
    <cellStyle name="20% - Accent3 3 2 5 2" xfId="8275"/>
    <cellStyle name="20% - Accent3 3 2 5 3" xfId="8276"/>
    <cellStyle name="20% - Accent3 3 2 6" xfId="3324"/>
    <cellStyle name="20% - Accent3 3 2 6 2" xfId="8277"/>
    <cellStyle name="20% - Accent3 3 2 6 3" xfId="8278"/>
    <cellStyle name="20% - Accent3 3 2 7" xfId="4310"/>
    <cellStyle name="20% - Accent3 3 2 7 2" xfId="8280"/>
    <cellStyle name="20% - Accent3 3 2 7 3" xfId="8281"/>
    <cellStyle name="20% - Accent3 3 2 7 4" xfId="8279"/>
    <cellStyle name="20% - Accent3 3 2 8" xfId="8282"/>
    <cellStyle name="20% - Accent3 3 2 8 2" xfId="8283"/>
    <cellStyle name="20% - Accent3 3 2 8 3" xfId="8284"/>
    <cellStyle name="20% - Accent3 3 2 9" xfId="8285"/>
    <cellStyle name="20% - Accent3 3 2 9 2" xfId="8286"/>
    <cellStyle name="20% - Accent3 3 2 9 3" xfId="8287"/>
    <cellStyle name="20% - Accent3 3 3" xfId="1577"/>
    <cellStyle name="20% - Accent3 3 3 2" xfId="1908"/>
    <cellStyle name="20% - Accent3 3 3 3" xfId="2283"/>
    <cellStyle name="20% - Accent3 3 3 4" xfId="2656"/>
    <cellStyle name="20% - Accent3 3 3 5" xfId="3029"/>
    <cellStyle name="20% - Accent3 3 3 6" xfId="3400"/>
    <cellStyle name="20% - Accent3 3 3 7" xfId="4311"/>
    <cellStyle name="20% - Accent3 3 4" xfId="1714"/>
    <cellStyle name="20% - Accent3 3 4 2" xfId="1952"/>
    <cellStyle name="20% - Accent3 3 4 3" xfId="2327"/>
    <cellStyle name="20% - Accent3 3 4 4" xfId="2700"/>
    <cellStyle name="20% - Accent3 3 4 5" xfId="3073"/>
    <cellStyle name="20% - Accent3 3 4 6" xfId="3444"/>
    <cellStyle name="20% - Accent3 3 5" xfId="2049"/>
    <cellStyle name="20% - Accent3 3 5 2" xfId="8288"/>
    <cellStyle name="20% - Accent3 3 5 3" xfId="8289"/>
    <cellStyle name="20% - Accent3 3 5 4" xfId="8290"/>
    <cellStyle name="20% - Accent3 3 6" xfId="2423"/>
    <cellStyle name="20% - Accent3 3 6 2" xfId="8291"/>
    <cellStyle name="20% - Accent3 3 6 3" xfId="8292"/>
    <cellStyle name="20% - Accent3 3 6 4" xfId="8293"/>
    <cellStyle name="20% - Accent3 3 7" xfId="2795"/>
    <cellStyle name="20% - Accent3 3 7 2" xfId="8294"/>
    <cellStyle name="20% - Accent3 3 7 3" xfId="8295"/>
    <cellStyle name="20% - Accent3 3 7 4" xfId="8296"/>
    <cellStyle name="20% - Accent3 3 8" xfId="3166"/>
    <cellStyle name="20% - Accent3 3 8 2" xfId="8297"/>
    <cellStyle name="20% - Accent3 3 8 3" xfId="8298"/>
    <cellStyle name="20% - Accent3 3 8 4" xfId="8299"/>
    <cellStyle name="20% - Accent3 3 9" xfId="3541"/>
    <cellStyle name="20% - Accent3 3 9 2" xfId="4312"/>
    <cellStyle name="20% - Accent3 3 9 2 2" xfId="8300"/>
    <cellStyle name="20% - Accent3 3 9 3" xfId="8301"/>
    <cellStyle name="20% - Accent3 3 9 4" xfId="8302"/>
    <cellStyle name="20% - Accent3 3 9 5" xfId="8303"/>
    <cellStyle name="20% - Accent3 30" xfId="28144"/>
    <cellStyle name="20% - Accent3 4" xfId="237"/>
    <cellStyle name="20% - Accent3 4 10" xfId="3721"/>
    <cellStyle name="20% - Accent3 4 10 2" xfId="4314"/>
    <cellStyle name="20% - Accent3 4 10 2 2" xfId="8305"/>
    <cellStyle name="20% - Accent3 4 10 3" xfId="8306"/>
    <cellStyle name="20% - Accent3 4 10 4" xfId="8307"/>
    <cellStyle name="20% - Accent3 4 10 5" xfId="8308"/>
    <cellStyle name="20% - Accent3 4 11" xfId="1302"/>
    <cellStyle name="20% - Accent3 4 11 10" xfId="25455"/>
    <cellStyle name="20% - Accent3 4 11 11" xfId="28335"/>
    <cellStyle name="20% - Accent3 4 11 2" xfId="4148"/>
    <cellStyle name="20% - Accent3 4 11 2 2" xfId="5330"/>
    <cellStyle name="20% - Accent3 4 11 2 2 2" xfId="6024"/>
    <cellStyle name="20% - Accent3 4 11 2 2 2 2" xfId="25458"/>
    <cellStyle name="20% - Accent3 4 11 2 2 3" xfId="8311"/>
    <cellStyle name="20% - Accent3 4 11 2 2 4" xfId="25457"/>
    <cellStyle name="20% - Accent3 4 11 2 3" xfId="5640"/>
    <cellStyle name="20% - Accent3 4 11 2 3 2" xfId="6025"/>
    <cellStyle name="20% - Accent3 4 11 2 3 2 2" xfId="25460"/>
    <cellStyle name="20% - Accent3 4 11 2 3 3" xfId="25459"/>
    <cellStyle name="20% - Accent3 4 11 2 4" xfId="4316"/>
    <cellStyle name="20% - Accent3 4 11 2 4 2" xfId="6026"/>
    <cellStyle name="20% - Accent3 4 11 2 4 2 2" xfId="25462"/>
    <cellStyle name="20% - Accent3 4 11 2 4 3" xfId="25461"/>
    <cellStyle name="20% - Accent3 4 11 2 5" xfId="6023"/>
    <cellStyle name="20% - Accent3 4 11 2 5 2" xfId="25463"/>
    <cellStyle name="20% - Accent3 4 11 2 6" xfId="8310"/>
    <cellStyle name="20% - Accent3 4 11 2 6 2" xfId="25464"/>
    <cellStyle name="20% - Accent3 4 11 2 7" xfId="25000"/>
    <cellStyle name="20% - Accent3 4 11 2 8" xfId="25456"/>
    <cellStyle name="20% - Accent3 4 11 2 9" xfId="28336"/>
    <cellStyle name="20% - Accent3 4 11 3" xfId="5329"/>
    <cellStyle name="20% - Accent3 4 11 3 2" xfId="6027"/>
    <cellStyle name="20% - Accent3 4 11 3 2 2" xfId="25466"/>
    <cellStyle name="20% - Accent3 4 11 3 3" xfId="8312"/>
    <cellStyle name="20% - Accent3 4 11 3 4" xfId="25465"/>
    <cellStyle name="20% - Accent3 4 11 4" xfId="5639"/>
    <cellStyle name="20% - Accent3 4 11 4 2" xfId="6028"/>
    <cellStyle name="20% - Accent3 4 11 4 2 2" xfId="25468"/>
    <cellStyle name="20% - Accent3 4 11 4 3" xfId="8313"/>
    <cellStyle name="20% - Accent3 4 11 4 4" xfId="25467"/>
    <cellStyle name="20% - Accent3 4 11 5" xfId="4315"/>
    <cellStyle name="20% - Accent3 4 11 5 2" xfId="6029"/>
    <cellStyle name="20% - Accent3 4 11 5 2 2" xfId="8315"/>
    <cellStyle name="20% - Accent3 4 11 5 2 2 2" xfId="25471"/>
    <cellStyle name="20% - Accent3 4 11 5 2 3" xfId="25470"/>
    <cellStyle name="20% - Accent3 4 11 5 2 4" xfId="28338"/>
    <cellStyle name="20% - Accent3 4 11 5 3" xfId="8316"/>
    <cellStyle name="20% - Accent3 4 11 5 3 2" xfId="25472"/>
    <cellStyle name="20% - Accent3 4 11 5 3 3" xfId="28339"/>
    <cellStyle name="20% - Accent3 4 11 5 4" xfId="8314"/>
    <cellStyle name="20% - Accent3 4 11 5 4 2" xfId="25473"/>
    <cellStyle name="20% - Accent3 4 11 5 5" xfId="25469"/>
    <cellStyle name="20% - Accent3 4 11 5 6" xfId="28337"/>
    <cellStyle name="20% - Accent3 4 11 6" xfId="6022"/>
    <cellStyle name="20% - Accent3 4 11 6 2" xfId="8317"/>
    <cellStyle name="20% - Accent3 4 11 6 2 2" xfId="25475"/>
    <cellStyle name="20% - Accent3 4 11 6 3" xfId="25474"/>
    <cellStyle name="20% - Accent3 4 11 6 4" xfId="28340"/>
    <cellStyle name="20% - Accent3 4 11 7" xfId="8318"/>
    <cellStyle name="20% - Accent3 4 11 7 2" xfId="25476"/>
    <cellStyle name="20% - Accent3 4 11 7 3" xfId="28341"/>
    <cellStyle name="20% - Accent3 4 11 8" xfId="8309"/>
    <cellStyle name="20% - Accent3 4 11 8 2" xfId="25477"/>
    <cellStyle name="20% - Accent3 4 11 9" xfId="24880"/>
    <cellStyle name="20% - Accent3 4 12" xfId="4317"/>
    <cellStyle name="20% - Accent3 4 12 2" xfId="5331"/>
    <cellStyle name="20% - Accent3 4 12 2 2" xfId="6031"/>
    <cellStyle name="20% - Accent3 4 12 2 2 2" xfId="25480"/>
    <cellStyle name="20% - Accent3 4 12 2 3" xfId="8320"/>
    <cellStyle name="20% - Accent3 4 12 2 4" xfId="25479"/>
    <cellStyle name="20% - Accent3 4 12 3" xfId="5641"/>
    <cellStyle name="20% - Accent3 4 12 3 2" xfId="6032"/>
    <cellStyle name="20% - Accent3 4 12 3 2 2" xfId="25482"/>
    <cellStyle name="20% - Accent3 4 12 3 3" xfId="8321"/>
    <cellStyle name="20% - Accent3 4 12 3 4" xfId="25481"/>
    <cellStyle name="20% - Accent3 4 12 4" xfId="6030"/>
    <cellStyle name="20% - Accent3 4 12 4 2" xfId="8322"/>
    <cellStyle name="20% - Accent3 4 12 4 3" xfId="25483"/>
    <cellStyle name="20% - Accent3 4 12 5" xfId="8319"/>
    <cellStyle name="20% - Accent3 4 12 5 2" xfId="25484"/>
    <cellStyle name="20% - Accent3 4 12 6" xfId="25478"/>
    <cellStyle name="20% - Accent3 4 12 7" xfId="28342"/>
    <cellStyle name="20% - Accent3 4 13" xfId="5328"/>
    <cellStyle name="20% - Accent3 4 13 2" xfId="6033"/>
    <cellStyle name="20% - Accent3 4 13 2 2" xfId="8324"/>
    <cellStyle name="20% - Accent3 4 13 2 3" xfId="25486"/>
    <cellStyle name="20% - Accent3 4 13 3" xfId="8325"/>
    <cellStyle name="20% - Accent3 4 13 4" xfId="8323"/>
    <cellStyle name="20% - Accent3 4 13 5" xfId="25485"/>
    <cellStyle name="20% - Accent3 4 14" xfId="5638"/>
    <cellStyle name="20% - Accent3 4 14 2" xfId="6034"/>
    <cellStyle name="20% - Accent3 4 14 2 2" xfId="25488"/>
    <cellStyle name="20% - Accent3 4 14 3" xfId="8326"/>
    <cellStyle name="20% - Accent3 4 14 4" xfId="25487"/>
    <cellStyle name="20% - Accent3 4 15" xfId="4313"/>
    <cellStyle name="20% - Accent3 4 15 2" xfId="6035"/>
    <cellStyle name="20% - Accent3 4 15 2 2" xfId="25490"/>
    <cellStyle name="20% - Accent3 4 15 3" xfId="8327"/>
    <cellStyle name="20% - Accent3 4 15 4" xfId="25489"/>
    <cellStyle name="20% - Accent3 4 16" xfId="8328"/>
    <cellStyle name="20% - Accent3 4 17" xfId="8329"/>
    <cellStyle name="20% - Accent3 4 17 2" xfId="8330"/>
    <cellStyle name="20% - Accent3 4 17 2 2" xfId="25492"/>
    <cellStyle name="20% - Accent3 4 17 2 3" xfId="28344"/>
    <cellStyle name="20% - Accent3 4 17 3" xfId="8331"/>
    <cellStyle name="20% - Accent3 4 17 3 2" xfId="25493"/>
    <cellStyle name="20% - Accent3 4 17 3 3" xfId="28345"/>
    <cellStyle name="20% - Accent3 4 17 4" xfId="25491"/>
    <cellStyle name="20% - Accent3 4 17 5" xfId="28343"/>
    <cellStyle name="20% - Accent3 4 18" xfId="8332"/>
    <cellStyle name="20% - Accent3 4 18 2" xfId="25494"/>
    <cellStyle name="20% - Accent3 4 18 3" xfId="28346"/>
    <cellStyle name="20% - Accent3 4 19" xfId="8333"/>
    <cellStyle name="20% - Accent3 4 19 2" xfId="25495"/>
    <cellStyle name="20% - Accent3 4 19 3" xfId="28347"/>
    <cellStyle name="20% - Accent3 4 2" xfId="1495"/>
    <cellStyle name="20% - Accent3 4 2 10" xfId="8334"/>
    <cellStyle name="20% - Accent3 4 2 10 2" xfId="8335"/>
    <cellStyle name="20% - Accent3 4 2 10 3" xfId="8336"/>
    <cellStyle name="20% - Accent3 4 2 11" xfId="8337"/>
    <cellStyle name="20% - Accent3 4 2 11 2" xfId="8338"/>
    <cellStyle name="20% - Accent3 4 2 11 3" xfId="8339"/>
    <cellStyle name="20% - Accent3 4 2 12" xfId="8340"/>
    <cellStyle name="20% - Accent3 4 2 12 2" xfId="8341"/>
    <cellStyle name="20% - Accent3 4 2 12 3" xfId="8342"/>
    <cellStyle name="20% - Accent3 4 2 13" xfId="8343"/>
    <cellStyle name="20% - Accent3 4 2 14" xfId="8344"/>
    <cellStyle name="20% - Accent3 4 2 15" xfId="8345"/>
    <cellStyle name="20% - Accent3 4 2 16" xfId="8346"/>
    <cellStyle name="20% - Accent3 4 2 2" xfId="4318"/>
    <cellStyle name="20% - Accent3 4 2 2 2" xfId="8348"/>
    <cellStyle name="20% - Accent3 4 2 2 3" xfId="8349"/>
    <cellStyle name="20% - Accent3 4 2 2 4" xfId="8347"/>
    <cellStyle name="20% - Accent3 4 2 3" xfId="8350"/>
    <cellStyle name="20% - Accent3 4 2 3 2" xfId="8351"/>
    <cellStyle name="20% - Accent3 4 2 3 3" xfId="8352"/>
    <cellStyle name="20% - Accent3 4 2 4" xfId="8353"/>
    <cellStyle name="20% - Accent3 4 2 4 2" xfId="8354"/>
    <cellStyle name="20% - Accent3 4 2 4 3" xfId="8355"/>
    <cellStyle name="20% - Accent3 4 2 5" xfId="8356"/>
    <cellStyle name="20% - Accent3 4 2 5 2" xfId="8357"/>
    <cellStyle name="20% - Accent3 4 2 5 3" xfId="8358"/>
    <cellStyle name="20% - Accent3 4 2 6" xfId="8359"/>
    <cellStyle name="20% - Accent3 4 2 6 2" xfId="8360"/>
    <cellStyle name="20% - Accent3 4 2 6 3" xfId="8361"/>
    <cellStyle name="20% - Accent3 4 2 7" xfId="8362"/>
    <cellStyle name="20% - Accent3 4 2 7 2" xfId="8363"/>
    <cellStyle name="20% - Accent3 4 2 7 3" xfId="8364"/>
    <cellStyle name="20% - Accent3 4 2 8" xfId="8365"/>
    <cellStyle name="20% - Accent3 4 2 8 2" xfId="8366"/>
    <cellStyle name="20% - Accent3 4 2 8 3" xfId="8367"/>
    <cellStyle name="20% - Accent3 4 2 9" xfId="8368"/>
    <cellStyle name="20% - Accent3 4 2 9 2" xfId="8369"/>
    <cellStyle name="20% - Accent3 4 2 9 3" xfId="8370"/>
    <cellStyle name="20% - Accent3 4 20" xfId="8304"/>
    <cellStyle name="20% - Accent3 4 20 2" xfId="25496"/>
    <cellStyle name="20% - Accent3 4 21" xfId="28334"/>
    <cellStyle name="20% - Accent3 4 3" xfId="1620"/>
    <cellStyle name="20% - Accent3 4 3 2" xfId="4319"/>
    <cellStyle name="20% - Accent3 4 3 2 2" xfId="8371"/>
    <cellStyle name="20% - Accent3 4 3 3" xfId="8372"/>
    <cellStyle name="20% - Accent3 4 3 4" xfId="8373"/>
    <cellStyle name="20% - Accent3 4 3 5" xfId="8374"/>
    <cellStyle name="20% - Accent3 4 4" xfId="1802"/>
    <cellStyle name="20% - Accent3 4 4 2" xfId="8375"/>
    <cellStyle name="20% - Accent3 4 4 3" xfId="8376"/>
    <cellStyle name="20% - Accent3 4 4 4" xfId="8377"/>
    <cellStyle name="20% - Accent3 4 5" xfId="2138"/>
    <cellStyle name="20% - Accent3 4 5 2" xfId="8378"/>
    <cellStyle name="20% - Accent3 4 5 3" xfId="8379"/>
    <cellStyle name="20% - Accent3 4 5 4" xfId="8380"/>
    <cellStyle name="20% - Accent3 4 6" xfId="2512"/>
    <cellStyle name="20% - Accent3 4 6 2" xfId="8381"/>
    <cellStyle name="20% - Accent3 4 6 3" xfId="8382"/>
    <cellStyle name="20% - Accent3 4 6 4" xfId="8383"/>
    <cellStyle name="20% - Accent3 4 7" xfId="2884"/>
    <cellStyle name="20% - Accent3 4 7 2" xfId="8384"/>
    <cellStyle name="20% - Accent3 4 7 3" xfId="8385"/>
    <cellStyle name="20% - Accent3 4 7 4" xfId="8386"/>
    <cellStyle name="20% - Accent3 4 8" xfId="3255"/>
    <cellStyle name="20% - Accent3 4 8 2" xfId="8387"/>
    <cellStyle name="20% - Accent3 4 8 3" xfId="8388"/>
    <cellStyle name="20% - Accent3 4 8 4" xfId="8389"/>
    <cellStyle name="20% - Accent3 4 9" xfId="3584"/>
    <cellStyle name="20% - Accent3 4 9 2" xfId="4320"/>
    <cellStyle name="20% - Accent3 4 9 2 2" xfId="8390"/>
    <cellStyle name="20% - Accent3 4 9 3" xfId="8391"/>
    <cellStyle name="20% - Accent3 4 9 4" xfId="8392"/>
    <cellStyle name="20% - Accent3 4 9 5" xfId="8393"/>
    <cellStyle name="20% - Accent3 5" xfId="367"/>
    <cellStyle name="20% - Accent3 5 10" xfId="8394"/>
    <cellStyle name="20% - Accent3 5 10 2" xfId="8395"/>
    <cellStyle name="20% - Accent3 5 10 3" xfId="8396"/>
    <cellStyle name="20% - Accent3 5 11" xfId="8397"/>
    <cellStyle name="20% - Accent3 5 11 2" xfId="8398"/>
    <cellStyle name="20% - Accent3 5 11 3" xfId="8399"/>
    <cellStyle name="20% - Accent3 5 12" xfId="8400"/>
    <cellStyle name="20% - Accent3 5 12 2" xfId="8401"/>
    <cellStyle name="20% - Accent3 5 12 3" xfId="8402"/>
    <cellStyle name="20% - Accent3 5 13" xfId="8403"/>
    <cellStyle name="20% - Accent3 5 13 2" xfId="8404"/>
    <cellStyle name="20% - Accent3 5 13 3" xfId="8405"/>
    <cellStyle name="20% - Accent3 5 14" xfId="8406"/>
    <cellStyle name="20% - Accent3 5 15" xfId="8407"/>
    <cellStyle name="20% - Accent3 5 16" xfId="8408"/>
    <cellStyle name="20% - Accent3 5 17" xfId="8409"/>
    <cellStyle name="20% - Accent3 5 2" xfId="1866"/>
    <cellStyle name="20% - Accent3 5 2 10" xfId="8410"/>
    <cellStyle name="20% - Accent3 5 2 10 2" xfId="8411"/>
    <cellStyle name="20% - Accent3 5 2 10 3" xfId="8412"/>
    <cellStyle name="20% - Accent3 5 2 11" xfId="8413"/>
    <cellStyle name="20% - Accent3 5 2 11 2" xfId="8414"/>
    <cellStyle name="20% - Accent3 5 2 11 3" xfId="8415"/>
    <cellStyle name="20% - Accent3 5 2 12" xfId="8416"/>
    <cellStyle name="20% - Accent3 5 2 12 2" xfId="8417"/>
    <cellStyle name="20% - Accent3 5 2 12 3" xfId="8418"/>
    <cellStyle name="20% - Accent3 5 2 13" xfId="8419"/>
    <cellStyle name="20% - Accent3 5 2 14" xfId="8420"/>
    <cellStyle name="20% - Accent3 5 2 15" xfId="8421"/>
    <cellStyle name="20% - Accent3 5 2 2" xfId="8422"/>
    <cellStyle name="20% - Accent3 5 2 2 2" xfId="8423"/>
    <cellStyle name="20% - Accent3 5 2 2 3" xfId="8424"/>
    <cellStyle name="20% - Accent3 5 2 3" xfId="8425"/>
    <cellStyle name="20% - Accent3 5 2 3 2" xfId="8426"/>
    <cellStyle name="20% - Accent3 5 2 3 3" xfId="8427"/>
    <cellStyle name="20% - Accent3 5 2 4" xfId="8428"/>
    <cellStyle name="20% - Accent3 5 2 4 2" xfId="8429"/>
    <cellStyle name="20% - Accent3 5 2 4 3" xfId="8430"/>
    <cellStyle name="20% - Accent3 5 2 5" xfId="8431"/>
    <cellStyle name="20% - Accent3 5 2 5 2" xfId="8432"/>
    <cellStyle name="20% - Accent3 5 2 5 3" xfId="8433"/>
    <cellStyle name="20% - Accent3 5 2 6" xfId="8434"/>
    <cellStyle name="20% - Accent3 5 2 6 2" xfId="8435"/>
    <cellStyle name="20% - Accent3 5 2 6 3" xfId="8436"/>
    <cellStyle name="20% - Accent3 5 2 7" xfId="8437"/>
    <cellStyle name="20% - Accent3 5 2 7 2" xfId="8438"/>
    <cellStyle name="20% - Accent3 5 2 7 3" xfId="8439"/>
    <cellStyle name="20% - Accent3 5 2 8" xfId="8440"/>
    <cellStyle name="20% - Accent3 5 2 8 2" xfId="8441"/>
    <cellStyle name="20% - Accent3 5 2 8 3" xfId="8442"/>
    <cellStyle name="20% - Accent3 5 2 9" xfId="8443"/>
    <cellStyle name="20% - Accent3 5 2 9 2" xfId="8444"/>
    <cellStyle name="20% - Accent3 5 2 9 3" xfId="8445"/>
    <cellStyle name="20% - Accent3 5 3" xfId="2241"/>
    <cellStyle name="20% - Accent3 5 3 2" xfId="8446"/>
    <cellStyle name="20% - Accent3 5 3 3" xfId="8447"/>
    <cellStyle name="20% - Accent3 5 3 4" xfId="8448"/>
    <cellStyle name="20% - Accent3 5 4" xfId="2615"/>
    <cellStyle name="20% - Accent3 5 4 2" xfId="8449"/>
    <cellStyle name="20% - Accent3 5 4 3" xfId="8450"/>
    <cellStyle name="20% - Accent3 5 4 4" xfId="8451"/>
    <cellStyle name="20% - Accent3 5 5" xfId="2987"/>
    <cellStyle name="20% - Accent3 5 5 2" xfId="8452"/>
    <cellStyle name="20% - Accent3 5 5 3" xfId="8453"/>
    <cellStyle name="20% - Accent3 5 5 4" xfId="8454"/>
    <cellStyle name="20% - Accent3 5 6" xfId="3359"/>
    <cellStyle name="20% - Accent3 5 6 2" xfId="8455"/>
    <cellStyle name="20% - Accent3 5 6 3" xfId="8456"/>
    <cellStyle name="20% - Accent3 5 6 4" xfId="8457"/>
    <cellStyle name="20% - Accent3 5 7" xfId="4321"/>
    <cellStyle name="20% - Accent3 5 7 2" xfId="8459"/>
    <cellStyle name="20% - Accent3 5 7 3" xfId="8460"/>
    <cellStyle name="20% - Accent3 5 7 4" xfId="8458"/>
    <cellStyle name="20% - Accent3 5 8" xfId="8461"/>
    <cellStyle name="20% - Accent3 5 8 2" xfId="8462"/>
    <cellStyle name="20% - Accent3 5 8 3" xfId="8463"/>
    <cellStyle name="20% - Accent3 5 9" xfId="8464"/>
    <cellStyle name="20% - Accent3 5 9 2" xfId="8465"/>
    <cellStyle name="20% - Accent3 5 9 3" xfId="8466"/>
    <cellStyle name="20% - Accent3 6" xfId="368"/>
    <cellStyle name="20% - Accent3 6 10" xfId="5332"/>
    <cellStyle name="20% - Accent3 6 10 2" xfId="6037"/>
    <cellStyle name="20% - Accent3 6 10 2 2" xfId="8469"/>
    <cellStyle name="20% - Accent3 6 10 2 3" xfId="25499"/>
    <cellStyle name="20% - Accent3 6 10 3" xfId="8470"/>
    <cellStyle name="20% - Accent3 6 10 4" xfId="8468"/>
    <cellStyle name="20% - Accent3 6 10 5" xfId="25498"/>
    <cellStyle name="20% - Accent3 6 11" xfId="5642"/>
    <cellStyle name="20% - Accent3 6 11 2" xfId="6038"/>
    <cellStyle name="20% - Accent3 6 11 2 2" xfId="8472"/>
    <cellStyle name="20% - Accent3 6 11 2 3" xfId="25501"/>
    <cellStyle name="20% - Accent3 6 11 3" xfId="8473"/>
    <cellStyle name="20% - Accent3 6 11 4" xfId="8471"/>
    <cellStyle name="20% - Accent3 6 11 5" xfId="25500"/>
    <cellStyle name="20% - Accent3 6 12" xfId="4322"/>
    <cellStyle name="20% - Accent3 6 12 2" xfId="6039"/>
    <cellStyle name="20% - Accent3 6 12 2 2" xfId="8475"/>
    <cellStyle name="20% - Accent3 6 12 2 3" xfId="25503"/>
    <cellStyle name="20% - Accent3 6 12 3" xfId="8476"/>
    <cellStyle name="20% - Accent3 6 12 4" xfId="8474"/>
    <cellStyle name="20% - Accent3 6 12 5" xfId="25502"/>
    <cellStyle name="20% - Accent3 6 13" xfId="6036"/>
    <cellStyle name="20% - Accent3 6 13 2" xfId="8477"/>
    <cellStyle name="20% - Accent3 6 13 3" xfId="25504"/>
    <cellStyle name="20% - Accent3 6 14" xfId="8478"/>
    <cellStyle name="20% - Accent3 6 15" xfId="8479"/>
    <cellStyle name="20% - Accent3 6 16" xfId="8480"/>
    <cellStyle name="20% - Accent3 6 16 2" xfId="8481"/>
    <cellStyle name="20% - Accent3 6 16 2 2" xfId="25506"/>
    <cellStyle name="20% - Accent3 6 16 2 3" xfId="28350"/>
    <cellStyle name="20% - Accent3 6 16 3" xfId="8482"/>
    <cellStyle name="20% - Accent3 6 16 3 2" xfId="25507"/>
    <cellStyle name="20% - Accent3 6 16 3 3" xfId="28351"/>
    <cellStyle name="20% - Accent3 6 16 4" xfId="25505"/>
    <cellStyle name="20% - Accent3 6 16 5" xfId="28349"/>
    <cellStyle name="20% - Accent3 6 17" xfId="8483"/>
    <cellStyle name="20% - Accent3 6 17 2" xfId="25508"/>
    <cellStyle name="20% - Accent3 6 17 3" xfId="28352"/>
    <cellStyle name="20% - Accent3 6 18" xfId="8484"/>
    <cellStyle name="20% - Accent3 6 18 2" xfId="25509"/>
    <cellStyle name="20% - Accent3 6 18 3" xfId="28353"/>
    <cellStyle name="20% - Accent3 6 19" xfId="8467"/>
    <cellStyle name="20% - Accent3 6 19 2" xfId="25510"/>
    <cellStyle name="20% - Accent3 6 2" xfId="1971"/>
    <cellStyle name="20% - Accent3 6 2 2" xfId="4323"/>
    <cellStyle name="20% - Accent3 6 2 2 2" xfId="8485"/>
    <cellStyle name="20% - Accent3 6 2 3" xfId="8486"/>
    <cellStyle name="20% - Accent3 6 2 4" xfId="8487"/>
    <cellStyle name="20% - Accent3 6 2 5" xfId="8488"/>
    <cellStyle name="20% - Accent3 6 20" xfId="24833"/>
    <cellStyle name="20% - Accent3 6 21" xfId="25497"/>
    <cellStyle name="20% - Accent3 6 22" xfId="28348"/>
    <cellStyle name="20% - Accent3 6 3" xfId="2346"/>
    <cellStyle name="20% - Accent3 6 3 2" xfId="4324"/>
    <cellStyle name="20% - Accent3 6 3 2 2" xfId="8489"/>
    <cellStyle name="20% - Accent3 6 3 3" xfId="8490"/>
    <cellStyle name="20% - Accent3 6 3 4" xfId="8491"/>
    <cellStyle name="20% - Accent3 6 3 5" xfId="8492"/>
    <cellStyle name="20% - Accent3 6 4" xfId="2719"/>
    <cellStyle name="20% - Accent3 6 4 2" xfId="4325"/>
    <cellStyle name="20% - Accent3 6 4 2 2" xfId="8493"/>
    <cellStyle name="20% - Accent3 6 4 3" xfId="8494"/>
    <cellStyle name="20% - Accent3 6 4 4" xfId="8495"/>
    <cellStyle name="20% - Accent3 6 4 5" xfId="8496"/>
    <cellStyle name="20% - Accent3 6 5" xfId="3092"/>
    <cellStyle name="20% - Accent3 6 5 2" xfId="4326"/>
    <cellStyle name="20% - Accent3 6 5 2 2" xfId="8497"/>
    <cellStyle name="20% - Accent3 6 5 3" xfId="8498"/>
    <cellStyle name="20% - Accent3 6 5 4" xfId="8499"/>
    <cellStyle name="20% - Accent3 6 5 5" xfId="8500"/>
    <cellStyle name="20% - Accent3 6 6" xfId="3463"/>
    <cellStyle name="20% - Accent3 6 6 2" xfId="4327"/>
    <cellStyle name="20% - Accent3 6 6 2 2" xfId="8501"/>
    <cellStyle name="20% - Accent3 6 6 3" xfId="8502"/>
    <cellStyle name="20% - Accent3 6 6 4" xfId="8503"/>
    <cellStyle name="20% - Accent3 6 6 5" xfId="8504"/>
    <cellStyle name="20% - Accent3 6 7" xfId="3769"/>
    <cellStyle name="20% - Accent3 6 7 2" xfId="4328"/>
    <cellStyle name="20% - Accent3 6 7 2 2" xfId="8505"/>
    <cellStyle name="20% - Accent3 6 7 3" xfId="8506"/>
    <cellStyle name="20% - Accent3 6 7 4" xfId="8507"/>
    <cellStyle name="20% - Accent3 6 7 5" xfId="8508"/>
    <cellStyle name="20% - Accent3 6 8" xfId="1361"/>
    <cellStyle name="20% - Accent3 6 8 10" xfId="25511"/>
    <cellStyle name="20% - Accent3 6 8 11" xfId="28354"/>
    <cellStyle name="20% - Accent3 6 8 2" xfId="4161"/>
    <cellStyle name="20% - Accent3 6 8 2 2" xfId="5334"/>
    <cellStyle name="20% - Accent3 6 8 2 2 2" xfId="6042"/>
    <cellStyle name="20% - Accent3 6 8 2 2 2 2" xfId="25514"/>
    <cellStyle name="20% - Accent3 6 8 2 2 3" xfId="8511"/>
    <cellStyle name="20% - Accent3 6 8 2 2 4" xfId="25513"/>
    <cellStyle name="20% - Accent3 6 8 2 3" xfId="5644"/>
    <cellStyle name="20% - Accent3 6 8 2 3 2" xfId="6043"/>
    <cellStyle name="20% - Accent3 6 8 2 3 2 2" xfId="25516"/>
    <cellStyle name="20% - Accent3 6 8 2 3 3" xfId="25515"/>
    <cellStyle name="20% - Accent3 6 8 2 4" xfId="4330"/>
    <cellStyle name="20% - Accent3 6 8 2 4 2" xfId="6044"/>
    <cellStyle name="20% - Accent3 6 8 2 4 2 2" xfId="25518"/>
    <cellStyle name="20% - Accent3 6 8 2 4 3" xfId="25517"/>
    <cellStyle name="20% - Accent3 6 8 2 5" xfId="6041"/>
    <cellStyle name="20% - Accent3 6 8 2 5 2" xfId="25519"/>
    <cellStyle name="20% - Accent3 6 8 2 6" xfId="8510"/>
    <cellStyle name="20% - Accent3 6 8 2 6 2" xfId="25520"/>
    <cellStyle name="20% - Accent3 6 8 2 7" xfId="25013"/>
    <cellStyle name="20% - Accent3 6 8 2 8" xfId="25512"/>
    <cellStyle name="20% - Accent3 6 8 2 9" xfId="28355"/>
    <cellStyle name="20% - Accent3 6 8 3" xfId="5333"/>
    <cellStyle name="20% - Accent3 6 8 3 2" xfId="6045"/>
    <cellStyle name="20% - Accent3 6 8 3 2 2" xfId="25522"/>
    <cellStyle name="20% - Accent3 6 8 3 3" xfId="8512"/>
    <cellStyle name="20% - Accent3 6 8 3 4" xfId="25521"/>
    <cellStyle name="20% - Accent3 6 8 4" xfId="5643"/>
    <cellStyle name="20% - Accent3 6 8 4 2" xfId="6046"/>
    <cellStyle name="20% - Accent3 6 8 4 2 2" xfId="25524"/>
    <cellStyle name="20% - Accent3 6 8 4 3" xfId="8513"/>
    <cellStyle name="20% - Accent3 6 8 4 4" xfId="25523"/>
    <cellStyle name="20% - Accent3 6 8 5" xfId="4329"/>
    <cellStyle name="20% - Accent3 6 8 5 2" xfId="6047"/>
    <cellStyle name="20% - Accent3 6 8 5 2 2" xfId="8515"/>
    <cellStyle name="20% - Accent3 6 8 5 2 2 2" xfId="25527"/>
    <cellStyle name="20% - Accent3 6 8 5 2 3" xfId="25526"/>
    <cellStyle name="20% - Accent3 6 8 5 2 4" xfId="28357"/>
    <cellStyle name="20% - Accent3 6 8 5 3" xfId="8516"/>
    <cellStyle name="20% - Accent3 6 8 5 3 2" xfId="25528"/>
    <cellStyle name="20% - Accent3 6 8 5 3 3" xfId="28358"/>
    <cellStyle name="20% - Accent3 6 8 5 4" xfId="8514"/>
    <cellStyle name="20% - Accent3 6 8 5 4 2" xfId="25529"/>
    <cellStyle name="20% - Accent3 6 8 5 5" xfId="25525"/>
    <cellStyle name="20% - Accent3 6 8 5 6" xfId="28356"/>
    <cellStyle name="20% - Accent3 6 8 6" xfId="6040"/>
    <cellStyle name="20% - Accent3 6 8 6 2" xfId="8517"/>
    <cellStyle name="20% - Accent3 6 8 6 2 2" xfId="25531"/>
    <cellStyle name="20% - Accent3 6 8 6 3" xfId="25530"/>
    <cellStyle name="20% - Accent3 6 8 6 4" xfId="28359"/>
    <cellStyle name="20% - Accent3 6 8 7" xfId="8518"/>
    <cellStyle name="20% - Accent3 6 8 7 2" xfId="25532"/>
    <cellStyle name="20% - Accent3 6 8 7 3" xfId="28360"/>
    <cellStyle name="20% - Accent3 6 8 8" xfId="8509"/>
    <cellStyle name="20% - Accent3 6 8 8 2" xfId="25533"/>
    <cellStyle name="20% - Accent3 6 8 9" xfId="24893"/>
    <cellStyle name="20% - Accent3 6 9" xfId="3819"/>
    <cellStyle name="20% - Accent3 6 9 2" xfId="5335"/>
    <cellStyle name="20% - Accent3 6 9 2 2" xfId="6049"/>
    <cellStyle name="20% - Accent3 6 9 2 2 2" xfId="25536"/>
    <cellStyle name="20% - Accent3 6 9 2 3" xfId="8520"/>
    <cellStyle name="20% - Accent3 6 9 2 4" xfId="25535"/>
    <cellStyle name="20% - Accent3 6 9 3" xfId="5645"/>
    <cellStyle name="20% - Accent3 6 9 3 2" xfId="6050"/>
    <cellStyle name="20% - Accent3 6 9 3 2 2" xfId="25538"/>
    <cellStyle name="20% - Accent3 6 9 3 3" xfId="8521"/>
    <cellStyle name="20% - Accent3 6 9 3 4" xfId="25537"/>
    <cellStyle name="20% - Accent3 6 9 4" xfId="4331"/>
    <cellStyle name="20% - Accent3 6 9 4 2" xfId="6051"/>
    <cellStyle name="20% - Accent3 6 9 4 2 2" xfId="25540"/>
    <cellStyle name="20% - Accent3 6 9 4 3" xfId="8522"/>
    <cellStyle name="20% - Accent3 6 9 4 4" xfId="25539"/>
    <cellStyle name="20% - Accent3 6 9 5" xfId="6048"/>
    <cellStyle name="20% - Accent3 6 9 5 2" xfId="25541"/>
    <cellStyle name="20% - Accent3 6 9 6" xfId="8519"/>
    <cellStyle name="20% - Accent3 6 9 6 2" xfId="25542"/>
    <cellStyle name="20% - Accent3 6 9 7" xfId="24955"/>
    <cellStyle name="20% - Accent3 6 9 8" xfId="25534"/>
    <cellStyle name="20% - Accent3 6 9 9" xfId="28361"/>
    <cellStyle name="20% - Accent3 7" xfId="369"/>
    <cellStyle name="20% - Accent3 7 10" xfId="8523"/>
    <cellStyle name="20% - Accent3 7 10 2" xfId="8524"/>
    <cellStyle name="20% - Accent3 7 10 3" xfId="8525"/>
    <cellStyle name="20% - Accent3 7 11" xfId="8526"/>
    <cellStyle name="20% - Accent3 7 11 2" xfId="8527"/>
    <cellStyle name="20% - Accent3 7 11 3" xfId="8528"/>
    <cellStyle name="20% - Accent3 7 12" xfId="8529"/>
    <cellStyle name="20% - Accent3 7 12 2" xfId="8530"/>
    <cellStyle name="20% - Accent3 7 12 3" xfId="8531"/>
    <cellStyle name="20% - Accent3 7 13" xfId="8532"/>
    <cellStyle name="20% - Accent3 7 14" xfId="8533"/>
    <cellStyle name="20% - Accent3 7 15" xfId="8534"/>
    <cellStyle name="20% - Accent3 7 16" xfId="8535"/>
    <cellStyle name="20% - Accent3 7 2" xfId="4332"/>
    <cellStyle name="20% - Accent3 7 2 2" xfId="8537"/>
    <cellStyle name="20% - Accent3 7 2 3" xfId="8538"/>
    <cellStyle name="20% - Accent3 7 2 4" xfId="8536"/>
    <cellStyle name="20% - Accent3 7 3" xfId="8539"/>
    <cellStyle name="20% - Accent3 7 3 2" xfId="8540"/>
    <cellStyle name="20% - Accent3 7 3 3" xfId="8541"/>
    <cellStyle name="20% - Accent3 7 4" xfId="8542"/>
    <cellStyle name="20% - Accent3 7 4 2" xfId="8543"/>
    <cellStyle name="20% - Accent3 7 4 3" xfId="8544"/>
    <cellStyle name="20% - Accent3 7 5" xfId="8545"/>
    <cellStyle name="20% - Accent3 7 5 2" xfId="8546"/>
    <cellStyle name="20% - Accent3 7 5 3" xfId="8547"/>
    <cellStyle name="20% - Accent3 7 6" xfId="8548"/>
    <cellStyle name="20% - Accent3 7 6 2" xfId="8549"/>
    <cellStyle name="20% - Accent3 7 6 3" xfId="8550"/>
    <cellStyle name="20% - Accent3 7 7" xfId="8551"/>
    <cellStyle name="20% - Accent3 7 7 2" xfId="8552"/>
    <cellStyle name="20% - Accent3 7 7 3" xfId="8553"/>
    <cellStyle name="20% - Accent3 7 8" xfId="8554"/>
    <cellStyle name="20% - Accent3 7 8 2" xfId="8555"/>
    <cellStyle name="20% - Accent3 7 8 3" xfId="8556"/>
    <cellStyle name="20% - Accent3 7 9" xfId="8557"/>
    <cellStyle name="20% - Accent3 7 9 2" xfId="8558"/>
    <cellStyle name="20% - Accent3 7 9 3" xfId="8559"/>
    <cellStyle name="20% - Accent3 8" xfId="526"/>
    <cellStyle name="20% - Accent3 8 10" xfId="24847"/>
    <cellStyle name="20% - Accent3 8 11" xfId="25543"/>
    <cellStyle name="20% - Accent3 8 12" xfId="28362"/>
    <cellStyle name="20% - Accent3 8 2" xfId="1376"/>
    <cellStyle name="20% - Accent3 8 2 10" xfId="25544"/>
    <cellStyle name="20% - Accent3 8 2 11" xfId="28363"/>
    <cellStyle name="20% - Accent3 8 2 2" xfId="4176"/>
    <cellStyle name="20% - Accent3 8 2 2 2" xfId="5338"/>
    <cellStyle name="20% - Accent3 8 2 2 2 2" xfId="6055"/>
    <cellStyle name="20% - Accent3 8 2 2 2 2 2" xfId="25547"/>
    <cellStyle name="20% - Accent3 8 2 2 2 3" xfId="8563"/>
    <cellStyle name="20% - Accent3 8 2 2 2 4" xfId="25546"/>
    <cellStyle name="20% - Accent3 8 2 2 3" xfId="5648"/>
    <cellStyle name="20% - Accent3 8 2 2 3 2" xfId="6056"/>
    <cellStyle name="20% - Accent3 8 2 2 3 2 2" xfId="25549"/>
    <cellStyle name="20% - Accent3 8 2 2 3 3" xfId="25548"/>
    <cellStyle name="20% - Accent3 8 2 2 4" xfId="4335"/>
    <cellStyle name="20% - Accent3 8 2 2 4 2" xfId="6057"/>
    <cellStyle name="20% - Accent3 8 2 2 4 2 2" xfId="25551"/>
    <cellStyle name="20% - Accent3 8 2 2 4 3" xfId="25550"/>
    <cellStyle name="20% - Accent3 8 2 2 5" xfId="6054"/>
    <cellStyle name="20% - Accent3 8 2 2 5 2" xfId="25552"/>
    <cellStyle name="20% - Accent3 8 2 2 6" xfId="8562"/>
    <cellStyle name="20% - Accent3 8 2 2 6 2" xfId="25553"/>
    <cellStyle name="20% - Accent3 8 2 2 7" xfId="25028"/>
    <cellStyle name="20% - Accent3 8 2 2 8" xfId="25545"/>
    <cellStyle name="20% - Accent3 8 2 2 9" xfId="28364"/>
    <cellStyle name="20% - Accent3 8 2 3" xfId="5337"/>
    <cellStyle name="20% - Accent3 8 2 3 2" xfId="6058"/>
    <cellStyle name="20% - Accent3 8 2 3 2 2" xfId="25555"/>
    <cellStyle name="20% - Accent3 8 2 3 3" xfId="8564"/>
    <cellStyle name="20% - Accent3 8 2 3 4" xfId="25554"/>
    <cellStyle name="20% - Accent3 8 2 4" xfId="5647"/>
    <cellStyle name="20% - Accent3 8 2 4 2" xfId="6059"/>
    <cellStyle name="20% - Accent3 8 2 4 2 2" xfId="25557"/>
    <cellStyle name="20% - Accent3 8 2 4 3" xfId="8565"/>
    <cellStyle name="20% - Accent3 8 2 4 4" xfId="25556"/>
    <cellStyle name="20% - Accent3 8 2 5" xfId="4334"/>
    <cellStyle name="20% - Accent3 8 2 5 2" xfId="6060"/>
    <cellStyle name="20% - Accent3 8 2 5 2 2" xfId="8567"/>
    <cellStyle name="20% - Accent3 8 2 5 2 2 2" xfId="25560"/>
    <cellStyle name="20% - Accent3 8 2 5 2 3" xfId="25559"/>
    <cellStyle name="20% - Accent3 8 2 5 2 4" xfId="28366"/>
    <cellStyle name="20% - Accent3 8 2 5 3" xfId="8568"/>
    <cellStyle name="20% - Accent3 8 2 5 3 2" xfId="25561"/>
    <cellStyle name="20% - Accent3 8 2 5 3 3" xfId="28367"/>
    <cellStyle name="20% - Accent3 8 2 5 4" xfId="8566"/>
    <cellStyle name="20% - Accent3 8 2 5 4 2" xfId="25562"/>
    <cellStyle name="20% - Accent3 8 2 5 5" xfId="25558"/>
    <cellStyle name="20% - Accent3 8 2 5 6" xfId="28365"/>
    <cellStyle name="20% - Accent3 8 2 6" xfId="6053"/>
    <cellStyle name="20% - Accent3 8 2 6 2" xfId="8569"/>
    <cellStyle name="20% - Accent3 8 2 6 2 2" xfId="25564"/>
    <cellStyle name="20% - Accent3 8 2 6 3" xfId="25563"/>
    <cellStyle name="20% - Accent3 8 2 6 4" xfId="28368"/>
    <cellStyle name="20% - Accent3 8 2 7" xfId="8570"/>
    <cellStyle name="20% - Accent3 8 2 7 2" xfId="25565"/>
    <cellStyle name="20% - Accent3 8 2 7 3" xfId="28369"/>
    <cellStyle name="20% - Accent3 8 2 8" xfId="8561"/>
    <cellStyle name="20% - Accent3 8 2 8 2" xfId="25566"/>
    <cellStyle name="20% - Accent3 8 2 9" xfId="24908"/>
    <cellStyle name="20% - Accent3 8 3" xfId="3833"/>
    <cellStyle name="20% - Accent3 8 3 2" xfId="5339"/>
    <cellStyle name="20% - Accent3 8 3 2 2" xfId="6062"/>
    <cellStyle name="20% - Accent3 8 3 2 2 2" xfId="25569"/>
    <cellStyle name="20% - Accent3 8 3 2 3" xfId="8572"/>
    <cellStyle name="20% - Accent3 8 3 2 4" xfId="25568"/>
    <cellStyle name="20% - Accent3 8 3 3" xfId="5649"/>
    <cellStyle name="20% - Accent3 8 3 3 2" xfId="6063"/>
    <cellStyle name="20% - Accent3 8 3 3 2 2" xfId="25571"/>
    <cellStyle name="20% - Accent3 8 3 3 3" xfId="25570"/>
    <cellStyle name="20% - Accent3 8 3 4" xfId="4336"/>
    <cellStyle name="20% - Accent3 8 3 4 2" xfId="6064"/>
    <cellStyle name="20% - Accent3 8 3 4 2 2" xfId="25573"/>
    <cellStyle name="20% - Accent3 8 3 4 3" xfId="25572"/>
    <cellStyle name="20% - Accent3 8 3 5" xfId="6061"/>
    <cellStyle name="20% - Accent3 8 3 5 2" xfId="25574"/>
    <cellStyle name="20% - Accent3 8 3 6" xfId="8571"/>
    <cellStyle name="20% - Accent3 8 3 6 2" xfId="25575"/>
    <cellStyle name="20% - Accent3 8 3 7" xfId="24969"/>
    <cellStyle name="20% - Accent3 8 3 8" xfId="25567"/>
    <cellStyle name="20% - Accent3 8 3 9" xfId="28370"/>
    <cellStyle name="20% - Accent3 8 4" xfId="5336"/>
    <cellStyle name="20% - Accent3 8 4 2" xfId="6065"/>
    <cellStyle name="20% - Accent3 8 4 2 2" xfId="25577"/>
    <cellStyle name="20% - Accent3 8 4 3" xfId="8573"/>
    <cellStyle name="20% - Accent3 8 4 4" xfId="25576"/>
    <cellStyle name="20% - Accent3 8 5" xfId="5646"/>
    <cellStyle name="20% - Accent3 8 5 2" xfId="6066"/>
    <cellStyle name="20% - Accent3 8 5 2 2" xfId="25579"/>
    <cellStyle name="20% - Accent3 8 5 3" xfId="8574"/>
    <cellStyle name="20% - Accent3 8 5 4" xfId="25578"/>
    <cellStyle name="20% - Accent3 8 6" xfId="4333"/>
    <cellStyle name="20% - Accent3 8 6 2" xfId="6067"/>
    <cellStyle name="20% - Accent3 8 6 2 2" xfId="8576"/>
    <cellStyle name="20% - Accent3 8 6 2 2 2" xfId="25582"/>
    <cellStyle name="20% - Accent3 8 6 2 3" xfId="25581"/>
    <cellStyle name="20% - Accent3 8 6 2 4" xfId="28372"/>
    <cellStyle name="20% - Accent3 8 6 3" xfId="8577"/>
    <cellStyle name="20% - Accent3 8 6 3 2" xfId="25583"/>
    <cellStyle name="20% - Accent3 8 6 3 3" xfId="28373"/>
    <cellStyle name="20% - Accent3 8 6 4" xfId="8575"/>
    <cellStyle name="20% - Accent3 8 6 4 2" xfId="25584"/>
    <cellStyle name="20% - Accent3 8 6 5" xfId="25580"/>
    <cellStyle name="20% - Accent3 8 6 6" xfId="28371"/>
    <cellStyle name="20% - Accent3 8 7" xfId="6052"/>
    <cellStyle name="20% - Accent3 8 7 2" xfId="8578"/>
    <cellStyle name="20% - Accent3 8 7 2 2" xfId="25586"/>
    <cellStyle name="20% - Accent3 8 7 3" xfId="25585"/>
    <cellStyle name="20% - Accent3 8 7 4" xfId="28374"/>
    <cellStyle name="20% - Accent3 8 8" xfId="8579"/>
    <cellStyle name="20% - Accent3 8 8 2" xfId="25587"/>
    <cellStyle name="20% - Accent3 8 8 3" xfId="28375"/>
    <cellStyle name="20% - Accent3 8 9" xfId="8560"/>
    <cellStyle name="20% - Accent3 8 9 2" xfId="25588"/>
    <cellStyle name="20% - Accent3 9" xfId="527"/>
    <cellStyle name="20% - Accent3 9 2" xfId="4337"/>
    <cellStyle name="20% - Accent3 9 2 2" xfId="8581"/>
    <cellStyle name="20% - Accent3 9 2 3" xfId="8582"/>
    <cellStyle name="20% - Accent3 9 2 4" xfId="8580"/>
    <cellStyle name="20% - Accent3 9 3" xfId="8583"/>
    <cellStyle name="20% - Accent3 9 4" xfId="8584"/>
    <cellStyle name="20% - Accent3 9 5" xfId="8585"/>
    <cellStyle name="20% - Accent3 9 6" xfId="8586"/>
    <cellStyle name="20% - Accent4" xfId="7110" builtinId="42" customBuiltin="1"/>
    <cellStyle name="20% - Accent4 10" xfId="652"/>
    <cellStyle name="20% - Accent4 10 2" xfId="4338"/>
    <cellStyle name="20% - Accent4 10 2 2" xfId="8587"/>
    <cellStyle name="20% - Accent4 10 3" xfId="8588"/>
    <cellStyle name="20% - Accent4 10 4" xfId="8589"/>
    <cellStyle name="20% - Accent4 10 5" xfId="8590"/>
    <cellStyle name="20% - Accent4 11" xfId="653"/>
    <cellStyle name="20% - Accent4 11 2" xfId="4339"/>
    <cellStyle name="20% - Accent4 11 2 2" xfId="8591"/>
    <cellStyle name="20% - Accent4 11 3" xfId="8592"/>
    <cellStyle name="20% - Accent4 11 4" xfId="8593"/>
    <cellStyle name="20% - Accent4 11 5" xfId="8594"/>
    <cellStyle name="20% - Accent4 12" xfId="807"/>
    <cellStyle name="20% - Accent4 12 2" xfId="8596"/>
    <cellStyle name="20% - Accent4 12 3" xfId="8597"/>
    <cellStyle name="20% - Accent4 12 4" xfId="8595"/>
    <cellStyle name="20% - Accent4 13" xfId="808"/>
    <cellStyle name="20% - Accent4 13 2" xfId="3848"/>
    <cellStyle name="20% - Accent4 13 2 2" xfId="6069"/>
    <cellStyle name="20% - Accent4 13 2 2 2" xfId="25591"/>
    <cellStyle name="20% - Accent4 13 2 3" xfId="8599"/>
    <cellStyle name="20% - Accent4 13 2 4" xfId="24984"/>
    <cellStyle name="20% - Accent4 13 2 5" xfId="25590"/>
    <cellStyle name="20% - Accent4 13 3" xfId="6068"/>
    <cellStyle name="20% - Accent4 13 3 2" xfId="8600"/>
    <cellStyle name="20% - Accent4 13 3 3" xfId="25592"/>
    <cellStyle name="20% - Accent4 13 4" xfId="8598"/>
    <cellStyle name="20% - Accent4 13 5" xfId="24863"/>
    <cellStyle name="20% - Accent4 13 6" xfId="25589"/>
    <cellStyle name="20% - Accent4 14" xfId="927"/>
    <cellStyle name="20% - Accent4 14 2" xfId="8602"/>
    <cellStyle name="20% - Accent4 14 3" xfId="8603"/>
    <cellStyle name="20% - Accent4 14 4" xfId="8601"/>
    <cellStyle name="20% - Accent4 15" xfId="8604"/>
    <cellStyle name="20% - Accent4 15 2" xfId="8605"/>
    <cellStyle name="20% - Accent4 15 3" xfId="8606"/>
    <cellStyle name="20% - Accent4 16" xfId="8607"/>
    <cellStyle name="20% - Accent4 16 2" xfId="8608"/>
    <cellStyle name="20% - Accent4 16 3" xfId="8609"/>
    <cellStyle name="20% - Accent4 17" xfId="8610"/>
    <cellStyle name="20% - Accent4 17 2" xfId="8611"/>
    <cellStyle name="20% - Accent4 17 3" xfId="8612"/>
    <cellStyle name="20% - Accent4 18" xfId="8613"/>
    <cellStyle name="20% - Accent4 18 2" xfId="8614"/>
    <cellStyle name="20% - Accent4 18 3" xfId="8615"/>
    <cellStyle name="20% - Accent4 19" xfId="8616"/>
    <cellStyle name="20% - Accent4 19 2" xfId="8617"/>
    <cellStyle name="20% - Accent4 2" xfId="71"/>
    <cellStyle name="20% - Accent4 2 10" xfId="1670"/>
    <cellStyle name="20% - Accent4 2 10 2" xfId="4340"/>
    <cellStyle name="20% - Accent4 2 10 2 2" xfId="8618"/>
    <cellStyle name="20% - Accent4 2 10 3" xfId="8619"/>
    <cellStyle name="20% - Accent4 2 10 4" xfId="8620"/>
    <cellStyle name="20% - Accent4 2 10 5" xfId="8621"/>
    <cellStyle name="20% - Accent4 2 11" xfId="1967"/>
    <cellStyle name="20% - Accent4 2 11 2" xfId="4341"/>
    <cellStyle name="20% - Accent4 2 11 2 2" xfId="8622"/>
    <cellStyle name="20% - Accent4 2 11 3" xfId="8623"/>
    <cellStyle name="20% - Accent4 2 11 4" xfId="8624"/>
    <cellStyle name="20% - Accent4 2 11 5" xfId="8625"/>
    <cellStyle name="20% - Accent4 2 12" xfId="1707"/>
    <cellStyle name="20% - Accent4 2 12 2" xfId="4342"/>
    <cellStyle name="20% - Accent4 2 12 2 2" xfId="8626"/>
    <cellStyle name="20% - Accent4 2 12 3" xfId="8627"/>
    <cellStyle name="20% - Accent4 2 12 4" xfId="8628"/>
    <cellStyle name="20% - Accent4 2 12 5" xfId="8629"/>
    <cellStyle name="20% - Accent4 2 13" xfId="2042"/>
    <cellStyle name="20% - Accent4 2 13 2" xfId="4343"/>
    <cellStyle name="20% - Accent4 2 13 2 2" xfId="8630"/>
    <cellStyle name="20% - Accent4 2 13 3" xfId="8631"/>
    <cellStyle name="20% - Accent4 2 13 4" xfId="8632"/>
    <cellStyle name="20% - Accent4 2 13 5" xfId="8633"/>
    <cellStyle name="20% - Accent4 2 14" xfId="3088"/>
    <cellStyle name="20% - Accent4 2 14 2" xfId="4344"/>
    <cellStyle name="20% - Accent4 2 14 2 2" xfId="8634"/>
    <cellStyle name="20% - Accent4 2 14 3" xfId="8635"/>
    <cellStyle name="20% - Accent4 2 14 4" xfId="8636"/>
    <cellStyle name="20% - Accent4 2 14 5" xfId="8637"/>
    <cellStyle name="20% - Accent4 2 15" xfId="3459"/>
    <cellStyle name="20% - Accent4 2 15 2" xfId="4345"/>
    <cellStyle name="20% - Accent4 2 15 2 2" xfId="8638"/>
    <cellStyle name="20% - Accent4 2 15 3" xfId="8639"/>
    <cellStyle name="20% - Accent4 2 16" xfId="3635"/>
    <cellStyle name="20% - Accent4 2 16 2" xfId="4346"/>
    <cellStyle name="20% - Accent4 2 16 2 2" xfId="8640"/>
    <cellStyle name="20% - Accent4 2 16 3" xfId="8641"/>
    <cellStyle name="20% - Accent4 2 17" xfId="24470"/>
    <cellStyle name="20% - Accent4 2 2" xfId="115"/>
    <cellStyle name="20% - Accent4 2 2 10" xfId="8642"/>
    <cellStyle name="20% - Accent4 2 2 10 2" xfId="8643"/>
    <cellStyle name="20% - Accent4 2 2 10 3" xfId="8644"/>
    <cellStyle name="20% - Accent4 2 2 11" xfId="8645"/>
    <cellStyle name="20% - Accent4 2 2 11 2" xfId="8646"/>
    <cellStyle name="20% - Accent4 2 2 11 3" xfId="8647"/>
    <cellStyle name="20% - Accent4 2 2 12" xfId="8648"/>
    <cellStyle name="20% - Accent4 2 2 12 2" xfId="8649"/>
    <cellStyle name="20% - Accent4 2 2 12 3" xfId="8650"/>
    <cellStyle name="20% - Accent4 2 2 13" xfId="8651"/>
    <cellStyle name="20% - Accent4 2 2 14" xfId="8652"/>
    <cellStyle name="20% - Accent4 2 2 15" xfId="8653"/>
    <cellStyle name="20% - Accent4 2 2 2" xfId="183"/>
    <cellStyle name="20% - Accent4 2 2 2 2" xfId="8654"/>
    <cellStyle name="20% - Accent4 2 2 2 3" xfId="8655"/>
    <cellStyle name="20% - Accent4 2 2 3" xfId="347"/>
    <cellStyle name="20% - Accent4 2 2 3 2" xfId="8656"/>
    <cellStyle name="20% - Accent4 2 2 3 3" xfId="8657"/>
    <cellStyle name="20% - Accent4 2 2 4" xfId="2169"/>
    <cellStyle name="20% - Accent4 2 2 4 2" xfId="8658"/>
    <cellStyle name="20% - Accent4 2 2 4 3" xfId="8659"/>
    <cellStyle name="20% - Accent4 2 2 5" xfId="2543"/>
    <cellStyle name="20% - Accent4 2 2 5 2" xfId="8660"/>
    <cellStyle name="20% - Accent4 2 2 5 3" xfId="8661"/>
    <cellStyle name="20% - Accent4 2 2 6" xfId="2915"/>
    <cellStyle name="20% - Accent4 2 2 6 2" xfId="8662"/>
    <cellStyle name="20% - Accent4 2 2 6 3" xfId="8663"/>
    <cellStyle name="20% - Accent4 2 2 7" xfId="3287"/>
    <cellStyle name="20% - Accent4 2 2 7 2" xfId="8664"/>
    <cellStyle name="20% - Accent4 2 2 7 3" xfId="8665"/>
    <cellStyle name="20% - Accent4 2 2 8" xfId="4347"/>
    <cellStyle name="20% - Accent4 2 2 8 2" xfId="8667"/>
    <cellStyle name="20% - Accent4 2 2 8 3" xfId="8668"/>
    <cellStyle name="20% - Accent4 2 2 8 4" xfId="8666"/>
    <cellStyle name="20% - Accent4 2 2 9" xfId="8669"/>
    <cellStyle name="20% - Accent4 2 2 9 2" xfId="8670"/>
    <cellStyle name="20% - Accent4 2 2 9 3" xfId="8671"/>
    <cellStyle name="20% - Accent4 2 3" xfId="280"/>
    <cellStyle name="20% - Accent4 2 3 2" xfId="1345"/>
    <cellStyle name="20% - Accent4 2 3 2 2" xfId="8672"/>
    <cellStyle name="20% - Accent4 2 3 2 3" xfId="8673"/>
    <cellStyle name="20% - Accent4 2 3 3" xfId="8674"/>
    <cellStyle name="20% - Accent4 2 3 4" xfId="8675"/>
    <cellStyle name="20% - Accent4 2 4" xfId="370"/>
    <cellStyle name="20% - Accent4 2 4 2" xfId="8676"/>
    <cellStyle name="20% - Accent4 2 4 2 2" xfId="8677"/>
    <cellStyle name="20% - Accent4 2 4 2 3" xfId="8678"/>
    <cellStyle name="20% - Accent4 2 4 3" xfId="8679"/>
    <cellStyle name="20% - Accent4 2 4 4" xfId="8680"/>
    <cellStyle name="20% - Accent4 2 5" xfId="528"/>
    <cellStyle name="20% - Accent4 2 5 2" xfId="8681"/>
    <cellStyle name="20% - Accent4 2 5 3" xfId="8682"/>
    <cellStyle name="20% - Accent4 2 6" xfId="654"/>
    <cellStyle name="20% - Accent4 2 6 2" xfId="8683"/>
    <cellStyle name="20% - Accent4 2 6 3" xfId="8684"/>
    <cellStyle name="20% - Accent4 2 7" xfId="655"/>
    <cellStyle name="20% - Accent4 2 7 2" xfId="8685"/>
    <cellStyle name="20% - Accent4 2 7 3" xfId="8686"/>
    <cellStyle name="20% - Accent4 2 8" xfId="809"/>
    <cellStyle name="20% - Accent4 2 8 2" xfId="1399"/>
    <cellStyle name="20% - Accent4 2 8 2 2" xfId="8687"/>
    <cellStyle name="20% - Accent4 2 8 3" xfId="8688"/>
    <cellStyle name="20% - Accent4 2 8 4" xfId="8689"/>
    <cellStyle name="20% - Accent4 2 8 5" xfId="8690"/>
    <cellStyle name="20% - Accent4 2 9" xfId="928"/>
    <cellStyle name="20% - Accent4 2 9 2" xfId="1446"/>
    <cellStyle name="20% - Accent4 2 9 2 2" xfId="8691"/>
    <cellStyle name="20% - Accent4 2 9 3" xfId="8692"/>
    <cellStyle name="20% - Accent4 2 9 4" xfId="8693"/>
    <cellStyle name="20% - Accent4 2 9 5" xfId="8694"/>
    <cellStyle name="20% - Accent4 20" xfId="8695"/>
    <cellStyle name="20% - Accent4 21" xfId="8696"/>
    <cellStyle name="20% - Accent4 21 2" xfId="8697"/>
    <cellStyle name="20% - Accent4 21 2 2" xfId="8698"/>
    <cellStyle name="20% - Accent4 21 2 2 2" xfId="25595"/>
    <cellStyle name="20% - Accent4 21 2 2 3" xfId="28378"/>
    <cellStyle name="20% - Accent4 21 2 3" xfId="8699"/>
    <cellStyle name="20% - Accent4 21 2 3 2" xfId="25596"/>
    <cellStyle name="20% - Accent4 21 2 3 3" xfId="28379"/>
    <cellStyle name="20% - Accent4 21 2 4" xfId="25594"/>
    <cellStyle name="20% - Accent4 21 2 5" xfId="28377"/>
    <cellStyle name="20% - Accent4 21 3" xfId="8700"/>
    <cellStyle name="20% - Accent4 21 3 2" xfId="25597"/>
    <cellStyle name="20% - Accent4 21 3 3" xfId="28380"/>
    <cellStyle name="20% - Accent4 21 4" xfId="8701"/>
    <cellStyle name="20% - Accent4 21 4 2" xfId="25598"/>
    <cellStyle name="20% - Accent4 21 4 3" xfId="28381"/>
    <cellStyle name="20% - Accent4 21 5" xfId="25593"/>
    <cellStyle name="20% - Accent4 21 6" xfId="28376"/>
    <cellStyle name="20% - Accent4 22" xfId="8702"/>
    <cellStyle name="20% - Accent4 22 2" xfId="8703"/>
    <cellStyle name="20% - Accent4 22 2 2" xfId="8704"/>
    <cellStyle name="20% - Accent4 22 2 2 2" xfId="25601"/>
    <cellStyle name="20% - Accent4 22 2 2 3" xfId="28384"/>
    <cellStyle name="20% - Accent4 22 2 3" xfId="8705"/>
    <cellStyle name="20% - Accent4 22 2 3 2" xfId="25602"/>
    <cellStyle name="20% - Accent4 22 2 3 3" xfId="28385"/>
    <cellStyle name="20% - Accent4 22 2 4" xfId="25600"/>
    <cellStyle name="20% - Accent4 22 2 5" xfId="28383"/>
    <cellStyle name="20% - Accent4 22 3" xfId="8706"/>
    <cellStyle name="20% - Accent4 22 3 2" xfId="25603"/>
    <cellStyle name="20% - Accent4 22 3 3" xfId="28386"/>
    <cellStyle name="20% - Accent4 22 4" xfId="8707"/>
    <cellStyle name="20% - Accent4 22 4 2" xfId="25604"/>
    <cellStyle name="20% - Accent4 22 4 3" xfId="28387"/>
    <cellStyle name="20% - Accent4 22 5" xfId="25599"/>
    <cellStyle name="20% - Accent4 22 6" xfId="28382"/>
    <cellStyle name="20% - Accent4 23" xfId="8708"/>
    <cellStyle name="20% - Accent4 24" xfId="8709"/>
    <cellStyle name="20% - Accent4 24 2" xfId="8710"/>
    <cellStyle name="20% - Accent4 24 2 2" xfId="8711"/>
    <cellStyle name="20% - Accent4 24 2 2 2" xfId="25607"/>
    <cellStyle name="20% - Accent4 24 2 2 3" xfId="28390"/>
    <cellStyle name="20% - Accent4 24 2 3" xfId="8712"/>
    <cellStyle name="20% - Accent4 24 2 3 2" xfId="25608"/>
    <cellStyle name="20% - Accent4 24 2 3 3" xfId="28391"/>
    <cellStyle name="20% - Accent4 24 2 4" xfId="25606"/>
    <cellStyle name="20% - Accent4 24 2 5" xfId="28389"/>
    <cellStyle name="20% - Accent4 24 3" xfId="8713"/>
    <cellStyle name="20% - Accent4 24 3 2" xfId="25609"/>
    <cellStyle name="20% - Accent4 24 3 3" xfId="28392"/>
    <cellStyle name="20% - Accent4 24 4" xfId="8714"/>
    <cellStyle name="20% - Accent4 24 4 2" xfId="25610"/>
    <cellStyle name="20% - Accent4 24 4 3" xfId="28393"/>
    <cellStyle name="20% - Accent4 24 5" xfId="25605"/>
    <cellStyle name="20% - Accent4 24 6" xfId="28388"/>
    <cellStyle name="20% - Accent4 25" xfId="8715"/>
    <cellStyle name="20% - Accent4 25 2" xfId="8716"/>
    <cellStyle name="20% - Accent4 25 2 2" xfId="8717"/>
    <cellStyle name="20% - Accent4 25 2 2 2" xfId="25613"/>
    <cellStyle name="20% - Accent4 25 2 2 3" xfId="28396"/>
    <cellStyle name="20% - Accent4 25 2 3" xfId="8718"/>
    <cellStyle name="20% - Accent4 25 2 3 2" xfId="25614"/>
    <cellStyle name="20% - Accent4 25 2 3 3" xfId="28397"/>
    <cellStyle name="20% - Accent4 25 2 4" xfId="25612"/>
    <cellStyle name="20% - Accent4 25 2 5" xfId="28395"/>
    <cellStyle name="20% - Accent4 25 3" xfId="8719"/>
    <cellStyle name="20% - Accent4 25 3 2" xfId="25615"/>
    <cellStyle name="20% - Accent4 25 3 3" xfId="28398"/>
    <cellStyle name="20% - Accent4 25 4" xfId="8720"/>
    <cellStyle name="20% - Accent4 25 4 2" xfId="25616"/>
    <cellStyle name="20% - Accent4 25 4 3" xfId="28399"/>
    <cellStyle name="20% - Accent4 25 5" xfId="25611"/>
    <cellStyle name="20% - Accent4 25 6" xfId="28394"/>
    <cellStyle name="20% - Accent4 26" xfId="8721"/>
    <cellStyle name="20% - Accent4 27" xfId="8722"/>
    <cellStyle name="20% - Accent4 27 2" xfId="8723"/>
    <cellStyle name="20% - Accent4 27 2 2" xfId="8724"/>
    <cellStyle name="20% - Accent4 27 2 2 2" xfId="25619"/>
    <cellStyle name="20% - Accent4 27 2 2 3" xfId="28402"/>
    <cellStyle name="20% - Accent4 27 2 3" xfId="8725"/>
    <cellStyle name="20% - Accent4 27 2 3 2" xfId="25620"/>
    <cellStyle name="20% - Accent4 27 2 3 3" xfId="28403"/>
    <cellStyle name="20% - Accent4 27 2 4" xfId="25618"/>
    <cellStyle name="20% - Accent4 27 2 5" xfId="28401"/>
    <cellStyle name="20% - Accent4 27 3" xfId="8726"/>
    <cellStyle name="20% - Accent4 27 3 2" xfId="25621"/>
    <cellStyle name="20% - Accent4 27 3 3" xfId="28404"/>
    <cellStyle name="20% - Accent4 27 4" xfId="8727"/>
    <cellStyle name="20% - Accent4 27 4 2" xfId="25622"/>
    <cellStyle name="20% - Accent4 27 4 3" xfId="28405"/>
    <cellStyle name="20% - Accent4 27 5" xfId="25617"/>
    <cellStyle name="20% - Accent4 27 6" xfId="28400"/>
    <cellStyle name="20% - Accent4 28" xfId="8728"/>
    <cellStyle name="20% - Accent4 28 2" xfId="8729"/>
    <cellStyle name="20% - Accent4 28 2 2" xfId="25624"/>
    <cellStyle name="20% - Accent4 28 2 3" xfId="28407"/>
    <cellStyle name="20% - Accent4 28 3" xfId="8730"/>
    <cellStyle name="20% - Accent4 28 3 2" xfId="25625"/>
    <cellStyle name="20% - Accent4 28 3 3" xfId="28408"/>
    <cellStyle name="20% - Accent4 28 4" xfId="25623"/>
    <cellStyle name="20% - Accent4 28 5" xfId="28406"/>
    <cellStyle name="20% - Accent4 29" xfId="8731"/>
    <cellStyle name="20% - Accent4 29 2" xfId="25626"/>
    <cellStyle name="20% - Accent4 29 3" xfId="28409"/>
    <cellStyle name="20% - Accent4 3" xfId="224"/>
    <cellStyle name="20% - Accent4 3 10" xfId="3678"/>
    <cellStyle name="20% - Accent4 3 10 2" xfId="4348"/>
    <cellStyle name="20% - Accent4 3 10 2 2" xfId="8732"/>
    <cellStyle name="20% - Accent4 3 10 3" xfId="8733"/>
    <cellStyle name="20% - Accent4 3 10 4" xfId="8734"/>
    <cellStyle name="20% - Accent4 3 10 5" xfId="8735"/>
    <cellStyle name="20% - Accent4 3 11" xfId="8736"/>
    <cellStyle name="20% - Accent4 3 11 2" xfId="8737"/>
    <cellStyle name="20% - Accent4 3 11 3" xfId="8738"/>
    <cellStyle name="20% - Accent4 3 12" xfId="8739"/>
    <cellStyle name="20% - Accent4 3 12 2" xfId="8740"/>
    <cellStyle name="20% - Accent4 3 12 3" xfId="8741"/>
    <cellStyle name="20% - Accent4 3 13" xfId="8742"/>
    <cellStyle name="20% - Accent4 3 13 2" xfId="8743"/>
    <cellStyle name="20% - Accent4 3 13 3" xfId="8744"/>
    <cellStyle name="20% - Accent4 3 14" xfId="8745"/>
    <cellStyle name="20% - Accent4 3 15" xfId="8746"/>
    <cellStyle name="20% - Accent4 3 2" xfId="1451"/>
    <cellStyle name="20% - Accent4 3 2 10" xfId="8747"/>
    <cellStyle name="20% - Accent4 3 2 10 2" xfId="8748"/>
    <cellStyle name="20% - Accent4 3 2 10 3" xfId="8749"/>
    <cellStyle name="20% - Accent4 3 2 11" xfId="8750"/>
    <cellStyle name="20% - Accent4 3 2 11 2" xfId="8751"/>
    <cellStyle name="20% - Accent4 3 2 11 3" xfId="8752"/>
    <cellStyle name="20% - Accent4 3 2 12" xfId="8753"/>
    <cellStyle name="20% - Accent4 3 2 12 2" xfId="8754"/>
    <cellStyle name="20% - Accent4 3 2 12 3" xfId="8755"/>
    <cellStyle name="20% - Accent4 3 2 13" xfId="8756"/>
    <cellStyle name="20% - Accent4 3 2 14" xfId="8757"/>
    <cellStyle name="20% - Accent4 3 2 15" xfId="8758"/>
    <cellStyle name="20% - Accent4 3 2 2" xfId="1835"/>
    <cellStyle name="20% - Accent4 3 2 2 2" xfId="8759"/>
    <cellStyle name="20% - Accent4 3 2 2 3" xfId="8760"/>
    <cellStyle name="20% - Accent4 3 2 3" xfId="2210"/>
    <cellStyle name="20% - Accent4 3 2 3 2" xfId="8761"/>
    <cellStyle name="20% - Accent4 3 2 3 3" xfId="8762"/>
    <cellStyle name="20% - Accent4 3 2 4" xfId="2584"/>
    <cellStyle name="20% - Accent4 3 2 4 2" xfId="8763"/>
    <cellStyle name="20% - Accent4 3 2 4 3" xfId="8764"/>
    <cellStyle name="20% - Accent4 3 2 5" xfId="2956"/>
    <cellStyle name="20% - Accent4 3 2 5 2" xfId="8765"/>
    <cellStyle name="20% - Accent4 3 2 5 3" xfId="8766"/>
    <cellStyle name="20% - Accent4 3 2 6" xfId="3328"/>
    <cellStyle name="20% - Accent4 3 2 6 2" xfId="8767"/>
    <cellStyle name="20% - Accent4 3 2 6 3" xfId="8768"/>
    <cellStyle name="20% - Accent4 3 2 7" xfId="4349"/>
    <cellStyle name="20% - Accent4 3 2 7 2" xfId="8770"/>
    <cellStyle name="20% - Accent4 3 2 7 3" xfId="8771"/>
    <cellStyle name="20% - Accent4 3 2 7 4" xfId="8769"/>
    <cellStyle name="20% - Accent4 3 2 8" xfId="8772"/>
    <cellStyle name="20% - Accent4 3 2 8 2" xfId="8773"/>
    <cellStyle name="20% - Accent4 3 2 8 3" xfId="8774"/>
    <cellStyle name="20% - Accent4 3 2 9" xfId="8775"/>
    <cellStyle name="20% - Accent4 3 2 9 2" xfId="8776"/>
    <cellStyle name="20% - Accent4 3 2 9 3" xfId="8777"/>
    <cellStyle name="20% - Accent4 3 3" xfId="1578"/>
    <cellStyle name="20% - Accent4 3 3 2" xfId="1912"/>
    <cellStyle name="20% - Accent4 3 3 3" xfId="2287"/>
    <cellStyle name="20% - Accent4 3 3 4" xfId="2660"/>
    <cellStyle name="20% - Accent4 3 3 5" xfId="3033"/>
    <cellStyle name="20% - Accent4 3 3 6" xfId="3404"/>
    <cellStyle name="20% - Accent4 3 3 7" xfId="4350"/>
    <cellStyle name="20% - Accent4 3 4" xfId="1715"/>
    <cellStyle name="20% - Accent4 3 4 2" xfId="1956"/>
    <cellStyle name="20% - Accent4 3 4 3" xfId="2331"/>
    <cellStyle name="20% - Accent4 3 4 4" xfId="2704"/>
    <cellStyle name="20% - Accent4 3 4 5" xfId="3077"/>
    <cellStyle name="20% - Accent4 3 4 6" xfId="3448"/>
    <cellStyle name="20% - Accent4 3 5" xfId="2050"/>
    <cellStyle name="20% - Accent4 3 5 2" xfId="8778"/>
    <cellStyle name="20% - Accent4 3 5 3" xfId="8779"/>
    <cellStyle name="20% - Accent4 3 5 4" xfId="8780"/>
    <cellStyle name="20% - Accent4 3 6" xfId="2424"/>
    <cellStyle name="20% - Accent4 3 6 2" xfId="8781"/>
    <cellStyle name="20% - Accent4 3 6 3" xfId="8782"/>
    <cellStyle name="20% - Accent4 3 6 4" xfId="8783"/>
    <cellStyle name="20% - Accent4 3 7" xfId="2796"/>
    <cellStyle name="20% - Accent4 3 7 2" xfId="8784"/>
    <cellStyle name="20% - Accent4 3 7 3" xfId="8785"/>
    <cellStyle name="20% - Accent4 3 7 4" xfId="8786"/>
    <cellStyle name="20% - Accent4 3 8" xfId="3167"/>
    <cellStyle name="20% - Accent4 3 8 2" xfId="8787"/>
    <cellStyle name="20% - Accent4 3 8 3" xfId="8788"/>
    <cellStyle name="20% - Accent4 3 8 4" xfId="8789"/>
    <cellStyle name="20% - Accent4 3 9" xfId="3542"/>
    <cellStyle name="20% - Accent4 3 9 2" xfId="4351"/>
    <cellStyle name="20% - Accent4 3 9 2 2" xfId="8790"/>
    <cellStyle name="20% - Accent4 3 9 3" xfId="8791"/>
    <cellStyle name="20% - Accent4 3 9 4" xfId="8792"/>
    <cellStyle name="20% - Accent4 3 9 5" xfId="8793"/>
    <cellStyle name="20% - Accent4 30" xfId="28145"/>
    <cellStyle name="20% - Accent4 4" xfId="238"/>
    <cellStyle name="20% - Accent4 4 10" xfId="3722"/>
    <cellStyle name="20% - Accent4 4 10 2" xfId="4353"/>
    <cellStyle name="20% - Accent4 4 10 2 2" xfId="8795"/>
    <cellStyle name="20% - Accent4 4 10 3" xfId="8796"/>
    <cellStyle name="20% - Accent4 4 10 4" xfId="8797"/>
    <cellStyle name="20% - Accent4 4 10 5" xfId="8798"/>
    <cellStyle name="20% - Accent4 4 11" xfId="1306"/>
    <cellStyle name="20% - Accent4 4 11 10" xfId="25627"/>
    <cellStyle name="20% - Accent4 4 11 11" xfId="28411"/>
    <cellStyle name="20% - Accent4 4 11 2" xfId="4150"/>
    <cellStyle name="20% - Accent4 4 11 2 2" xfId="5342"/>
    <cellStyle name="20% - Accent4 4 11 2 2 2" xfId="6072"/>
    <cellStyle name="20% - Accent4 4 11 2 2 2 2" xfId="25630"/>
    <cellStyle name="20% - Accent4 4 11 2 2 3" xfId="8801"/>
    <cellStyle name="20% - Accent4 4 11 2 2 4" xfId="25629"/>
    <cellStyle name="20% - Accent4 4 11 2 3" xfId="5652"/>
    <cellStyle name="20% - Accent4 4 11 2 3 2" xfId="6073"/>
    <cellStyle name="20% - Accent4 4 11 2 3 2 2" xfId="25632"/>
    <cellStyle name="20% - Accent4 4 11 2 3 3" xfId="25631"/>
    <cellStyle name="20% - Accent4 4 11 2 4" xfId="4355"/>
    <cellStyle name="20% - Accent4 4 11 2 4 2" xfId="6074"/>
    <cellStyle name="20% - Accent4 4 11 2 4 2 2" xfId="25634"/>
    <cellStyle name="20% - Accent4 4 11 2 4 3" xfId="25633"/>
    <cellStyle name="20% - Accent4 4 11 2 5" xfId="6071"/>
    <cellStyle name="20% - Accent4 4 11 2 5 2" xfId="25635"/>
    <cellStyle name="20% - Accent4 4 11 2 6" xfId="8800"/>
    <cellStyle name="20% - Accent4 4 11 2 6 2" xfId="25636"/>
    <cellStyle name="20% - Accent4 4 11 2 7" xfId="25002"/>
    <cellStyle name="20% - Accent4 4 11 2 8" xfId="25628"/>
    <cellStyle name="20% - Accent4 4 11 2 9" xfId="28412"/>
    <cellStyle name="20% - Accent4 4 11 3" xfId="5341"/>
    <cellStyle name="20% - Accent4 4 11 3 2" xfId="6075"/>
    <cellStyle name="20% - Accent4 4 11 3 2 2" xfId="25638"/>
    <cellStyle name="20% - Accent4 4 11 3 3" xfId="8802"/>
    <cellStyle name="20% - Accent4 4 11 3 4" xfId="25637"/>
    <cellStyle name="20% - Accent4 4 11 4" xfId="5651"/>
    <cellStyle name="20% - Accent4 4 11 4 2" xfId="6076"/>
    <cellStyle name="20% - Accent4 4 11 4 2 2" xfId="25640"/>
    <cellStyle name="20% - Accent4 4 11 4 3" xfId="8803"/>
    <cellStyle name="20% - Accent4 4 11 4 4" xfId="25639"/>
    <cellStyle name="20% - Accent4 4 11 5" xfId="4354"/>
    <cellStyle name="20% - Accent4 4 11 5 2" xfId="6077"/>
    <cellStyle name="20% - Accent4 4 11 5 2 2" xfId="8805"/>
    <cellStyle name="20% - Accent4 4 11 5 2 2 2" xfId="25643"/>
    <cellStyle name="20% - Accent4 4 11 5 2 3" xfId="25642"/>
    <cellStyle name="20% - Accent4 4 11 5 2 4" xfId="28414"/>
    <cellStyle name="20% - Accent4 4 11 5 3" xfId="8806"/>
    <cellStyle name="20% - Accent4 4 11 5 3 2" xfId="25644"/>
    <cellStyle name="20% - Accent4 4 11 5 3 3" xfId="28415"/>
    <cellStyle name="20% - Accent4 4 11 5 4" xfId="8804"/>
    <cellStyle name="20% - Accent4 4 11 5 4 2" xfId="25645"/>
    <cellStyle name="20% - Accent4 4 11 5 5" xfId="25641"/>
    <cellStyle name="20% - Accent4 4 11 5 6" xfId="28413"/>
    <cellStyle name="20% - Accent4 4 11 6" xfId="6070"/>
    <cellStyle name="20% - Accent4 4 11 6 2" xfId="8807"/>
    <cellStyle name="20% - Accent4 4 11 6 2 2" xfId="25647"/>
    <cellStyle name="20% - Accent4 4 11 6 3" xfId="25646"/>
    <cellStyle name="20% - Accent4 4 11 6 4" xfId="28416"/>
    <cellStyle name="20% - Accent4 4 11 7" xfId="8808"/>
    <cellStyle name="20% - Accent4 4 11 7 2" xfId="25648"/>
    <cellStyle name="20% - Accent4 4 11 7 3" xfId="28417"/>
    <cellStyle name="20% - Accent4 4 11 8" xfId="8799"/>
    <cellStyle name="20% - Accent4 4 11 8 2" xfId="25649"/>
    <cellStyle name="20% - Accent4 4 11 9" xfId="24882"/>
    <cellStyle name="20% - Accent4 4 12" xfId="4356"/>
    <cellStyle name="20% - Accent4 4 12 2" xfId="5343"/>
    <cellStyle name="20% - Accent4 4 12 2 2" xfId="6079"/>
    <cellStyle name="20% - Accent4 4 12 2 2 2" xfId="25652"/>
    <cellStyle name="20% - Accent4 4 12 2 3" xfId="8810"/>
    <cellStyle name="20% - Accent4 4 12 2 4" xfId="25651"/>
    <cellStyle name="20% - Accent4 4 12 3" xfId="5653"/>
    <cellStyle name="20% - Accent4 4 12 3 2" xfId="6080"/>
    <cellStyle name="20% - Accent4 4 12 3 2 2" xfId="25654"/>
    <cellStyle name="20% - Accent4 4 12 3 3" xfId="8811"/>
    <cellStyle name="20% - Accent4 4 12 3 4" xfId="25653"/>
    <cellStyle name="20% - Accent4 4 12 4" xfId="6078"/>
    <cellStyle name="20% - Accent4 4 12 4 2" xfId="8812"/>
    <cellStyle name="20% - Accent4 4 12 4 3" xfId="25655"/>
    <cellStyle name="20% - Accent4 4 12 5" xfId="8809"/>
    <cellStyle name="20% - Accent4 4 12 5 2" xfId="25656"/>
    <cellStyle name="20% - Accent4 4 12 6" xfId="25650"/>
    <cellStyle name="20% - Accent4 4 12 7" xfId="28418"/>
    <cellStyle name="20% - Accent4 4 13" xfId="5340"/>
    <cellStyle name="20% - Accent4 4 13 2" xfId="6081"/>
    <cellStyle name="20% - Accent4 4 13 2 2" xfId="8814"/>
    <cellStyle name="20% - Accent4 4 13 2 3" xfId="25658"/>
    <cellStyle name="20% - Accent4 4 13 3" xfId="8815"/>
    <cellStyle name="20% - Accent4 4 13 4" xfId="8813"/>
    <cellStyle name="20% - Accent4 4 13 5" xfId="25657"/>
    <cellStyle name="20% - Accent4 4 14" xfId="5650"/>
    <cellStyle name="20% - Accent4 4 14 2" xfId="6082"/>
    <cellStyle name="20% - Accent4 4 14 2 2" xfId="25660"/>
    <cellStyle name="20% - Accent4 4 14 3" xfId="8816"/>
    <cellStyle name="20% - Accent4 4 14 4" xfId="25659"/>
    <cellStyle name="20% - Accent4 4 15" xfId="4352"/>
    <cellStyle name="20% - Accent4 4 15 2" xfId="6083"/>
    <cellStyle name="20% - Accent4 4 15 2 2" xfId="25662"/>
    <cellStyle name="20% - Accent4 4 15 3" xfId="8817"/>
    <cellStyle name="20% - Accent4 4 15 4" xfId="25661"/>
    <cellStyle name="20% - Accent4 4 16" xfId="8818"/>
    <cellStyle name="20% - Accent4 4 17" xfId="8819"/>
    <cellStyle name="20% - Accent4 4 17 2" xfId="8820"/>
    <cellStyle name="20% - Accent4 4 17 2 2" xfId="25664"/>
    <cellStyle name="20% - Accent4 4 17 2 3" xfId="28420"/>
    <cellStyle name="20% - Accent4 4 17 3" xfId="8821"/>
    <cellStyle name="20% - Accent4 4 17 3 2" xfId="25665"/>
    <cellStyle name="20% - Accent4 4 17 3 3" xfId="28421"/>
    <cellStyle name="20% - Accent4 4 17 4" xfId="25663"/>
    <cellStyle name="20% - Accent4 4 17 5" xfId="28419"/>
    <cellStyle name="20% - Accent4 4 18" xfId="8822"/>
    <cellStyle name="20% - Accent4 4 18 2" xfId="25666"/>
    <cellStyle name="20% - Accent4 4 18 3" xfId="28422"/>
    <cellStyle name="20% - Accent4 4 19" xfId="8823"/>
    <cellStyle name="20% - Accent4 4 19 2" xfId="25667"/>
    <cellStyle name="20% - Accent4 4 19 3" xfId="28423"/>
    <cellStyle name="20% - Accent4 4 2" xfId="1496"/>
    <cellStyle name="20% - Accent4 4 2 10" xfId="8824"/>
    <cellStyle name="20% - Accent4 4 2 10 2" xfId="8825"/>
    <cellStyle name="20% - Accent4 4 2 10 3" xfId="8826"/>
    <cellStyle name="20% - Accent4 4 2 11" xfId="8827"/>
    <cellStyle name="20% - Accent4 4 2 11 2" xfId="8828"/>
    <cellStyle name="20% - Accent4 4 2 11 3" xfId="8829"/>
    <cellStyle name="20% - Accent4 4 2 12" xfId="8830"/>
    <cellStyle name="20% - Accent4 4 2 12 2" xfId="8831"/>
    <cellStyle name="20% - Accent4 4 2 12 3" xfId="8832"/>
    <cellStyle name="20% - Accent4 4 2 13" xfId="8833"/>
    <cellStyle name="20% - Accent4 4 2 14" xfId="8834"/>
    <cellStyle name="20% - Accent4 4 2 15" xfId="8835"/>
    <cellStyle name="20% - Accent4 4 2 16" xfId="8836"/>
    <cellStyle name="20% - Accent4 4 2 2" xfId="4357"/>
    <cellStyle name="20% - Accent4 4 2 2 2" xfId="8838"/>
    <cellStyle name="20% - Accent4 4 2 2 3" xfId="8839"/>
    <cellStyle name="20% - Accent4 4 2 2 4" xfId="8837"/>
    <cellStyle name="20% - Accent4 4 2 3" xfId="8840"/>
    <cellStyle name="20% - Accent4 4 2 3 2" xfId="8841"/>
    <cellStyle name="20% - Accent4 4 2 3 3" xfId="8842"/>
    <cellStyle name="20% - Accent4 4 2 4" xfId="8843"/>
    <cellStyle name="20% - Accent4 4 2 4 2" xfId="8844"/>
    <cellStyle name="20% - Accent4 4 2 4 3" xfId="8845"/>
    <cellStyle name="20% - Accent4 4 2 5" xfId="8846"/>
    <cellStyle name="20% - Accent4 4 2 5 2" xfId="8847"/>
    <cellStyle name="20% - Accent4 4 2 5 3" xfId="8848"/>
    <cellStyle name="20% - Accent4 4 2 6" xfId="8849"/>
    <cellStyle name="20% - Accent4 4 2 6 2" xfId="8850"/>
    <cellStyle name="20% - Accent4 4 2 6 3" xfId="8851"/>
    <cellStyle name="20% - Accent4 4 2 7" xfId="8852"/>
    <cellStyle name="20% - Accent4 4 2 7 2" xfId="8853"/>
    <cellStyle name="20% - Accent4 4 2 7 3" xfId="8854"/>
    <cellStyle name="20% - Accent4 4 2 8" xfId="8855"/>
    <cellStyle name="20% - Accent4 4 2 8 2" xfId="8856"/>
    <cellStyle name="20% - Accent4 4 2 8 3" xfId="8857"/>
    <cellStyle name="20% - Accent4 4 2 9" xfId="8858"/>
    <cellStyle name="20% - Accent4 4 2 9 2" xfId="8859"/>
    <cellStyle name="20% - Accent4 4 2 9 3" xfId="8860"/>
    <cellStyle name="20% - Accent4 4 20" xfId="8794"/>
    <cellStyle name="20% - Accent4 4 20 2" xfId="25668"/>
    <cellStyle name="20% - Accent4 4 21" xfId="28410"/>
    <cellStyle name="20% - Accent4 4 3" xfId="1621"/>
    <cellStyle name="20% - Accent4 4 3 2" xfId="4358"/>
    <cellStyle name="20% - Accent4 4 3 2 2" xfId="8861"/>
    <cellStyle name="20% - Accent4 4 3 3" xfId="8862"/>
    <cellStyle name="20% - Accent4 4 3 4" xfId="8863"/>
    <cellStyle name="20% - Accent4 4 3 5" xfId="8864"/>
    <cellStyle name="20% - Accent4 4 4" xfId="1801"/>
    <cellStyle name="20% - Accent4 4 4 2" xfId="8865"/>
    <cellStyle name="20% - Accent4 4 4 3" xfId="8866"/>
    <cellStyle name="20% - Accent4 4 4 4" xfId="8867"/>
    <cellStyle name="20% - Accent4 4 5" xfId="2137"/>
    <cellStyle name="20% - Accent4 4 5 2" xfId="8868"/>
    <cellStyle name="20% - Accent4 4 5 3" xfId="8869"/>
    <cellStyle name="20% - Accent4 4 5 4" xfId="8870"/>
    <cellStyle name="20% - Accent4 4 6" xfId="2511"/>
    <cellStyle name="20% - Accent4 4 6 2" xfId="8871"/>
    <cellStyle name="20% - Accent4 4 6 3" xfId="8872"/>
    <cellStyle name="20% - Accent4 4 6 4" xfId="8873"/>
    <cellStyle name="20% - Accent4 4 7" xfId="2883"/>
    <cellStyle name="20% - Accent4 4 7 2" xfId="8874"/>
    <cellStyle name="20% - Accent4 4 7 3" xfId="8875"/>
    <cellStyle name="20% - Accent4 4 7 4" xfId="8876"/>
    <cellStyle name="20% - Accent4 4 8" xfId="3254"/>
    <cellStyle name="20% - Accent4 4 8 2" xfId="8877"/>
    <cellStyle name="20% - Accent4 4 8 3" xfId="8878"/>
    <cellStyle name="20% - Accent4 4 8 4" xfId="8879"/>
    <cellStyle name="20% - Accent4 4 9" xfId="3585"/>
    <cellStyle name="20% - Accent4 4 9 2" xfId="4359"/>
    <cellStyle name="20% - Accent4 4 9 2 2" xfId="8880"/>
    <cellStyle name="20% - Accent4 4 9 3" xfId="8881"/>
    <cellStyle name="20% - Accent4 4 9 4" xfId="8882"/>
    <cellStyle name="20% - Accent4 4 9 5" xfId="8883"/>
    <cellStyle name="20% - Accent4 5" xfId="371"/>
    <cellStyle name="20% - Accent4 5 10" xfId="8884"/>
    <cellStyle name="20% - Accent4 5 10 2" xfId="8885"/>
    <cellStyle name="20% - Accent4 5 10 3" xfId="8886"/>
    <cellStyle name="20% - Accent4 5 11" xfId="8887"/>
    <cellStyle name="20% - Accent4 5 11 2" xfId="8888"/>
    <cellStyle name="20% - Accent4 5 11 3" xfId="8889"/>
    <cellStyle name="20% - Accent4 5 12" xfId="8890"/>
    <cellStyle name="20% - Accent4 5 12 2" xfId="8891"/>
    <cellStyle name="20% - Accent4 5 12 3" xfId="8892"/>
    <cellStyle name="20% - Accent4 5 13" xfId="8893"/>
    <cellStyle name="20% - Accent4 5 13 2" xfId="8894"/>
    <cellStyle name="20% - Accent4 5 13 3" xfId="8895"/>
    <cellStyle name="20% - Accent4 5 14" xfId="8896"/>
    <cellStyle name="20% - Accent4 5 15" xfId="8897"/>
    <cellStyle name="20% - Accent4 5 16" xfId="8898"/>
    <cellStyle name="20% - Accent4 5 17" xfId="8899"/>
    <cellStyle name="20% - Accent4 5 2" xfId="1865"/>
    <cellStyle name="20% - Accent4 5 2 10" xfId="8900"/>
    <cellStyle name="20% - Accent4 5 2 10 2" xfId="8901"/>
    <cellStyle name="20% - Accent4 5 2 10 3" xfId="8902"/>
    <cellStyle name="20% - Accent4 5 2 11" xfId="8903"/>
    <cellStyle name="20% - Accent4 5 2 11 2" xfId="8904"/>
    <cellStyle name="20% - Accent4 5 2 11 3" xfId="8905"/>
    <cellStyle name="20% - Accent4 5 2 12" xfId="8906"/>
    <cellStyle name="20% - Accent4 5 2 12 2" xfId="8907"/>
    <cellStyle name="20% - Accent4 5 2 12 3" xfId="8908"/>
    <cellStyle name="20% - Accent4 5 2 13" xfId="8909"/>
    <cellStyle name="20% - Accent4 5 2 14" xfId="8910"/>
    <cellStyle name="20% - Accent4 5 2 15" xfId="8911"/>
    <cellStyle name="20% - Accent4 5 2 2" xfId="8912"/>
    <cellStyle name="20% - Accent4 5 2 2 2" xfId="8913"/>
    <cellStyle name="20% - Accent4 5 2 2 3" xfId="8914"/>
    <cellStyle name="20% - Accent4 5 2 3" xfId="8915"/>
    <cellStyle name="20% - Accent4 5 2 3 2" xfId="8916"/>
    <cellStyle name="20% - Accent4 5 2 3 3" xfId="8917"/>
    <cellStyle name="20% - Accent4 5 2 4" xfId="8918"/>
    <cellStyle name="20% - Accent4 5 2 4 2" xfId="8919"/>
    <cellStyle name="20% - Accent4 5 2 4 3" xfId="8920"/>
    <cellStyle name="20% - Accent4 5 2 5" xfId="8921"/>
    <cellStyle name="20% - Accent4 5 2 5 2" xfId="8922"/>
    <cellStyle name="20% - Accent4 5 2 5 3" xfId="8923"/>
    <cellStyle name="20% - Accent4 5 2 6" xfId="8924"/>
    <cellStyle name="20% - Accent4 5 2 6 2" xfId="8925"/>
    <cellStyle name="20% - Accent4 5 2 6 3" xfId="8926"/>
    <cellStyle name="20% - Accent4 5 2 7" xfId="8927"/>
    <cellStyle name="20% - Accent4 5 2 7 2" xfId="8928"/>
    <cellStyle name="20% - Accent4 5 2 7 3" xfId="8929"/>
    <cellStyle name="20% - Accent4 5 2 8" xfId="8930"/>
    <cellStyle name="20% - Accent4 5 2 8 2" xfId="8931"/>
    <cellStyle name="20% - Accent4 5 2 8 3" xfId="8932"/>
    <cellStyle name="20% - Accent4 5 2 9" xfId="8933"/>
    <cellStyle name="20% - Accent4 5 2 9 2" xfId="8934"/>
    <cellStyle name="20% - Accent4 5 2 9 3" xfId="8935"/>
    <cellStyle name="20% - Accent4 5 3" xfId="2240"/>
    <cellStyle name="20% - Accent4 5 3 2" xfId="8936"/>
    <cellStyle name="20% - Accent4 5 3 3" xfId="8937"/>
    <cellStyle name="20% - Accent4 5 3 4" xfId="8938"/>
    <cellStyle name="20% - Accent4 5 4" xfId="2614"/>
    <cellStyle name="20% - Accent4 5 4 2" xfId="8939"/>
    <cellStyle name="20% - Accent4 5 4 3" xfId="8940"/>
    <cellStyle name="20% - Accent4 5 4 4" xfId="8941"/>
    <cellStyle name="20% - Accent4 5 5" xfId="2986"/>
    <cellStyle name="20% - Accent4 5 5 2" xfId="8942"/>
    <cellStyle name="20% - Accent4 5 5 3" xfId="8943"/>
    <cellStyle name="20% - Accent4 5 5 4" xfId="8944"/>
    <cellStyle name="20% - Accent4 5 6" xfId="3358"/>
    <cellStyle name="20% - Accent4 5 6 2" xfId="8945"/>
    <cellStyle name="20% - Accent4 5 6 3" xfId="8946"/>
    <cellStyle name="20% - Accent4 5 6 4" xfId="8947"/>
    <cellStyle name="20% - Accent4 5 7" xfId="4360"/>
    <cellStyle name="20% - Accent4 5 7 2" xfId="8949"/>
    <cellStyle name="20% - Accent4 5 7 3" xfId="8950"/>
    <cellStyle name="20% - Accent4 5 7 4" xfId="8948"/>
    <cellStyle name="20% - Accent4 5 8" xfId="8951"/>
    <cellStyle name="20% - Accent4 5 8 2" xfId="8952"/>
    <cellStyle name="20% - Accent4 5 8 3" xfId="8953"/>
    <cellStyle name="20% - Accent4 5 9" xfId="8954"/>
    <cellStyle name="20% - Accent4 5 9 2" xfId="8955"/>
    <cellStyle name="20% - Accent4 5 9 3" xfId="8956"/>
    <cellStyle name="20% - Accent4 6" xfId="372"/>
    <cellStyle name="20% - Accent4 6 10" xfId="5344"/>
    <cellStyle name="20% - Accent4 6 10 2" xfId="6085"/>
    <cellStyle name="20% - Accent4 6 10 2 2" xfId="8959"/>
    <cellStyle name="20% - Accent4 6 10 2 3" xfId="25671"/>
    <cellStyle name="20% - Accent4 6 10 3" xfId="8960"/>
    <cellStyle name="20% - Accent4 6 10 4" xfId="8958"/>
    <cellStyle name="20% - Accent4 6 10 5" xfId="25670"/>
    <cellStyle name="20% - Accent4 6 11" xfId="5654"/>
    <cellStyle name="20% - Accent4 6 11 2" xfId="6086"/>
    <cellStyle name="20% - Accent4 6 11 2 2" xfId="8962"/>
    <cellStyle name="20% - Accent4 6 11 2 3" xfId="25673"/>
    <cellStyle name="20% - Accent4 6 11 3" xfId="8963"/>
    <cellStyle name="20% - Accent4 6 11 4" xfId="8961"/>
    <cellStyle name="20% - Accent4 6 11 5" xfId="25672"/>
    <cellStyle name="20% - Accent4 6 12" xfId="4361"/>
    <cellStyle name="20% - Accent4 6 12 2" xfId="6087"/>
    <cellStyle name="20% - Accent4 6 12 2 2" xfId="8965"/>
    <cellStyle name="20% - Accent4 6 12 2 3" xfId="25675"/>
    <cellStyle name="20% - Accent4 6 12 3" xfId="8966"/>
    <cellStyle name="20% - Accent4 6 12 4" xfId="8964"/>
    <cellStyle name="20% - Accent4 6 12 5" xfId="25674"/>
    <cellStyle name="20% - Accent4 6 13" xfId="6084"/>
    <cellStyle name="20% - Accent4 6 13 2" xfId="8967"/>
    <cellStyle name="20% - Accent4 6 13 3" xfId="25676"/>
    <cellStyle name="20% - Accent4 6 14" xfId="8968"/>
    <cellStyle name="20% - Accent4 6 15" xfId="8969"/>
    <cellStyle name="20% - Accent4 6 16" xfId="8970"/>
    <cellStyle name="20% - Accent4 6 16 2" xfId="8971"/>
    <cellStyle name="20% - Accent4 6 16 2 2" xfId="25678"/>
    <cellStyle name="20% - Accent4 6 16 2 3" xfId="28426"/>
    <cellStyle name="20% - Accent4 6 16 3" xfId="8972"/>
    <cellStyle name="20% - Accent4 6 16 3 2" xfId="25679"/>
    <cellStyle name="20% - Accent4 6 16 3 3" xfId="28427"/>
    <cellStyle name="20% - Accent4 6 16 4" xfId="25677"/>
    <cellStyle name="20% - Accent4 6 16 5" xfId="28425"/>
    <cellStyle name="20% - Accent4 6 17" xfId="8973"/>
    <cellStyle name="20% - Accent4 6 17 2" xfId="25680"/>
    <cellStyle name="20% - Accent4 6 17 3" xfId="28428"/>
    <cellStyle name="20% - Accent4 6 18" xfId="8974"/>
    <cellStyle name="20% - Accent4 6 18 2" xfId="25681"/>
    <cellStyle name="20% - Accent4 6 18 3" xfId="28429"/>
    <cellStyle name="20% - Accent4 6 19" xfId="8957"/>
    <cellStyle name="20% - Accent4 6 19 2" xfId="25682"/>
    <cellStyle name="20% - Accent4 6 2" xfId="1972"/>
    <cellStyle name="20% - Accent4 6 2 2" xfId="4362"/>
    <cellStyle name="20% - Accent4 6 2 2 2" xfId="8975"/>
    <cellStyle name="20% - Accent4 6 2 3" xfId="8976"/>
    <cellStyle name="20% - Accent4 6 2 4" xfId="8977"/>
    <cellStyle name="20% - Accent4 6 2 5" xfId="8978"/>
    <cellStyle name="20% - Accent4 6 20" xfId="24834"/>
    <cellStyle name="20% - Accent4 6 21" xfId="25669"/>
    <cellStyle name="20% - Accent4 6 22" xfId="28424"/>
    <cellStyle name="20% - Accent4 6 3" xfId="2347"/>
    <cellStyle name="20% - Accent4 6 3 2" xfId="4363"/>
    <cellStyle name="20% - Accent4 6 3 2 2" xfId="8979"/>
    <cellStyle name="20% - Accent4 6 3 3" xfId="8980"/>
    <cellStyle name="20% - Accent4 6 3 4" xfId="8981"/>
    <cellStyle name="20% - Accent4 6 3 5" xfId="8982"/>
    <cellStyle name="20% - Accent4 6 4" xfId="2720"/>
    <cellStyle name="20% - Accent4 6 4 2" xfId="4364"/>
    <cellStyle name="20% - Accent4 6 4 2 2" xfId="8983"/>
    <cellStyle name="20% - Accent4 6 4 3" xfId="8984"/>
    <cellStyle name="20% - Accent4 6 4 4" xfId="8985"/>
    <cellStyle name="20% - Accent4 6 4 5" xfId="8986"/>
    <cellStyle name="20% - Accent4 6 5" xfId="3093"/>
    <cellStyle name="20% - Accent4 6 5 2" xfId="4365"/>
    <cellStyle name="20% - Accent4 6 5 2 2" xfId="8987"/>
    <cellStyle name="20% - Accent4 6 5 3" xfId="8988"/>
    <cellStyle name="20% - Accent4 6 5 4" xfId="8989"/>
    <cellStyle name="20% - Accent4 6 5 5" xfId="8990"/>
    <cellStyle name="20% - Accent4 6 6" xfId="3464"/>
    <cellStyle name="20% - Accent4 6 6 2" xfId="4366"/>
    <cellStyle name="20% - Accent4 6 6 2 2" xfId="8991"/>
    <cellStyle name="20% - Accent4 6 6 3" xfId="8992"/>
    <cellStyle name="20% - Accent4 6 6 4" xfId="8993"/>
    <cellStyle name="20% - Accent4 6 6 5" xfId="8994"/>
    <cellStyle name="20% - Accent4 6 7" xfId="3770"/>
    <cellStyle name="20% - Accent4 6 7 2" xfId="4367"/>
    <cellStyle name="20% - Accent4 6 7 2 2" xfId="8995"/>
    <cellStyle name="20% - Accent4 6 7 3" xfId="8996"/>
    <cellStyle name="20% - Accent4 6 7 4" xfId="8997"/>
    <cellStyle name="20% - Accent4 6 7 5" xfId="8998"/>
    <cellStyle name="20% - Accent4 6 8" xfId="1367"/>
    <cellStyle name="20% - Accent4 6 8 10" xfId="25683"/>
    <cellStyle name="20% - Accent4 6 8 11" xfId="28430"/>
    <cellStyle name="20% - Accent4 6 8 2" xfId="4167"/>
    <cellStyle name="20% - Accent4 6 8 2 2" xfId="5346"/>
    <cellStyle name="20% - Accent4 6 8 2 2 2" xfId="6090"/>
    <cellStyle name="20% - Accent4 6 8 2 2 2 2" xfId="25686"/>
    <cellStyle name="20% - Accent4 6 8 2 2 3" xfId="9001"/>
    <cellStyle name="20% - Accent4 6 8 2 2 4" xfId="25685"/>
    <cellStyle name="20% - Accent4 6 8 2 3" xfId="5656"/>
    <cellStyle name="20% - Accent4 6 8 2 3 2" xfId="6091"/>
    <cellStyle name="20% - Accent4 6 8 2 3 2 2" xfId="25688"/>
    <cellStyle name="20% - Accent4 6 8 2 3 3" xfId="25687"/>
    <cellStyle name="20% - Accent4 6 8 2 4" xfId="4369"/>
    <cellStyle name="20% - Accent4 6 8 2 4 2" xfId="6092"/>
    <cellStyle name="20% - Accent4 6 8 2 4 2 2" xfId="25690"/>
    <cellStyle name="20% - Accent4 6 8 2 4 3" xfId="25689"/>
    <cellStyle name="20% - Accent4 6 8 2 5" xfId="6089"/>
    <cellStyle name="20% - Accent4 6 8 2 5 2" xfId="25691"/>
    <cellStyle name="20% - Accent4 6 8 2 6" xfId="9000"/>
    <cellStyle name="20% - Accent4 6 8 2 6 2" xfId="25692"/>
    <cellStyle name="20% - Accent4 6 8 2 7" xfId="25019"/>
    <cellStyle name="20% - Accent4 6 8 2 8" xfId="25684"/>
    <cellStyle name="20% - Accent4 6 8 2 9" xfId="28431"/>
    <cellStyle name="20% - Accent4 6 8 3" xfId="5345"/>
    <cellStyle name="20% - Accent4 6 8 3 2" xfId="6093"/>
    <cellStyle name="20% - Accent4 6 8 3 2 2" xfId="25694"/>
    <cellStyle name="20% - Accent4 6 8 3 3" xfId="9002"/>
    <cellStyle name="20% - Accent4 6 8 3 4" xfId="25693"/>
    <cellStyle name="20% - Accent4 6 8 4" xfId="5655"/>
    <cellStyle name="20% - Accent4 6 8 4 2" xfId="6094"/>
    <cellStyle name="20% - Accent4 6 8 4 2 2" xfId="25696"/>
    <cellStyle name="20% - Accent4 6 8 4 3" xfId="9003"/>
    <cellStyle name="20% - Accent4 6 8 4 4" xfId="25695"/>
    <cellStyle name="20% - Accent4 6 8 5" xfId="4368"/>
    <cellStyle name="20% - Accent4 6 8 5 2" xfId="6095"/>
    <cellStyle name="20% - Accent4 6 8 5 2 2" xfId="9005"/>
    <cellStyle name="20% - Accent4 6 8 5 2 2 2" xfId="25699"/>
    <cellStyle name="20% - Accent4 6 8 5 2 3" xfId="25698"/>
    <cellStyle name="20% - Accent4 6 8 5 2 4" xfId="28433"/>
    <cellStyle name="20% - Accent4 6 8 5 3" xfId="9006"/>
    <cellStyle name="20% - Accent4 6 8 5 3 2" xfId="25700"/>
    <cellStyle name="20% - Accent4 6 8 5 3 3" xfId="28434"/>
    <cellStyle name="20% - Accent4 6 8 5 4" xfId="9004"/>
    <cellStyle name="20% - Accent4 6 8 5 4 2" xfId="25701"/>
    <cellStyle name="20% - Accent4 6 8 5 5" xfId="25697"/>
    <cellStyle name="20% - Accent4 6 8 5 6" xfId="28432"/>
    <cellStyle name="20% - Accent4 6 8 6" xfId="6088"/>
    <cellStyle name="20% - Accent4 6 8 6 2" xfId="9007"/>
    <cellStyle name="20% - Accent4 6 8 6 2 2" xfId="25703"/>
    <cellStyle name="20% - Accent4 6 8 6 3" xfId="25702"/>
    <cellStyle name="20% - Accent4 6 8 6 4" xfId="28435"/>
    <cellStyle name="20% - Accent4 6 8 7" xfId="9008"/>
    <cellStyle name="20% - Accent4 6 8 7 2" xfId="25704"/>
    <cellStyle name="20% - Accent4 6 8 7 3" xfId="28436"/>
    <cellStyle name="20% - Accent4 6 8 8" xfId="8999"/>
    <cellStyle name="20% - Accent4 6 8 8 2" xfId="25705"/>
    <cellStyle name="20% - Accent4 6 8 9" xfId="24899"/>
    <cellStyle name="20% - Accent4 6 9" xfId="3820"/>
    <cellStyle name="20% - Accent4 6 9 2" xfId="5347"/>
    <cellStyle name="20% - Accent4 6 9 2 2" xfId="6097"/>
    <cellStyle name="20% - Accent4 6 9 2 2 2" xfId="25708"/>
    <cellStyle name="20% - Accent4 6 9 2 3" xfId="9010"/>
    <cellStyle name="20% - Accent4 6 9 2 4" xfId="25707"/>
    <cellStyle name="20% - Accent4 6 9 3" xfId="5657"/>
    <cellStyle name="20% - Accent4 6 9 3 2" xfId="6098"/>
    <cellStyle name="20% - Accent4 6 9 3 2 2" xfId="25710"/>
    <cellStyle name="20% - Accent4 6 9 3 3" xfId="9011"/>
    <cellStyle name="20% - Accent4 6 9 3 4" xfId="25709"/>
    <cellStyle name="20% - Accent4 6 9 4" xfId="4370"/>
    <cellStyle name="20% - Accent4 6 9 4 2" xfId="6099"/>
    <cellStyle name="20% - Accent4 6 9 4 2 2" xfId="25712"/>
    <cellStyle name="20% - Accent4 6 9 4 3" xfId="9012"/>
    <cellStyle name="20% - Accent4 6 9 4 4" xfId="25711"/>
    <cellStyle name="20% - Accent4 6 9 5" xfId="6096"/>
    <cellStyle name="20% - Accent4 6 9 5 2" xfId="25713"/>
    <cellStyle name="20% - Accent4 6 9 6" xfId="9009"/>
    <cellStyle name="20% - Accent4 6 9 6 2" xfId="25714"/>
    <cellStyle name="20% - Accent4 6 9 7" xfId="24956"/>
    <cellStyle name="20% - Accent4 6 9 8" xfId="25706"/>
    <cellStyle name="20% - Accent4 6 9 9" xfId="28437"/>
    <cellStyle name="20% - Accent4 7" xfId="373"/>
    <cellStyle name="20% - Accent4 7 10" xfId="9013"/>
    <cellStyle name="20% - Accent4 7 10 2" xfId="9014"/>
    <cellStyle name="20% - Accent4 7 10 3" xfId="9015"/>
    <cellStyle name="20% - Accent4 7 11" xfId="9016"/>
    <cellStyle name="20% - Accent4 7 11 2" xfId="9017"/>
    <cellStyle name="20% - Accent4 7 11 3" xfId="9018"/>
    <cellStyle name="20% - Accent4 7 12" xfId="9019"/>
    <cellStyle name="20% - Accent4 7 12 2" xfId="9020"/>
    <cellStyle name="20% - Accent4 7 12 3" xfId="9021"/>
    <cellStyle name="20% - Accent4 7 13" xfId="9022"/>
    <cellStyle name="20% - Accent4 7 14" xfId="9023"/>
    <cellStyle name="20% - Accent4 7 15" xfId="9024"/>
    <cellStyle name="20% - Accent4 7 16" xfId="9025"/>
    <cellStyle name="20% - Accent4 7 2" xfId="4371"/>
    <cellStyle name="20% - Accent4 7 2 2" xfId="9027"/>
    <cellStyle name="20% - Accent4 7 2 3" xfId="9028"/>
    <cellStyle name="20% - Accent4 7 2 4" xfId="9026"/>
    <cellStyle name="20% - Accent4 7 3" xfId="9029"/>
    <cellStyle name="20% - Accent4 7 3 2" xfId="9030"/>
    <cellStyle name="20% - Accent4 7 3 3" xfId="9031"/>
    <cellStyle name="20% - Accent4 7 4" xfId="9032"/>
    <cellStyle name="20% - Accent4 7 4 2" xfId="9033"/>
    <cellStyle name="20% - Accent4 7 4 3" xfId="9034"/>
    <cellStyle name="20% - Accent4 7 5" xfId="9035"/>
    <cellStyle name="20% - Accent4 7 5 2" xfId="9036"/>
    <cellStyle name="20% - Accent4 7 5 3" xfId="9037"/>
    <cellStyle name="20% - Accent4 7 6" xfId="9038"/>
    <cellStyle name="20% - Accent4 7 6 2" xfId="9039"/>
    <cellStyle name="20% - Accent4 7 6 3" xfId="9040"/>
    <cellStyle name="20% - Accent4 7 7" xfId="9041"/>
    <cellStyle name="20% - Accent4 7 7 2" xfId="9042"/>
    <cellStyle name="20% - Accent4 7 7 3" xfId="9043"/>
    <cellStyle name="20% - Accent4 7 8" xfId="9044"/>
    <cellStyle name="20% - Accent4 7 8 2" xfId="9045"/>
    <cellStyle name="20% - Accent4 7 8 3" xfId="9046"/>
    <cellStyle name="20% - Accent4 7 9" xfId="9047"/>
    <cellStyle name="20% - Accent4 7 9 2" xfId="9048"/>
    <cellStyle name="20% - Accent4 7 9 3" xfId="9049"/>
    <cellStyle name="20% - Accent4 8" xfId="529"/>
    <cellStyle name="20% - Accent4 8 10" xfId="24848"/>
    <cellStyle name="20% - Accent4 8 11" xfId="25715"/>
    <cellStyle name="20% - Accent4 8 12" xfId="28438"/>
    <cellStyle name="20% - Accent4 8 2" xfId="1378"/>
    <cellStyle name="20% - Accent4 8 2 10" xfId="25716"/>
    <cellStyle name="20% - Accent4 8 2 11" xfId="28439"/>
    <cellStyle name="20% - Accent4 8 2 2" xfId="4178"/>
    <cellStyle name="20% - Accent4 8 2 2 2" xfId="5350"/>
    <cellStyle name="20% - Accent4 8 2 2 2 2" xfId="6103"/>
    <cellStyle name="20% - Accent4 8 2 2 2 2 2" xfId="25719"/>
    <cellStyle name="20% - Accent4 8 2 2 2 3" xfId="9053"/>
    <cellStyle name="20% - Accent4 8 2 2 2 4" xfId="25718"/>
    <cellStyle name="20% - Accent4 8 2 2 3" xfId="5660"/>
    <cellStyle name="20% - Accent4 8 2 2 3 2" xfId="6104"/>
    <cellStyle name="20% - Accent4 8 2 2 3 2 2" xfId="25721"/>
    <cellStyle name="20% - Accent4 8 2 2 3 3" xfId="25720"/>
    <cellStyle name="20% - Accent4 8 2 2 4" xfId="4374"/>
    <cellStyle name="20% - Accent4 8 2 2 4 2" xfId="6105"/>
    <cellStyle name="20% - Accent4 8 2 2 4 2 2" xfId="25723"/>
    <cellStyle name="20% - Accent4 8 2 2 4 3" xfId="25722"/>
    <cellStyle name="20% - Accent4 8 2 2 5" xfId="6102"/>
    <cellStyle name="20% - Accent4 8 2 2 5 2" xfId="25724"/>
    <cellStyle name="20% - Accent4 8 2 2 6" xfId="9052"/>
    <cellStyle name="20% - Accent4 8 2 2 6 2" xfId="25725"/>
    <cellStyle name="20% - Accent4 8 2 2 7" xfId="25030"/>
    <cellStyle name="20% - Accent4 8 2 2 8" xfId="25717"/>
    <cellStyle name="20% - Accent4 8 2 2 9" xfId="28440"/>
    <cellStyle name="20% - Accent4 8 2 3" xfId="5349"/>
    <cellStyle name="20% - Accent4 8 2 3 2" xfId="6106"/>
    <cellStyle name="20% - Accent4 8 2 3 2 2" xfId="25727"/>
    <cellStyle name="20% - Accent4 8 2 3 3" xfId="9054"/>
    <cellStyle name="20% - Accent4 8 2 3 4" xfId="25726"/>
    <cellStyle name="20% - Accent4 8 2 4" xfId="5659"/>
    <cellStyle name="20% - Accent4 8 2 4 2" xfId="6107"/>
    <cellStyle name="20% - Accent4 8 2 4 2 2" xfId="25729"/>
    <cellStyle name="20% - Accent4 8 2 4 3" xfId="9055"/>
    <cellStyle name="20% - Accent4 8 2 4 4" xfId="25728"/>
    <cellStyle name="20% - Accent4 8 2 5" xfId="4373"/>
    <cellStyle name="20% - Accent4 8 2 5 2" xfId="6108"/>
    <cellStyle name="20% - Accent4 8 2 5 2 2" xfId="9057"/>
    <cellStyle name="20% - Accent4 8 2 5 2 2 2" xfId="25732"/>
    <cellStyle name="20% - Accent4 8 2 5 2 3" xfId="25731"/>
    <cellStyle name="20% - Accent4 8 2 5 2 4" xfId="28442"/>
    <cellStyle name="20% - Accent4 8 2 5 3" xfId="9058"/>
    <cellStyle name="20% - Accent4 8 2 5 3 2" xfId="25733"/>
    <cellStyle name="20% - Accent4 8 2 5 3 3" xfId="28443"/>
    <cellStyle name="20% - Accent4 8 2 5 4" xfId="9056"/>
    <cellStyle name="20% - Accent4 8 2 5 4 2" xfId="25734"/>
    <cellStyle name="20% - Accent4 8 2 5 5" xfId="25730"/>
    <cellStyle name="20% - Accent4 8 2 5 6" xfId="28441"/>
    <cellStyle name="20% - Accent4 8 2 6" xfId="6101"/>
    <cellStyle name="20% - Accent4 8 2 6 2" xfId="9059"/>
    <cellStyle name="20% - Accent4 8 2 6 2 2" xfId="25736"/>
    <cellStyle name="20% - Accent4 8 2 6 3" xfId="25735"/>
    <cellStyle name="20% - Accent4 8 2 6 4" xfId="28444"/>
    <cellStyle name="20% - Accent4 8 2 7" xfId="9060"/>
    <cellStyle name="20% - Accent4 8 2 7 2" xfId="25737"/>
    <cellStyle name="20% - Accent4 8 2 7 3" xfId="28445"/>
    <cellStyle name="20% - Accent4 8 2 8" xfId="9051"/>
    <cellStyle name="20% - Accent4 8 2 8 2" xfId="25738"/>
    <cellStyle name="20% - Accent4 8 2 9" xfId="24910"/>
    <cellStyle name="20% - Accent4 8 3" xfId="3834"/>
    <cellStyle name="20% - Accent4 8 3 2" xfId="5351"/>
    <cellStyle name="20% - Accent4 8 3 2 2" xfId="6110"/>
    <cellStyle name="20% - Accent4 8 3 2 2 2" xfId="25741"/>
    <cellStyle name="20% - Accent4 8 3 2 3" xfId="9062"/>
    <cellStyle name="20% - Accent4 8 3 2 4" xfId="25740"/>
    <cellStyle name="20% - Accent4 8 3 3" xfId="5661"/>
    <cellStyle name="20% - Accent4 8 3 3 2" xfId="6111"/>
    <cellStyle name="20% - Accent4 8 3 3 2 2" xfId="25743"/>
    <cellStyle name="20% - Accent4 8 3 3 3" xfId="25742"/>
    <cellStyle name="20% - Accent4 8 3 4" xfId="4375"/>
    <cellStyle name="20% - Accent4 8 3 4 2" xfId="6112"/>
    <cellStyle name="20% - Accent4 8 3 4 2 2" xfId="25745"/>
    <cellStyle name="20% - Accent4 8 3 4 3" xfId="25744"/>
    <cellStyle name="20% - Accent4 8 3 5" xfId="6109"/>
    <cellStyle name="20% - Accent4 8 3 5 2" xfId="25746"/>
    <cellStyle name="20% - Accent4 8 3 6" xfId="9061"/>
    <cellStyle name="20% - Accent4 8 3 6 2" xfId="25747"/>
    <cellStyle name="20% - Accent4 8 3 7" xfId="24970"/>
    <cellStyle name="20% - Accent4 8 3 8" xfId="25739"/>
    <cellStyle name="20% - Accent4 8 3 9" xfId="28446"/>
    <cellStyle name="20% - Accent4 8 4" xfId="5348"/>
    <cellStyle name="20% - Accent4 8 4 2" xfId="6113"/>
    <cellStyle name="20% - Accent4 8 4 2 2" xfId="25749"/>
    <cellStyle name="20% - Accent4 8 4 3" xfId="9063"/>
    <cellStyle name="20% - Accent4 8 4 4" xfId="25748"/>
    <cellStyle name="20% - Accent4 8 5" xfId="5658"/>
    <cellStyle name="20% - Accent4 8 5 2" xfId="6114"/>
    <cellStyle name="20% - Accent4 8 5 2 2" xfId="25751"/>
    <cellStyle name="20% - Accent4 8 5 3" xfId="9064"/>
    <cellStyle name="20% - Accent4 8 5 4" xfId="25750"/>
    <cellStyle name="20% - Accent4 8 6" xfId="4372"/>
    <cellStyle name="20% - Accent4 8 6 2" xfId="6115"/>
    <cellStyle name="20% - Accent4 8 6 2 2" xfId="9066"/>
    <cellStyle name="20% - Accent4 8 6 2 2 2" xfId="25754"/>
    <cellStyle name="20% - Accent4 8 6 2 3" xfId="25753"/>
    <cellStyle name="20% - Accent4 8 6 2 4" xfId="28448"/>
    <cellStyle name="20% - Accent4 8 6 3" xfId="9067"/>
    <cellStyle name="20% - Accent4 8 6 3 2" xfId="25755"/>
    <cellStyle name="20% - Accent4 8 6 3 3" xfId="28449"/>
    <cellStyle name="20% - Accent4 8 6 4" xfId="9065"/>
    <cellStyle name="20% - Accent4 8 6 4 2" xfId="25756"/>
    <cellStyle name="20% - Accent4 8 6 5" xfId="25752"/>
    <cellStyle name="20% - Accent4 8 6 6" xfId="28447"/>
    <cellStyle name="20% - Accent4 8 7" xfId="6100"/>
    <cellStyle name="20% - Accent4 8 7 2" xfId="9068"/>
    <cellStyle name="20% - Accent4 8 7 2 2" xfId="25758"/>
    <cellStyle name="20% - Accent4 8 7 3" xfId="25757"/>
    <cellStyle name="20% - Accent4 8 7 4" xfId="28450"/>
    <cellStyle name="20% - Accent4 8 8" xfId="9069"/>
    <cellStyle name="20% - Accent4 8 8 2" xfId="25759"/>
    <cellStyle name="20% - Accent4 8 8 3" xfId="28451"/>
    <cellStyle name="20% - Accent4 8 9" xfId="9050"/>
    <cellStyle name="20% - Accent4 8 9 2" xfId="25760"/>
    <cellStyle name="20% - Accent4 9" xfId="530"/>
    <cellStyle name="20% - Accent4 9 2" xfId="4376"/>
    <cellStyle name="20% - Accent4 9 2 2" xfId="9071"/>
    <cellStyle name="20% - Accent4 9 2 3" xfId="9072"/>
    <cellStyle name="20% - Accent4 9 2 4" xfId="9070"/>
    <cellStyle name="20% - Accent4 9 3" xfId="9073"/>
    <cellStyle name="20% - Accent4 9 4" xfId="9074"/>
    <cellStyle name="20% - Accent4 9 5" xfId="9075"/>
    <cellStyle name="20% - Accent4 9 6" xfId="9076"/>
    <cellStyle name="20% - Accent5" xfId="7111" builtinId="46" customBuiltin="1"/>
    <cellStyle name="20% - Accent5 10" xfId="656"/>
    <cellStyle name="20% - Accent5 10 2" xfId="4377"/>
    <cellStyle name="20% - Accent5 10 2 2" xfId="9077"/>
    <cellStyle name="20% - Accent5 10 3" xfId="9078"/>
    <cellStyle name="20% - Accent5 10 4" xfId="9079"/>
    <cellStyle name="20% - Accent5 10 5" xfId="9080"/>
    <cellStyle name="20% - Accent5 11" xfId="657"/>
    <cellStyle name="20% - Accent5 11 2" xfId="4378"/>
    <cellStyle name="20% - Accent5 11 2 2" xfId="9081"/>
    <cellStyle name="20% - Accent5 11 3" xfId="9082"/>
    <cellStyle name="20% - Accent5 11 4" xfId="9083"/>
    <cellStyle name="20% - Accent5 11 5" xfId="9084"/>
    <cellStyle name="20% - Accent5 12" xfId="810"/>
    <cellStyle name="20% - Accent5 12 2" xfId="9086"/>
    <cellStyle name="20% - Accent5 12 3" xfId="9087"/>
    <cellStyle name="20% - Accent5 12 4" xfId="9085"/>
    <cellStyle name="20% - Accent5 13" xfId="811"/>
    <cellStyle name="20% - Accent5 13 2" xfId="3849"/>
    <cellStyle name="20% - Accent5 13 2 2" xfId="6117"/>
    <cellStyle name="20% - Accent5 13 2 2 2" xfId="25763"/>
    <cellStyle name="20% - Accent5 13 2 3" xfId="9089"/>
    <cellStyle name="20% - Accent5 13 2 4" xfId="24985"/>
    <cellStyle name="20% - Accent5 13 2 5" xfId="25762"/>
    <cellStyle name="20% - Accent5 13 3" xfId="6116"/>
    <cellStyle name="20% - Accent5 13 3 2" xfId="9090"/>
    <cellStyle name="20% - Accent5 13 3 3" xfId="25764"/>
    <cellStyle name="20% - Accent5 13 4" xfId="9088"/>
    <cellStyle name="20% - Accent5 13 5" xfId="24864"/>
    <cellStyle name="20% - Accent5 13 6" xfId="25761"/>
    <cellStyle name="20% - Accent5 14" xfId="929"/>
    <cellStyle name="20% - Accent5 14 2" xfId="9092"/>
    <cellStyle name="20% - Accent5 14 3" xfId="9093"/>
    <cellStyle name="20% - Accent5 14 4" xfId="9091"/>
    <cellStyle name="20% - Accent5 15" xfId="9094"/>
    <cellStyle name="20% - Accent5 15 2" xfId="9095"/>
    <cellStyle name="20% - Accent5 15 3" xfId="9096"/>
    <cellStyle name="20% - Accent5 16" xfId="9097"/>
    <cellStyle name="20% - Accent5 16 2" xfId="9098"/>
    <cellStyle name="20% - Accent5 16 3" xfId="9099"/>
    <cellStyle name="20% - Accent5 17" xfId="9100"/>
    <cellStyle name="20% - Accent5 17 2" xfId="9101"/>
    <cellStyle name="20% - Accent5 17 3" xfId="9102"/>
    <cellStyle name="20% - Accent5 18" xfId="9103"/>
    <cellStyle name="20% - Accent5 18 2" xfId="9104"/>
    <cellStyle name="20% - Accent5 18 3" xfId="9105"/>
    <cellStyle name="20% - Accent5 19" xfId="9106"/>
    <cellStyle name="20% - Accent5 19 2" xfId="9107"/>
    <cellStyle name="20% - Accent5 2" xfId="72"/>
    <cellStyle name="20% - Accent5 2 10" xfId="1671"/>
    <cellStyle name="20% - Accent5 2 10 2" xfId="4379"/>
    <cellStyle name="20% - Accent5 2 10 2 2" xfId="9108"/>
    <cellStyle name="20% - Accent5 2 10 3" xfId="9109"/>
    <cellStyle name="20% - Accent5 2 10 4" xfId="9110"/>
    <cellStyle name="20% - Accent5 2 10 5" xfId="9111"/>
    <cellStyle name="20% - Accent5 2 11" xfId="1923"/>
    <cellStyle name="20% - Accent5 2 11 2" xfId="4380"/>
    <cellStyle name="20% - Accent5 2 11 2 2" xfId="9112"/>
    <cellStyle name="20% - Accent5 2 11 3" xfId="9113"/>
    <cellStyle name="20% - Accent5 2 11 4" xfId="9114"/>
    <cellStyle name="20% - Accent5 2 11 5" xfId="9115"/>
    <cellStyle name="20% - Accent5 2 12" xfId="2342"/>
    <cellStyle name="20% - Accent5 2 12 2" xfId="4381"/>
    <cellStyle name="20% - Accent5 2 12 2 2" xfId="9116"/>
    <cellStyle name="20% - Accent5 2 12 3" xfId="9117"/>
    <cellStyle name="20% - Accent5 2 12 4" xfId="9118"/>
    <cellStyle name="20% - Accent5 2 12 5" xfId="9119"/>
    <cellStyle name="20% - Accent5 2 13" xfId="2715"/>
    <cellStyle name="20% - Accent5 2 13 2" xfId="4382"/>
    <cellStyle name="20% - Accent5 2 13 2 2" xfId="9120"/>
    <cellStyle name="20% - Accent5 2 13 3" xfId="9121"/>
    <cellStyle name="20% - Accent5 2 13 4" xfId="9122"/>
    <cellStyle name="20% - Accent5 2 13 5" xfId="9123"/>
    <cellStyle name="20% - Accent5 2 14" xfId="3044"/>
    <cellStyle name="20% - Accent5 2 14 2" xfId="4383"/>
    <cellStyle name="20% - Accent5 2 14 2 2" xfId="9124"/>
    <cellStyle name="20% - Accent5 2 14 3" xfId="9125"/>
    <cellStyle name="20% - Accent5 2 14 4" xfId="9126"/>
    <cellStyle name="20% - Accent5 2 14 5" xfId="9127"/>
    <cellStyle name="20% - Accent5 2 15" xfId="3415"/>
    <cellStyle name="20% - Accent5 2 15 2" xfId="4384"/>
    <cellStyle name="20% - Accent5 2 15 2 2" xfId="9128"/>
    <cellStyle name="20% - Accent5 2 15 3" xfId="9129"/>
    <cellStyle name="20% - Accent5 2 16" xfId="3636"/>
    <cellStyle name="20% - Accent5 2 16 2" xfId="4385"/>
    <cellStyle name="20% - Accent5 2 16 2 2" xfId="9130"/>
    <cellStyle name="20% - Accent5 2 16 3" xfId="9131"/>
    <cellStyle name="20% - Accent5 2 17" xfId="24471"/>
    <cellStyle name="20% - Accent5 2 2" xfId="116"/>
    <cellStyle name="20% - Accent5 2 2 10" xfId="9132"/>
    <cellStyle name="20% - Accent5 2 2 10 2" xfId="9133"/>
    <cellStyle name="20% - Accent5 2 2 10 3" xfId="9134"/>
    <cellStyle name="20% - Accent5 2 2 11" xfId="9135"/>
    <cellStyle name="20% - Accent5 2 2 11 2" xfId="9136"/>
    <cellStyle name="20% - Accent5 2 2 11 3" xfId="9137"/>
    <cellStyle name="20% - Accent5 2 2 12" xfId="9138"/>
    <cellStyle name="20% - Accent5 2 2 12 2" xfId="9139"/>
    <cellStyle name="20% - Accent5 2 2 12 3" xfId="9140"/>
    <cellStyle name="20% - Accent5 2 2 13" xfId="9141"/>
    <cellStyle name="20% - Accent5 2 2 14" xfId="9142"/>
    <cellStyle name="20% - Accent5 2 2 15" xfId="9143"/>
    <cellStyle name="20% - Accent5 2 2 2" xfId="187"/>
    <cellStyle name="20% - Accent5 2 2 2 2" xfId="9144"/>
    <cellStyle name="20% - Accent5 2 2 2 3" xfId="9145"/>
    <cellStyle name="20% - Accent5 2 2 3" xfId="351"/>
    <cellStyle name="20% - Accent5 2 2 3 2" xfId="9146"/>
    <cellStyle name="20% - Accent5 2 2 3 3" xfId="9147"/>
    <cellStyle name="20% - Accent5 2 2 4" xfId="2173"/>
    <cellStyle name="20% - Accent5 2 2 4 2" xfId="9148"/>
    <cellStyle name="20% - Accent5 2 2 4 3" xfId="9149"/>
    <cellStyle name="20% - Accent5 2 2 5" xfId="2547"/>
    <cellStyle name="20% - Accent5 2 2 5 2" xfId="9150"/>
    <cellStyle name="20% - Accent5 2 2 5 3" xfId="9151"/>
    <cellStyle name="20% - Accent5 2 2 6" xfId="2919"/>
    <cellStyle name="20% - Accent5 2 2 6 2" xfId="9152"/>
    <cellStyle name="20% - Accent5 2 2 6 3" xfId="9153"/>
    <cellStyle name="20% - Accent5 2 2 7" xfId="3291"/>
    <cellStyle name="20% - Accent5 2 2 7 2" xfId="9154"/>
    <cellStyle name="20% - Accent5 2 2 7 3" xfId="9155"/>
    <cellStyle name="20% - Accent5 2 2 8" xfId="4386"/>
    <cellStyle name="20% - Accent5 2 2 8 2" xfId="9157"/>
    <cellStyle name="20% - Accent5 2 2 8 3" xfId="9158"/>
    <cellStyle name="20% - Accent5 2 2 8 4" xfId="9156"/>
    <cellStyle name="20% - Accent5 2 2 9" xfId="9159"/>
    <cellStyle name="20% - Accent5 2 2 9 2" xfId="9160"/>
    <cellStyle name="20% - Accent5 2 2 9 3" xfId="9161"/>
    <cellStyle name="20% - Accent5 2 3" xfId="281"/>
    <cellStyle name="20% - Accent5 2 3 2" xfId="1349"/>
    <cellStyle name="20% - Accent5 2 3 2 2" xfId="9162"/>
    <cellStyle name="20% - Accent5 2 3 2 3" xfId="9163"/>
    <cellStyle name="20% - Accent5 2 3 3" xfId="9164"/>
    <cellStyle name="20% - Accent5 2 3 4" xfId="9165"/>
    <cellStyle name="20% - Accent5 2 4" xfId="374"/>
    <cellStyle name="20% - Accent5 2 4 2" xfId="9166"/>
    <cellStyle name="20% - Accent5 2 4 2 2" xfId="9167"/>
    <cellStyle name="20% - Accent5 2 4 2 3" xfId="9168"/>
    <cellStyle name="20% - Accent5 2 4 3" xfId="9169"/>
    <cellStyle name="20% - Accent5 2 4 4" xfId="9170"/>
    <cellStyle name="20% - Accent5 2 5" xfId="531"/>
    <cellStyle name="20% - Accent5 2 5 2" xfId="9171"/>
    <cellStyle name="20% - Accent5 2 5 3" xfId="9172"/>
    <cellStyle name="20% - Accent5 2 6" xfId="658"/>
    <cellStyle name="20% - Accent5 2 6 2" xfId="9173"/>
    <cellStyle name="20% - Accent5 2 6 3" xfId="9174"/>
    <cellStyle name="20% - Accent5 2 7" xfId="659"/>
    <cellStyle name="20% - Accent5 2 7 2" xfId="9175"/>
    <cellStyle name="20% - Accent5 2 7 3" xfId="9176"/>
    <cellStyle name="20% - Accent5 2 8" xfId="812"/>
    <cellStyle name="20% - Accent5 2 8 2" xfId="1400"/>
    <cellStyle name="20% - Accent5 2 8 2 2" xfId="9177"/>
    <cellStyle name="20% - Accent5 2 8 3" xfId="9178"/>
    <cellStyle name="20% - Accent5 2 8 4" xfId="9179"/>
    <cellStyle name="20% - Accent5 2 8 5" xfId="9180"/>
    <cellStyle name="20% - Accent5 2 9" xfId="930"/>
    <cellStyle name="20% - Accent5 2 9 2" xfId="1440"/>
    <cellStyle name="20% - Accent5 2 9 2 2" xfId="9181"/>
    <cellStyle name="20% - Accent5 2 9 3" xfId="9182"/>
    <cellStyle name="20% - Accent5 2 9 4" xfId="9183"/>
    <cellStyle name="20% - Accent5 2 9 5" xfId="9184"/>
    <cellStyle name="20% - Accent5 20" xfId="9185"/>
    <cellStyle name="20% - Accent5 21" xfId="9186"/>
    <cellStyle name="20% - Accent5 21 2" xfId="9187"/>
    <cellStyle name="20% - Accent5 21 2 2" xfId="9188"/>
    <cellStyle name="20% - Accent5 21 2 2 2" xfId="25767"/>
    <cellStyle name="20% - Accent5 21 2 2 3" xfId="28454"/>
    <cellStyle name="20% - Accent5 21 2 3" xfId="9189"/>
    <cellStyle name="20% - Accent5 21 2 3 2" xfId="25768"/>
    <cellStyle name="20% - Accent5 21 2 3 3" xfId="28455"/>
    <cellStyle name="20% - Accent5 21 2 4" xfId="25766"/>
    <cellStyle name="20% - Accent5 21 2 5" xfId="28453"/>
    <cellStyle name="20% - Accent5 21 3" xfId="9190"/>
    <cellStyle name="20% - Accent5 21 3 2" xfId="25769"/>
    <cellStyle name="20% - Accent5 21 3 3" xfId="28456"/>
    <cellStyle name="20% - Accent5 21 4" xfId="9191"/>
    <cellStyle name="20% - Accent5 21 4 2" xfId="25770"/>
    <cellStyle name="20% - Accent5 21 4 3" xfId="28457"/>
    <cellStyle name="20% - Accent5 21 5" xfId="25765"/>
    <cellStyle name="20% - Accent5 21 6" xfId="28452"/>
    <cellStyle name="20% - Accent5 22" xfId="9192"/>
    <cellStyle name="20% - Accent5 22 2" xfId="9193"/>
    <cellStyle name="20% - Accent5 22 2 2" xfId="9194"/>
    <cellStyle name="20% - Accent5 22 2 2 2" xfId="25773"/>
    <cellStyle name="20% - Accent5 22 2 2 3" xfId="28460"/>
    <cellStyle name="20% - Accent5 22 2 3" xfId="9195"/>
    <cellStyle name="20% - Accent5 22 2 3 2" xfId="25774"/>
    <cellStyle name="20% - Accent5 22 2 3 3" xfId="28461"/>
    <cellStyle name="20% - Accent5 22 2 4" xfId="25772"/>
    <cellStyle name="20% - Accent5 22 2 5" xfId="28459"/>
    <cellStyle name="20% - Accent5 22 3" xfId="9196"/>
    <cellStyle name="20% - Accent5 22 3 2" xfId="25775"/>
    <cellStyle name="20% - Accent5 22 3 3" xfId="28462"/>
    <cellStyle name="20% - Accent5 22 4" xfId="9197"/>
    <cellStyle name="20% - Accent5 22 4 2" xfId="25776"/>
    <cellStyle name="20% - Accent5 22 4 3" xfId="28463"/>
    <cellStyle name="20% - Accent5 22 5" xfId="25771"/>
    <cellStyle name="20% - Accent5 22 6" xfId="28458"/>
    <cellStyle name="20% - Accent5 23" xfId="9198"/>
    <cellStyle name="20% - Accent5 24" xfId="9199"/>
    <cellStyle name="20% - Accent5 24 2" xfId="9200"/>
    <cellStyle name="20% - Accent5 24 2 2" xfId="9201"/>
    <cellStyle name="20% - Accent5 24 2 2 2" xfId="25779"/>
    <cellStyle name="20% - Accent5 24 2 2 3" xfId="28466"/>
    <cellStyle name="20% - Accent5 24 2 3" xfId="9202"/>
    <cellStyle name="20% - Accent5 24 2 3 2" xfId="25780"/>
    <cellStyle name="20% - Accent5 24 2 3 3" xfId="28467"/>
    <cellStyle name="20% - Accent5 24 2 4" xfId="25778"/>
    <cellStyle name="20% - Accent5 24 2 5" xfId="28465"/>
    <cellStyle name="20% - Accent5 24 3" xfId="9203"/>
    <cellStyle name="20% - Accent5 24 3 2" xfId="25781"/>
    <cellStyle name="20% - Accent5 24 3 3" xfId="28468"/>
    <cellStyle name="20% - Accent5 24 4" xfId="9204"/>
    <cellStyle name="20% - Accent5 24 4 2" xfId="25782"/>
    <cellStyle name="20% - Accent5 24 4 3" xfId="28469"/>
    <cellStyle name="20% - Accent5 24 5" xfId="25777"/>
    <cellStyle name="20% - Accent5 24 6" xfId="28464"/>
    <cellStyle name="20% - Accent5 25" xfId="9205"/>
    <cellStyle name="20% - Accent5 25 2" xfId="9206"/>
    <cellStyle name="20% - Accent5 25 2 2" xfId="9207"/>
    <cellStyle name="20% - Accent5 25 2 2 2" xfId="25785"/>
    <cellStyle name="20% - Accent5 25 2 2 3" xfId="28472"/>
    <cellStyle name="20% - Accent5 25 2 3" xfId="9208"/>
    <cellStyle name="20% - Accent5 25 2 3 2" xfId="25786"/>
    <cellStyle name="20% - Accent5 25 2 3 3" xfId="28473"/>
    <cellStyle name="20% - Accent5 25 2 4" xfId="25784"/>
    <cellStyle name="20% - Accent5 25 2 5" xfId="28471"/>
    <cellStyle name="20% - Accent5 25 3" xfId="9209"/>
    <cellStyle name="20% - Accent5 25 3 2" xfId="25787"/>
    <cellStyle name="20% - Accent5 25 3 3" xfId="28474"/>
    <cellStyle name="20% - Accent5 25 4" xfId="9210"/>
    <cellStyle name="20% - Accent5 25 4 2" xfId="25788"/>
    <cellStyle name="20% - Accent5 25 4 3" xfId="28475"/>
    <cellStyle name="20% - Accent5 25 5" xfId="25783"/>
    <cellStyle name="20% - Accent5 25 6" xfId="28470"/>
    <cellStyle name="20% - Accent5 26" xfId="9211"/>
    <cellStyle name="20% - Accent5 27" xfId="9212"/>
    <cellStyle name="20% - Accent5 27 2" xfId="9213"/>
    <cellStyle name="20% - Accent5 27 2 2" xfId="9214"/>
    <cellStyle name="20% - Accent5 27 2 2 2" xfId="25791"/>
    <cellStyle name="20% - Accent5 27 2 2 3" xfId="28478"/>
    <cellStyle name="20% - Accent5 27 2 3" xfId="9215"/>
    <cellStyle name="20% - Accent5 27 2 3 2" xfId="25792"/>
    <cellStyle name="20% - Accent5 27 2 3 3" xfId="28479"/>
    <cellStyle name="20% - Accent5 27 2 4" xfId="25790"/>
    <cellStyle name="20% - Accent5 27 2 5" xfId="28477"/>
    <cellStyle name="20% - Accent5 27 3" xfId="9216"/>
    <cellStyle name="20% - Accent5 27 3 2" xfId="25793"/>
    <cellStyle name="20% - Accent5 27 3 3" xfId="28480"/>
    <cellStyle name="20% - Accent5 27 4" xfId="9217"/>
    <cellStyle name="20% - Accent5 27 4 2" xfId="25794"/>
    <cellStyle name="20% - Accent5 27 4 3" xfId="28481"/>
    <cellStyle name="20% - Accent5 27 5" xfId="25789"/>
    <cellStyle name="20% - Accent5 27 6" xfId="28476"/>
    <cellStyle name="20% - Accent5 28" xfId="9218"/>
    <cellStyle name="20% - Accent5 28 2" xfId="9219"/>
    <cellStyle name="20% - Accent5 28 2 2" xfId="25796"/>
    <cellStyle name="20% - Accent5 28 2 3" xfId="28483"/>
    <cellStyle name="20% - Accent5 28 3" xfId="9220"/>
    <cellStyle name="20% - Accent5 28 3 2" xfId="25797"/>
    <cellStyle name="20% - Accent5 28 3 3" xfId="28484"/>
    <cellStyle name="20% - Accent5 28 4" xfId="25795"/>
    <cellStyle name="20% - Accent5 28 5" xfId="28482"/>
    <cellStyle name="20% - Accent5 29" xfId="9221"/>
    <cellStyle name="20% - Accent5 29 2" xfId="25798"/>
    <cellStyle name="20% - Accent5 29 3" xfId="28485"/>
    <cellStyle name="20% - Accent5 3" xfId="228"/>
    <cellStyle name="20% - Accent5 3 10" xfId="3679"/>
    <cellStyle name="20% - Accent5 3 10 2" xfId="4387"/>
    <cellStyle name="20% - Accent5 3 10 2 2" xfId="9222"/>
    <cellStyle name="20% - Accent5 3 10 3" xfId="9223"/>
    <cellStyle name="20% - Accent5 3 10 4" xfId="9224"/>
    <cellStyle name="20% - Accent5 3 10 5" xfId="9225"/>
    <cellStyle name="20% - Accent5 3 11" xfId="9226"/>
    <cellStyle name="20% - Accent5 3 11 2" xfId="9227"/>
    <cellStyle name="20% - Accent5 3 11 3" xfId="9228"/>
    <cellStyle name="20% - Accent5 3 12" xfId="9229"/>
    <cellStyle name="20% - Accent5 3 12 2" xfId="9230"/>
    <cellStyle name="20% - Accent5 3 12 3" xfId="9231"/>
    <cellStyle name="20% - Accent5 3 13" xfId="9232"/>
    <cellStyle name="20% - Accent5 3 13 2" xfId="9233"/>
    <cellStyle name="20% - Accent5 3 13 3" xfId="9234"/>
    <cellStyle name="20% - Accent5 3 14" xfId="9235"/>
    <cellStyle name="20% - Accent5 3 15" xfId="9236"/>
    <cellStyle name="20% - Accent5 3 2" xfId="1452"/>
    <cellStyle name="20% - Accent5 3 2 10" xfId="9237"/>
    <cellStyle name="20% - Accent5 3 2 10 2" xfId="9238"/>
    <cellStyle name="20% - Accent5 3 2 10 3" xfId="9239"/>
    <cellStyle name="20% - Accent5 3 2 11" xfId="9240"/>
    <cellStyle name="20% - Accent5 3 2 11 2" xfId="9241"/>
    <cellStyle name="20% - Accent5 3 2 11 3" xfId="9242"/>
    <cellStyle name="20% - Accent5 3 2 12" xfId="9243"/>
    <cellStyle name="20% - Accent5 3 2 12 2" xfId="9244"/>
    <cellStyle name="20% - Accent5 3 2 12 3" xfId="9245"/>
    <cellStyle name="20% - Accent5 3 2 13" xfId="9246"/>
    <cellStyle name="20% - Accent5 3 2 14" xfId="9247"/>
    <cellStyle name="20% - Accent5 3 2 15" xfId="9248"/>
    <cellStyle name="20% - Accent5 3 2 2" xfId="1839"/>
    <cellStyle name="20% - Accent5 3 2 2 2" xfId="9249"/>
    <cellStyle name="20% - Accent5 3 2 2 3" xfId="9250"/>
    <cellStyle name="20% - Accent5 3 2 3" xfId="2214"/>
    <cellStyle name="20% - Accent5 3 2 3 2" xfId="9251"/>
    <cellStyle name="20% - Accent5 3 2 3 3" xfId="9252"/>
    <cellStyle name="20% - Accent5 3 2 4" xfId="2588"/>
    <cellStyle name="20% - Accent5 3 2 4 2" xfId="9253"/>
    <cellStyle name="20% - Accent5 3 2 4 3" xfId="9254"/>
    <cellStyle name="20% - Accent5 3 2 5" xfId="2960"/>
    <cellStyle name="20% - Accent5 3 2 5 2" xfId="9255"/>
    <cellStyle name="20% - Accent5 3 2 5 3" xfId="9256"/>
    <cellStyle name="20% - Accent5 3 2 6" xfId="3332"/>
    <cellStyle name="20% - Accent5 3 2 6 2" xfId="9257"/>
    <cellStyle name="20% - Accent5 3 2 6 3" xfId="9258"/>
    <cellStyle name="20% - Accent5 3 2 7" xfId="4388"/>
    <cellStyle name="20% - Accent5 3 2 7 2" xfId="9260"/>
    <cellStyle name="20% - Accent5 3 2 7 3" xfId="9261"/>
    <cellStyle name="20% - Accent5 3 2 7 4" xfId="9259"/>
    <cellStyle name="20% - Accent5 3 2 8" xfId="9262"/>
    <cellStyle name="20% - Accent5 3 2 8 2" xfId="9263"/>
    <cellStyle name="20% - Accent5 3 2 8 3" xfId="9264"/>
    <cellStyle name="20% - Accent5 3 2 9" xfId="9265"/>
    <cellStyle name="20% - Accent5 3 2 9 2" xfId="9266"/>
    <cellStyle name="20% - Accent5 3 2 9 3" xfId="9267"/>
    <cellStyle name="20% - Accent5 3 3" xfId="1579"/>
    <cellStyle name="20% - Accent5 3 3 2" xfId="1916"/>
    <cellStyle name="20% - Accent5 3 3 3" xfId="2291"/>
    <cellStyle name="20% - Accent5 3 3 4" xfId="2664"/>
    <cellStyle name="20% - Accent5 3 3 5" xfId="3037"/>
    <cellStyle name="20% - Accent5 3 3 6" xfId="3408"/>
    <cellStyle name="20% - Accent5 3 3 7" xfId="4389"/>
    <cellStyle name="20% - Accent5 3 4" xfId="1716"/>
    <cellStyle name="20% - Accent5 3 4 2" xfId="1960"/>
    <cellStyle name="20% - Accent5 3 4 3" xfId="2335"/>
    <cellStyle name="20% - Accent5 3 4 4" xfId="2708"/>
    <cellStyle name="20% - Accent5 3 4 5" xfId="3081"/>
    <cellStyle name="20% - Accent5 3 4 6" xfId="3452"/>
    <cellStyle name="20% - Accent5 3 5" xfId="2051"/>
    <cellStyle name="20% - Accent5 3 5 2" xfId="9268"/>
    <cellStyle name="20% - Accent5 3 5 3" xfId="9269"/>
    <cellStyle name="20% - Accent5 3 5 4" xfId="9270"/>
    <cellStyle name="20% - Accent5 3 6" xfId="2425"/>
    <cellStyle name="20% - Accent5 3 6 2" xfId="9271"/>
    <cellStyle name="20% - Accent5 3 6 3" xfId="9272"/>
    <cellStyle name="20% - Accent5 3 6 4" xfId="9273"/>
    <cellStyle name="20% - Accent5 3 7" xfId="2797"/>
    <cellStyle name="20% - Accent5 3 7 2" xfId="9274"/>
    <cellStyle name="20% - Accent5 3 7 3" xfId="9275"/>
    <cellStyle name="20% - Accent5 3 7 4" xfId="9276"/>
    <cellStyle name="20% - Accent5 3 8" xfId="3168"/>
    <cellStyle name="20% - Accent5 3 8 2" xfId="9277"/>
    <cellStyle name="20% - Accent5 3 8 3" xfId="9278"/>
    <cellStyle name="20% - Accent5 3 8 4" xfId="9279"/>
    <cellStyle name="20% - Accent5 3 9" xfId="3543"/>
    <cellStyle name="20% - Accent5 3 9 2" xfId="4390"/>
    <cellStyle name="20% - Accent5 3 9 2 2" xfId="9280"/>
    <cellStyle name="20% - Accent5 3 9 3" xfId="9281"/>
    <cellStyle name="20% - Accent5 3 9 4" xfId="9282"/>
    <cellStyle name="20% - Accent5 3 9 5" xfId="9283"/>
    <cellStyle name="20% - Accent5 30" xfId="28146"/>
    <cellStyle name="20% - Accent5 4" xfId="239"/>
    <cellStyle name="20% - Accent5 4 10" xfId="3723"/>
    <cellStyle name="20% - Accent5 4 10 2" xfId="4392"/>
    <cellStyle name="20% - Accent5 4 10 2 2" xfId="9285"/>
    <cellStyle name="20% - Accent5 4 10 3" xfId="9286"/>
    <cellStyle name="20% - Accent5 4 10 4" xfId="9287"/>
    <cellStyle name="20% - Accent5 4 10 5" xfId="9288"/>
    <cellStyle name="20% - Accent5 4 11" xfId="1310"/>
    <cellStyle name="20% - Accent5 4 11 10" xfId="25799"/>
    <cellStyle name="20% - Accent5 4 11 11" xfId="28487"/>
    <cellStyle name="20% - Accent5 4 11 2" xfId="4152"/>
    <cellStyle name="20% - Accent5 4 11 2 2" xfId="5354"/>
    <cellStyle name="20% - Accent5 4 11 2 2 2" xfId="6120"/>
    <cellStyle name="20% - Accent5 4 11 2 2 2 2" xfId="25802"/>
    <cellStyle name="20% - Accent5 4 11 2 2 3" xfId="9291"/>
    <cellStyle name="20% - Accent5 4 11 2 2 4" xfId="25801"/>
    <cellStyle name="20% - Accent5 4 11 2 3" xfId="5664"/>
    <cellStyle name="20% - Accent5 4 11 2 3 2" xfId="6121"/>
    <cellStyle name="20% - Accent5 4 11 2 3 2 2" xfId="25804"/>
    <cellStyle name="20% - Accent5 4 11 2 3 3" xfId="25803"/>
    <cellStyle name="20% - Accent5 4 11 2 4" xfId="4394"/>
    <cellStyle name="20% - Accent5 4 11 2 4 2" xfId="6122"/>
    <cellStyle name="20% - Accent5 4 11 2 4 2 2" xfId="25806"/>
    <cellStyle name="20% - Accent5 4 11 2 4 3" xfId="25805"/>
    <cellStyle name="20% - Accent5 4 11 2 5" xfId="6119"/>
    <cellStyle name="20% - Accent5 4 11 2 5 2" xfId="25807"/>
    <cellStyle name="20% - Accent5 4 11 2 6" xfId="9290"/>
    <cellStyle name="20% - Accent5 4 11 2 6 2" xfId="25808"/>
    <cellStyle name="20% - Accent5 4 11 2 7" xfId="25004"/>
    <cellStyle name="20% - Accent5 4 11 2 8" xfId="25800"/>
    <cellStyle name="20% - Accent5 4 11 2 9" xfId="28488"/>
    <cellStyle name="20% - Accent5 4 11 3" xfId="5353"/>
    <cellStyle name="20% - Accent5 4 11 3 2" xfId="6123"/>
    <cellStyle name="20% - Accent5 4 11 3 2 2" xfId="25810"/>
    <cellStyle name="20% - Accent5 4 11 3 3" xfId="9292"/>
    <cellStyle name="20% - Accent5 4 11 3 4" xfId="25809"/>
    <cellStyle name="20% - Accent5 4 11 4" xfId="5663"/>
    <cellStyle name="20% - Accent5 4 11 4 2" xfId="6124"/>
    <cellStyle name="20% - Accent5 4 11 4 2 2" xfId="25812"/>
    <cellStyle name="20% - Accent5 4 11 4 3" xfId="9293"/>
    <cellStyle name="20% - Accent5 4 11 4 4" xfId="25811"/>
    <cellStyle name="20% - Accent5 4 11 5" xfId="4393"/>
    <cellStyle name="20% - Accent5 4 11 5 2" xfId="6125"/>
    <cellStyle name="20% - Accent5 4 11 5 2 2" xfId="9295"/>
    <cellStyle name="20% - Accent5 4 11 5 2 2 2" xfId="25815"/>
    <cellStyle name="20% - Accent5 4 11 5 2 3" xfId="25814"/>
    <cellStyle name="20% - Accent5 4 11 5 2 4" xfId="28490"/>
    <cellStyle name="20% - Accent5 4 11 5 3" xfId="9296"/>
    <cellStyle name="20% - Accent5 4 11 5 3 2" xfId="25816"/>
    <cellStyle name="20% - Accent5 4 11 5 3 3" xfId="28491"/>
    <cellStyle name="20% - Accent5 4 11 5 4" xfId="9294"/>
    <cellStyle name="20% - Accent5 4 11 5 4 2" xfId="25817"/>
    <cellStyle name="20% - Accent5 4 11 5 5" xfId="25813"/>
    <cellStyle name="20% - Accent5 4 11 5 6" xfId="28489"/>
    <cellStyle name="20% - Accent5 4 11 6" xfId="6118"/>
    <cellStyle name="20% - Accent5 4 11 6 2" xfId="9297"/>
    <cellStyle name="20% - Accent5 4 11 6 2 2" xfId="25819"/>
    <cellStyle name="20% - Accent5 4 11 6 3" xfId="25818"/>
    <cellStyle name="20% - Accent5 4 11 6 4" xfId="28492"/>
    <cellStyle name="20% - Accent5 4 11 7" xfId="9298"/>
    <cellStyle name="20% - Accent5 4 11 7 2" xfId="25820"/>
    <cellStyle name="20% - Accent5 4 11 7 3" xfId="28493"/>
    <cellStyle name="20% - Accent5 4 11 8" xfId="9289"/>
    <cellStyle name="20% - Accent5 4 11 8 2" xfId="25821"/>
    <cellStyle name="20% - Accent5 4 11 9" xfId="24884"/>
    <cellStyle name="20% - Accent5 4 12" xfId="4395"/>
    <cellStyle name="20% - Accent5 4 12 2" xfId="5355"/>
    <cellStyle name="20% - Accent5 4 12 2 2" xfId="6127"/>
    <cellStyle name="20% - Accent5 4 12 2 2 2" xfId="25824"/>
    <cellStyle name="20% - Accent5 4 12 2 3" xfId="9300"/>
    <cellStyle name="20% - Accent5 4 12 2 4" xfId="25823"/>
    <cellStyle name="20% - Accent5 4 12 3" xfId="5665"/>
    <cellStyle name="20% - Accent5 4 12 3 2" xfId="6128"/>
    <cellStyle name="20% - Accent5 4 12 3 2 2" xfId="25826"/>
    <cellStyle name="20% - Accent5 4 12 3 3" xfId="9301"/>
    <cellStyle name="20% - Accent5 4 12 3 4" xfId="25825"/>
    <cellStyle name="20% - Accent5 4 12 4" xfId="6126"/>
    <cellStyle name="20% - Accent5 4 12 4 2" xfId="9302"/>
    <cellStyle name="20% - Accent5 4 12 4 3" xfId="25827"/>
    <cellStyle name="20% - Accent5 4 12 5" xfId="9299"/>
    <cellStyle name="20% - Accent5 4 12 5 2" xfId="25828"/>
    <cellStyle name="20% - Accent5 4 12 6" xfId="25822"/>
    <cellStyle name="20% - Accent5 4 12 7" xfId="28494"/>
    <cellStyle name="20% - Accent5 4 13" xfId="5352"/>
    <cellStyle name="20% - Accent5 4 13 2" xfId="6129"/>
    <cellStyle name="20% - Accent5 4 13 2 2" xfId="9304"/>
    <cellStyle name="20% - Accent5 4 13 2 3" xfId="25830"/>
    <cellStyle name="20% - Accent5 4 13 3" xfId="9305"/>
    <cellStyle name="20% - Accent5 4 13 4" xfId="9303"/>
    <cellStyle name="20% - Accent5 4 13 5" xfId="25829"/>
    <cellStyle name="20% - Accent5 4 14" xfId="5662"/>
    <cellStyle name="20% - Accent5 4 14 2" xfId="6130"/>
    <cellStyle name="20% - Accent5 4 14 2 2" xfId="25832"/>
    <cellStyle name="20% - Accent5 4 14 3" xfId="9306"/>
    <cellStyle name="20% - Accent5 4 14 4" xfId="25831"/>
    <cellStyle name="20% - Accent5 4 15" xfId="4391"/>
    <cellStyle name="20% - Accent5 4 15 2" xfId="6131"/>
    <cellStyle name="20% - Accent5 4 15 2 2" xfId="25834"/>
    <cellStyle name="20% - Accent5 4 15 3" xfId="9307"/>
    <cellStyle name="20% - Accent5 4 15 4" xfId="25833"/>
    <cellStyle name="20% - Accent5 4 16" xfId="9308"/>
    <cellStyle name="20% - Accent5 4 17" xfId="9309"/>
    <cellStyle name="20% - Accent5 4 17 2" xfId="9310"/>
    <cellStyle name="20% - Accent5 4 17 2 2" xfId="25836"/>
    <cellStyle name="20% - Accent5 4 17 2 3" xfId="28496"/>
    <cellStyle name="20% - Accent5 4 17 3" xfId="9311"/>
    <cellStyle name="20% - Accent5 4 17 3 2" xfId="25837"/>
    <cellStyle name="20% - Accent5 4 17 3 3" xfId="28497"/>
    <cellStyle name="20% - Accent5 4 17 4" xfId="25835"/>
    <cellStyle name="20% - Accent5 4 17 5" xfId="28495"/>
    <cellStyle name="20% - Accent5 4 18" xfId="9312"/>
    <cellStyle name="20% - Accent5 4 18 2" xfId="25838"/>
    <cellStyle name="20% - Accent5 4 18 3" xfId="28498"/>
    <cellStyle name="20% - Accent5 4 19" xfId="9313"/>
    <cellStyle name="20% - Accent5 4 19 2" xfId="25839"/>
    <cellStyle name="20% - Accent5 4 19 3" xfId="28499"/>
    <cellStyle name="20% - Accent5 4 2" xfId="1497"/>
    <cellStyle name="20% - Accent5 4 2 10" xfId="9314"/>
    <cellStyle name="20% - Accent5 4 2 10 2" xfId="9315"/>
    <cellStyle name="20% - Accent5 4 2 10 3" xfId="9316"/>
    <cellStyle name="20% - Accent5 4 2 11" xfId="9317"/>
    <cellStyle name="20% - Accent5 4 2 11 2" xfId="9318"/>
    <cellStyle name="20% - Accent5 4 2 11 3" xfId="9319"/>
    <cellStyle name="20% - Accent5 4 2 12" xfId="9320"/>
    <cellStyle name="20% - Accent5 4 2 12 2" xfId="9321"/>
    <cellStyle name="20% - Accent5 4 2 12 3" xfId="9322"/>
    <cellStyle name="20% - Accent5 4 2 13" xfId="9323"/>
    <cellStyle name="20% - Accent5 4 2 14" xfId="9324"/>
    <cellStyle name="20% - Accent5 4 2 15" xfId="9325"/>
    <cellStyle name="20% - Accent5 4 2 16" xfId="9326"/>
    <cellStyle name="20% - Accent5 4 2 2" xfId="4396"/>
    <cellStyle name="20% - Accent5 4 2 2 2" xfId="9328"/>
    <cellStyle name="20% - Accent5 4 2 2 3" xfId="9329"/>
    <cellStyle name="20% - Accent5 4 2 2 4" xfId="9327"/>
    <cellStyle name="20% - Accent5 4 2 3" xfId="9330"/>
    <cellStyle name="20% - Accent5 4 2 3 2" xfId="9331"/>
    <cellStyle name="20% - Accent5 4 2 3 3" xfId="9332"/>
    <cellStyle name="20% - Accent5 4 2 4" xfId="9333"/>
    <cellStyle name="20% - Accent5 4 2 4 2" xfId="9334"/>
    <cellStyle name="20% - Accent5 4 2 4 3" xfId="9335"/>
    <cellStyle name="20% - Accent5 4 2 5" xfId="9336"/>
    <cellStyle name="20% - Accent5 4 2 5 2" xfId="9337"/>
    <cellStyle name="20% - Accent5 4 2 5 3" xfId="9338"/>
    <cellStyle name="20% - Accent5 4 2 6" xfId="9339"/>
    <cellStyle name="20% - Accent5 4 2 6 2" xfId="9340"/>
    <cellStyle name="20% - Accent5 4 2 6 3" xfId="9341"/>
    <cellStyle name="20% - Accent5 4 2 7" xfId="9342"/>
    <cellStyle name="20% - Accent5 4 2 7 2" xfId="9343"/>
    <cellStyle name="20% - Accent5 4 2 7 3" xfId="9344"/>
    <cellStyle name="20% - Accent5 4 2 8" xfId="9345"/>
    <cellStyle name="20% - Accent5 4 2 8 2" xfId="9346"/>
    <cellStyle name="20% - Accent5 4 2 8 3" xfId="9347"/>
    <cellStyle name="20% - Accent5 4 2 9" xfId="9348"/>
    <cellStyle name="20% - Accent5 4 2 9 2" xfId="9349"/>
    <cellStyle name="20% - Accent5 4 2 9 3" xfId="9350"/>
    <cellStyle name="20% - Accent5 4 20" xfId="9284"/>
    <cellStyle name="20% - Accent5 4 20 2" xfId="25840"/>
    <cellStyle name="20% - Accent5 4 21" xfId="28486"/>
    <cellStyle name="20% - Accent5 4 3" xfId="1622"/>
    <cellStyle name="20% - Accent5 4 3 2" xfId="4397"/>
    <cellStyle name="20% - Accent5 4 3 2 2" xfId="9351"/>
    <cellStyle name="20% - Accent5 4 3 3" xfId="9352"/>
    <cellStyle name="20% - Accent5 4 3 4" xfId="9353"/>
    <cellStyle name="20% - Accent5 4 3 5" xfId="9354"/>
    <cellStyle name="20% - Accent5 4 4" xfId="1800"/>
    <cellStyle name="20% - Accent5 4 4 2" xfId="9355"/>
    <cellStyle name="20% - Accent5 4 4 3" xfId="9356"/>
    <cellStyle name="20% - Accent5 4 4 4" xfId="9357"/>
    <cellStyle name="20% - Accent5 4 5" xfId="2136"/>
    <cellStyle name="20% - Accent5 4 5 2" xfId="9358"/>
    <cellStyle name="20% - Accent5 4 5 3" xfId="9359"/>
    <cellStyle name="20% - Accent5 4 5 4" xfId="9360"/>
    <cellStyle name="20% - Accent5 4 6" xfId="2510"/>
    <cellStyle name="20% - Accent5 4 6 2" xfId="9361"/>
    <cellStyle name="20% - Accent5 4 6 3" xfId="9362"/>
    <cellStyle name="20% - Accent5 4 6 4" xfId="9363"/>
    <cellStyle name="20% - Accent5 4 7" xfId="2882"/>
    <cellStyle name="20% - Accent5 4 7 2" xfId="9364"/>
    <cellStyle name="20% - Accent5 4 7 3" xfId="9365"/>
    <cellStyle name="20% - Accent5 4 7 4" xfId="9366"/>
    <cellStyle name="20% - Accent5 4 8" xfId="3253"/>
    <cellStyle name="20% - Accent5 4 8 2" xfId="9367"/>
    <cellStyle name="20% - Accent5 4 8 3" xfId="9368"/>
    <cellStyle name="20% - Accent5 4 8 4" xfId="9369"/>
    <cellStyle name="20% - Accent5 4 9" xfId="3586"/>
    <cellStyle name="20% - Accent5 4 9 2" xfId="4398"/>
    <cellStyle name="20% - Accent5 4 9 2 2" xfId="9370"/>
    <cellStyle name="20% - Accent5 4 9 3" xfId="9371"/>
    <cellStyle name="20% - Accent5 4 9 4" xfId="9372"/>
    <cellStyle name="20% - Accent5 4 9 5" xfId="9373"/>
    <cellStyle name="20% - Accent5 5" xfId="375"/>
    <cellStyle name="20% - Accent5 5 10" xfId="9374"/>
    <cellStyle name="20% - Accent5 5 10 2" xfId="9375"/>
    <cellStyle name="20% - Accent5 5 10 3" xfId="9376"/>
    <cellStyle name="20% - Accent5 5 11" xfId="9377"/>
    <cellStyle name="20% - Accent5 5 11 2" xfId="9378"/>
    <cellStyle name="20% - Accent5 5 11 3" xfId="9379"/>
    <cellStyle name="20% - Accent5 5 12" xfId="9380"/>
    <cellStyle name="20% - Accent5 5 12 2" xfId="9381"/>
    <cellStyle name="20% - Accent5 5 12 3" xfId="9382"/>
    <cellStyle name="20% - Accent5 5 13" xfId="9383"/>
    <cellStyle name="20% - Accent5 5 13 2" xfId="9384"/>
    <cellStyle name="20% - Accent5 5 13 3" xfId="9385"/>
    <cellStyle name="20% - Accent5 5 14" xfId="9386"/>
    <cellStyle name="20% - Accent5 5 15" xfId="9387"/>
    <cellStyle name="20% - Accent5 5 16" xfId="9388"/>
    <cellStyle name="20% - Accent5 5 17" xfId="9389"/>
    <cellStyle name="20% - Accent5 5 2" xfId="1864"/>
    <cellStyle name="20% - Accent5 5 2 10" xfId="9390"/>
    <cellStyle name="20% - Accent5 5 2 10 2" xfId="9391"/>
    <cellStyle name="20% - Accent5 5 2 10 3" xfId="9392"/>
    <cellStyle name="20% - Accent5 5 2 11" xfId="9393"/>
    <cellStyle name="20% - Accent5 5 2 11 2" xfId="9394"/>
    <cellStyle name="20% - Accent5 5 2 11 3" xfId="9395"/>
    <cellStyle name="20% - Accent5 5 2 12" xfId="9396"/>
    <cellStyle name="20% - Accent5 5 2 12 2" xfId="9397"/>
    <cellStyle name="20% - Accent5 5 2 12 3" xfId="9398"/>
    <cellStyle name="20% - Accent5 5 2 13" xfId="9399"/>
    <cellStyle name="20% - Accent5 5 2 14" xfId="9400"/>
    <cellStyle name="20% - Accent5 5 2 15" xfId="9401"/>
    <cellStyle name="20% - Accent5 5 2 2" xfId="9402"/>
    <cellStyle name="20% - Accent5 5 2 2 2" xfId="9403"/>
    <cellStyle name="20% - Accent5 5 2 2 3" xfId="9404"/>
    <cellStyle name="20% - Accent5 5 2 3" xfId="9405"/>
    <cellStyle name="20% - Accent5 5 2 3 2" xfId="9406"/>
    <cellStyle name="20% - Accent5 5 2 3 3" xfId="9407"/>
    <cellStyle name="20% - Accent5 5 2 4" xfId="9408"/>
    <cellStyle name="20% - Accent5 5 2 4 2" xfId="9409"/>
    <cellStyle name="20% - Accent5 5 2 4 3" xfId="9410"/>
    <cellStyle name="20% - Accent5 5 2 5" xfId="9411"/>
    <cellStyle name="20% - Accent5 5 2 5 2" xfId="9412"/>
    <cellStyle name="20% - Accent5 5 2 5 3" xfId="9413"/>
    <cellStyle name="20% - Accent5 5 2 6" xfId="9414"/>
    <cellStyle name="20% - Accent5 5 2 6 2" xfId="9415"/>
    <cellStyle name="20% - Accent5 5 2 6 3" xfId="9416"/>
    <cellStyle name="20% - Accent5 5 2 7" xfId="9417"/>
    <cellStyle name="20% - Accent5 5 2 7 2" xfId="9418"/>
    <cellStyle name="20% - Accent5 5 2 7 3" xfId="9419"/>
    <cellStyle name="20% - Accent5 5 2 8" xfId="9420"/>
    <cellStyle name="20% - Accent5 5 2 8 2" xfId="9421"/>
    <cellStyle name="20% - Accent5 5 2 8 3" xfId="9422"/>
    <cellStyle name="20% - Accent5 5 2 9" xfId="9423"/>
    <cellStyle name="20% - Accent5 5 2 9 2" xfId="9424"/>
    <cellStyle name="20% - Accent5 5 2 9 3" xfId="9425"/>
    <cellStyle name="20% - Accent5 5 3" xfId="2239"/>
    <cellStyle name="20% - Accent5 5 3 2" xfId="9426"/>
    <cellStyle name="20% - Accent5 5 3 3" xfId="9427"/>
    <cellStyle name="20% - Accent5 5 3 4" xfId="9428"/>
    <cellStyle name="20% - Accent5 5 4" xfId="2613"/>
    <cellStyle name="20% - Accent5 5 4 2" xfId="9429"/>
    <cellStyle name="20% - Accent5 5 4 3" xfId="9430"/>
    <cellStyle name="20% - Accent5 5 4 4" xfId="9431"/>
    <cellStyle name="20% - Accent5 5 5" xfId="2985"/>
    <cellStyle name="20% - Accent5 5 5 2" xfId="9432"/>
    <cellStyle name="20% - Accent5 5 5 3" xfId="9433"/>
    <cellStyle name="20% - Accent5 5 5 4" xfId="9434"/>
    <cellStyle name="20% - Accent5 5 6" xfId="3357"/>
    <cellStyle name="20% - Accent5 5 6 2" xfId="9435"/>
    <cellStyle name="20% - Accent5 5 6 3" xfId="9436"/>
    <cellStyle name="20% - Accent5 5 6 4" xfId="9437"/>
    <cellStyle name="20% - Accent5 5 7" xfId="4399"/>
    <cellStyle name="20% - Accent5 5 7 2" xfId="9439"/>
    <cellStyle name="20% - Accent5 5 7 3" xfId="9440"/>
    <cellStyle name="20% - Accent5 5 7 4" xfId="9438"/>
    <cellStyle name="20% - Accent5 5 8" xfId="9441"/>
    <cellStyle name="20% - Accent5 5 8 2" xfId="9442"/>
    <cellStyle name="20% - Accent5 5 8 3" xfId="9443"/>
    <cellStyle name="20% - Accent5 5 9" xfId="9444"/>
    <cellStyle name="20% - Accent5 5 9 2" xfId="9445"/>
    <cellStyle name="20% - Accent5 5 9 3" xfId="9446"/>
    <cellStyle name="20% - Accent5 6" xfId="376"/>
    <cellStyle name="20% - Accent5 6 10" xfId="5356"/>
    <cellStyle name="20% - Accent5 6 10 2" xfId="6133"/>
    <cellStyle name="20% - Accent5 6 10 2 2" xfId="9449"/>
    <cellStyle name="20% - Accent5 6 10 2 3" xfId="25843"/>
    <cellStyle name="20% - Accent5 6 10 3" xfId="9450"/>
    <cellStyle name="20% - Accent5 6 10 4" xfId="9448"/>
    <cellStyle name="20% - Accent5 6 10 5" xfId="25842"/>
    <cellStyle name="20% - Accent5 6 11" xfId="5666"/>
    <cellStyle name="20% - Accent5 6 11 2" xfId="6134"/>
    <cellStyle name="20% - Accent5 6 11 2 2" xfId="9452"/>
    <cellStyle name="20% - Accent5 6 11 2 3" xfId="25845"/>
    <cellStyle name="20% - Accent5 6 11 3" xfId="9453"/>
    <cellStyle name="20% - Accent5 6 11 4" xfId="9451"/>
    <cellStyle name="20% - Accent5 6 11 5" xfId="25844"/>
    <cellStyle name="20% - Accent5 6 12" xfId="4400"/>
    <cellStyle name="20% - Accent5 6 12 2" xfId="6135"/>
    <cellStyle name="20% - Accent5 6 12 2 2" xfId="9455"/>
    <cellStyle name="20% - Accent5 6 12 2 3" xfId="25847"/>
    <cellStyle name="20% - Accent5 6 12 3" xfId="9456"/>
    <cellStyle name="20% - Accent5 6 12 4" xfId="9454"/>
    <cellStyle name="20% - Accent5 6 12 5" xfId="25846"/>
    <cellStyle name="20% - Accent5 6 13" xfId="6132"/>
    <cellStyle name="20% - Accent5 6 13 2" xfId="9457"/>
    <cellStyle name="20% - Accent5 6 13 3" xfId="25848"/>
    <cellStyle name="20% - Accent5 6 14" xfId="9458"/>
    <cellStyle name="20% - Accent5 6 15" xfId="9459"/>
    <cellStyle name="20% - Accent5 6 16" xfId="9460"/>
    <cellStyle name="20% - Accent5 6 16 2" xfId="9461"/>
    <cellStyle name="20% - Accent5 6 16 2 2" xfId="25850"/>
    <cellStyle name="20% - Accent5 6 16 2 3" xfId="28502"/>
    <cellStyle name="20% - Accent5 6 16 3" xfId="9462"/>
    <cellStyle name="20% - Accent5 6 16 3 2" xfId="25851"/>
    <cellStyle name="20% - Accent5 6 16 3 3" xfId="28503"/>
    <cellStyle name="20% - Accent5 6 16 4" xfId="25849"/>
    <cellStyle name="20% - Accent5 6 16 5" xfId="28501"/>
    <cellStyle name="20% - Accent5 6 17" xfId="9463"/>
    <cellStyle name="20% - Accent5 6 17 2" xfId="25852"/>
    <cellStyle name="20% - Accent5 6 17 3" xfId="28504"/>
    <cellStyle name="20% - Accent5 6 18" xfId="9464"/>
    <cellStyle name="20% - Accent5 6 18 2" xfId="25853"/>
    <cellStyle name="20% - Accent5 6 18 3" xfId="28505"/>
    <cellStyle name="20% - Accent5 6 19" xfId="9447"/>
    <cellStyle name="20% - Accent5 6 19 2" xfId="25854"/>
    <cellStyle name="20% - Accent5 6 2" xfId="1973"/>
    <cellStyle name="20% - Accent5 6 2 2" xfId="4401"/>
    <cellStyle name="20% - Accent5 6 2 2 2" xfId="9465"/>
    <cellStyle name="20% - Accent5 6 2 3" xfId="9466"/>
    <cellStyle name="20% - Accent5 6 2 4" xfId="9467"/>
    <cellStyle name="20% - Accent5 6 2 5" xfId="9468"/>
    <cellStyle name="20% - Accent5 6 20" xfId="24835"/>
    <cellStyle name="20% - Accent5 6 21" xfId="25841"/>
    <cellStyle name="20% - Accent5 6 22" xfId="28500"/>
    <cellStyle name="20% - Accent5 6 3" xfId="2348"/>
    <cellStyle name="20% - Accent5 6 3 2" xfId="4402"/>
    <cellStyle name="20% - Accent5 6 3 2 2" xfId="9469"/>
    <cellStyle name="20% - Accent5 6 3 3" xfId="9470"/>
    <cellStyle name="20% - Accent5 6 3 4" xfId="9471"/>
    <cellStyle name="20% - Accent5 6 3 5" xfId="9472"/>
    <cellStyle name="20% - Accent5 6 4" xfId="2721"/>
    <cellStyle name="20% - Accent5 6 4 2" xfId="4403"/>
    <cellStyle name="20% - Accent5 6 4 2 2" xfId="9473"/>
    <cellStyle name="20% - Accent5 6 4 3" xfId="9474"/>
    <cellStyle name="20% - Accent5 6 4 4" xfId="9475"/>
    <cellStyle name="20% - Accent5 6 4 5" xfId="9476"/>
    <cellStyle name="20% - Accent5 6 5" xfId="3094"/>
    <cellStyle name="20% - Accent5 6 5 2" xfId="4404"/>
    <cellStyle name="20% - Accent5 6 5 2 2" xfId="9477"/>
    <cellStyle name="20% - Accent5 6 5 3" xfId="9478"/>
    <cellStyle name="20% - Accent5 6 5 4" xfId="9479"/>
    <cellStyle name="20% - Accent5 6 5 5" xfId="9480"/>
    <cellStyle name="20% - Accent5 6 6" xfId="3465"/>
    <cellStyle name="20% - Accent5 6 6 2" xfId="4405"/>
    <cellStyle name="20% - Accent5 6 6 2 2" xfId="9481"/>
    <cellStyle name="20% - Accent5 6 6 3" xfId="9482"/>
    <cellStyle name="20% - Accent5 6 6 4" xfId="9483"/>
    <cellStyle name="20% - Accent5 6 6 5" xfId="9484"/>
    <cellStyle name="20% - Accent5 6 7" xfId="3771"/>
    <cellStyle name="20% - Accent5 6 7 2" xfId="4406"/>
    <cellStyle name="20% - Accent5 6 7 2 2" xfId="9485"/>
    <cellStyle name="20% - Accent5 6 7 3" xfId="9486"/>
    <cellStyle name="20% - Accent5 6 7 4" xfId="9487"/>
    <cellStyle name="20% - Accent5 6 7 5" xfId="9488"/>
    <cellStyle name="20% - Accent5 6 8" xfId="1369"/>
    <cellStyle name="20% - Accent5 6 8 10" xfId="25855"/>
    <cellStyle name="20% - Accent5 6 8 11" xfId="28506"/>
    <cellStyle name="20% - Accent5 6 8 2" xfId="4169"/>
    <cellStyle name="20% - Accent5 6 8 2 2" xfId="5358"/>
    <cellStyle name="20% - Accent5 6 8 2 2 2" xfId="6138"/>
    <cellStyle name="20% - Accent5 6 8 2 2 2 2" xfId="25858"/>
    <cellStyle name="20% - Accent5 6 8 2 2 3" xfId="9491"/>
    <cellStyle name="20% - Accent5 6 8 2 2 4" xfId="25857"/>
    <cellStyle name="20% - Accent5 6 8 2 3" xfId="5668"/>
    <cellStyle name="20% - Accent5 6 8 2 3 2" xfId="6139"/>
    <cellStyle name="20% - Accent5 6 8 2 3 2 2" xfId="25860"/>
    <cellStyle name="20% - Accent5 6 8 2 3 3" xfId="25859"/>
    <cellStyle name="20% - Accent5 6 8 2 4" xfId="4408"/>
    <cellStyle name="20% - Accent5 6 8 2 4 2" xfId="6140"/>
    <cellStyle name="20% - Accent5 6 8 2 4 2 2" xfId="25862"/>
    <cellStyle name="20% - Accent5 6 8 2 4 3" xfId="25861"/>
    <cellStyle name="20% - Accent5 6 8 2 5" xfId="6137"/>
    <cellStyle name="20% - Accent5 6 8 2 5 2" xfId="25863"/>
    <cellStyle name="20% - Accent5 6 8 2 6" xfId="9490"/>
    <cellStyle name="20% - Accent5 6 8 2 6 2" xfId="25864"/>
    <cellStyle name="20% - Accent5 6 8 2 7" xfId="25021"/>
    <cellStyle name="20% - Accent5 6 8 2 8" xfId="25856"/>
    <cellStyle name="20% - Accent5 6 8 2 9" xfId="28507"/>
    <cellStyle name="20% - Accent5 6 8 3" xfId="5357"/>
    <cellStyle name="20% - Accent5 6 8 3 2" xfId="6141"/>
    <cellStyle name="20% - Accent5 6 8 3 2 2" xfId="25866"/>
    <cellStyle name="20% - Accent5 6 8 3 3" xfId="9492"/>
    <cellStyle name="20% - Accent5 6 8 3 4" xfId="25865"/>
    <cellStyle name="20% - Accent5 6 8 4" xfId="5667"/>
    <cellStyle name="20% - Accent5 6 8 4 2" xfId="6142"/>
    <cellStyle name="20% - Accent5 6 8 4 2 2" xfId="25868"/>
    <cellStyle name="20% - Accent5 6 8 4 3" xfId="9493"/>
    <cellStyle name="20% - Accent5 6 8 4 4" xfId="25867"/>
    <cellStyle name="20% - Accent5 6 8 5" xfId="4407"/>
    <cellStyle name="20% - Accent5 6 8 5 2" xfId="6143"/>
    <cellStyle name="20% - Accent5 6 8 5 2 2" xfId="9495"/>
    <cellStyle name="20% - Accent5 6 8 5 2 2 2" xfId="25871"/>
    <cellStyle name="20% - Accent5 6 8 5 2 3" xfId="25870"/>
    <cellStyle name="20% - Accent5 6 8 5 2 4" xfId="28509"/>
    <cellStyle name="20% - Accent5 6 8 5 3" xfId="9496"/>
    <cellStyle name="20% - Accent5 6 8 5 3 2" xfId="25872"/>
    <cellStyle name="20% - Accent5 6 8 5 3 3" xfId="28510"/>
    <cellStyle name="20% - Accent5 6 8 5 4" xfId="9494"/>
    <cellStyle name="20% - Accent5 6 8 5 4 2" xfId="25873"/>
    <cellStyle name="20% - Accent5 6 8 5 5" xfId="25869"/>
    <cellStyle name="20% - Accent5 6 8 5 6" xfId="28508"/>
    <cellStyle name="20% - Accent5 6 8 6" xfId="6136"/>
    <cellStyle name="20% - Accent5 6 8 6 2" xfId="9497"/>
    <cellStyle name="20% - Accent5 6 8 6 2 2" xfId="25875"/>
    <cellStyle name="20% - Accent5 6 8 6 3" xfId="25874"/>
    <cellStyle name="20% - Accent5 6 8 6 4" xfId="28511"/>
    <cellStyle name="20% - Accent5 6 8 7" xfId="9498"/>
    <cellStyle name="20% - Accent5 6 8 7 2" xfId="25876"/>
    <cellStyle name="20% - Accent5 6 8 7 3" xfId="28512"/>
    <cellStyle name="20% - Accent5 6 8 8" xfId="9489"/>
    <cellStyle name="20% - Accent5 6 8 8 2" xfId="25877"/>
    <cellStyle name="20% - Accent5 6 8 9" xfId="24901"/>
    <cellStyle name="20% - Accent5 6 9" xfId="3821"/>
    <cellStyle name="20% - Accent5 6 9 2" xfId="5359"/>
    <cellStyle name="20% - Accent5 6 9 2 2" xfId="6145"/>
    <cellStyle name="20% - Accent5 6 9 2 2 2" xfId="25880"/>
    <cellStyle name="20% - Accent5 6 9 2 3" xfId="9500"/>
    <cellStyle name="20% - Accent5 6 9 2 4" xfId="25879"/>
    <cellStyle name="20% - Accent5 6 9 3" xfId="5669"/>
    <cellStyle name="20% - Accent5 6 9 3 2" xfId="6146"/>
    <cellStyle name="20% - Accent5 6 9 3 2 2" xfId="25882"/>
    <cellStyle name="20% - Accent5 6 9 3 3" xfId="9501"/>
    <cellStyle name="20% - Accent5 6 9 3 4" xfId="25881"/>
    <cellStyle name="20% - Accent5 6 9 4" xfId="4409"/>
    <cellStyle name="20% - Accent5 6 9 4 2" xfId="6147"/>
    <cellStyle name="20% - Accent5 6 9 4 2 2" xfId="25884"/>
    <cellStyle name="20% - Accent5 6 9 4 3" xfId="9502"/>
    <cellStyle name="20% - Accent5 6 9 4 4" xfId="25883"/>
    <cellStyle name="20% - Accent5 6 9 5" xfId="6144"/>
    <cellStyle name="20% - Accent5 6 9 5 2" xfId="25885"/>
    <cellStyle name="20% - Accent5 6 9 6" xfId="9499"/>
    <cellStyle name="20% - Accent5 6 9 6 2" xfId="25886"/>
    <cellStyle name="20% - Accent5 6 9 7" xfId="24957"/>
    <cellStyle name="20% - Accent5 6 9 8" xfId="25878"/>
    <cellStyle name="20% - Accent5 6 9 9" xfId="28513"/>
    <cellStyle name="20% - Accent5 7" xfId="377"/>
    <cellStyle name="20% - Accent5 7 10" xfId="9503"/>
    <cellStyle name="20% - Accent5 7 10 2" xfId="9504"/>
    <cellStyle name="20% - Accent5 7 10 3" xfId="9505"/>
    <cellStyle name="20% - Accent5 7 11" xfId="9506"/>
    <cellStyle name="20% - Accent5 7 11 2" xfId="9507"/>
    <cellStyle name="20% - Accent5 7 11 3" xfId="9508"/>
    <cellStyle name="20% - Accent5 7 12" xfId="9509"/>
    <cellStyle name="20% - Accent5 7 12 2" xfId="9510"/>
    <cellStyle name="20% - Accent5 7 12 3" xfId="9511"/>
    <cellStyle name="20% - Accent5 7 13" xfId="9512"/>
    <cellStyle name="20% - Accent5 7 14" xfId="9513"/>
    <cellStyle name="20% - Accent5 7 15" xfId="9514"/>
    <cellStyle name="20% - Accent5 7 16" xfId="9515"/>
    <cellStyle name="20% - Accent5 7 2" xfId="4410"/>
    <cellStyle name="20% - Accent5 7 2 2" xfId="9517"/>
    <cellStyle name="20% - Accent5 7 2 3" xfId="9518"/>
    <cellStyle name="20% - Accent5 7 2 4" xfId="9516"/>
    <cellStyle name="20% - Accent5 7 3" xfId="9519"/>
    <cellStyle name="20% - Accent5 7 3 2" xfId="9520"/>
    <cellStyle name="20% - Accent5 7 3 3" xfId="9521"/>
    <cellStyle name="20% - Accent5 7 4" xfId="9522"/>
    <cellStyle name="20% - Accent5 7 4 2" xfId="9523"/>
    <cellStyle name="20% - Accent5 7 4 3" xfId="9524"/>
    <cellStyle name="20% - Accent5 7 5" xfId="9525"/>
    <cellStyle name="20% - Accent5 7 5 2" xfId="9526"/>
    <cellStyle name="20% - Accent5 7 5 3" xfId="9527"/>
    <cellStyle name="20% - Accent5 7 6" xfId="9528"/>
    <cellStyle name="20% - Accent5 7 6 2" xfId="9529"/>
    <cellStyle name="20% - Accent5 7 6 3" xfId="9530"/>
    <cellStyle name="20% - Accent5 7 7" xfId="9531"/>
    <cellStyle name="20% - Accent5 7 7 2" xfId="9532"/>
    <cellStyle name="20% - Accent5 7 7 3" xfId="9533"/>
    <cellStyle name="20% - Accent5 7 8" xfId="9534"/>
    <cellStyle name="20% - Accent5 7 8 2" xfId="9535"/>
    <cellStyle name="20% - Accent5 7 8 3" xfId="9536"/>
    <cellStyle name="20% - Accent5 7 9" xfId="9537"/>
    <cellStyle name="20% - Accent5 7 9 2" xfId="9538"/>
    <cellStyle name="20% - Accent5 7 9 3" xfId="9539"/>
    <cellStyle name="20% - Accent5 8" xfId="532"/>
    <cellStyle name="20% - Accent5 8 10" xfId="24849"/>
    <cellStyle name="20% - Accent5 8 11" xfId="25887"/>
    <cellStyle name="20% - Accent5 8 12" xfId="28514"/>
    <cellStyle name="20% - Accent5 8 2" xfId="1380"/>
    <cellStyle name="20% - Accent5 8 2 10" xfId="25888"/>
    <cellStyle name="20% - Accent5 8 2 11" xfId="28515"/>
    <cellStyle name="20% - Accent5 8 2 2" xfId="4180"/>
    <cellStyle name="20% - Accent5 8 2 2 2" xfId="5362"/>
    <cellStyle name="20% - Accent5 8 2 2 2 2" xfId="6151"/>
    <cellStyle name="20% - Accent5 8 2 2 2 2 2" xfId="25891"/>
    <cellStyle name="20% - Accent5 8 2 2 2 3" xfId="9543"/>
    <cellStyle name="20% - Accent5 8 2 2 2 4" xfId="25890"/>
    <cellStyle name="20% - Accent5 8 2 2 3" xfId="5672"/>
    <cellStyle name="20% - Accent5 8 2 2 3 2" xfId="6152"/>
    <cellStyle name="20% - Accent5 8 2 2 3 2 2" xfId="25893"/>
    <cellStyle name="20% - Accent5 8 2 2 3 3" xfId="25892"/>
    <cellStyle name="20% - Accent5 8 2 2 4" xfId="4413"/>
    <cellStyle name="20% - Accent5 8 2 2 4 2" xfId="6153"/>
    <cellStyle name="20% - Accent5 8 2 2 4 2 2" xfId="25895"/>
    <cellStyle name="20% - Accent5 8 2 2 4 3" xfId="25894"/>
    <cellStyle name="20% - Accent5 8 2 2 5" xfId="6150"/>
    <cellStyle name="20% - Accent5 8 2 2 5 2" xfId="25896"/>
    <cellStyle name="20% - Accent5 8 2 2 6" xfId="9542"/>
    <cellStyle name="20% - Accent5 8 2 2 6 2" xfId="25897"/>
    <cellStyle name="20% - Accent5 8 2 2 7" xfId="25032"/>
    <cellStyle name="20% - Accent5 8 2 2 8" xfId="25889"/>
    <cellStyle name="20% - Accent5 8 2 2 9" xfId="28516"/>
    <cellStyle name="20% - Accent5 8 2 3" xfId="5361"/>
    <cellStyle name="20% - Accent5 8 2 3 2" xfId="6154"/>
    <cellStyle name="20% - Accent5 8 2 3 2 2" xfId="25899"/>
    <cellStyle name="20% - Accent5 8 2 3 3" xfId="9544"/>
    <cellStyle name="20% - Accent5 8 2 3 4" xfId="25898"/>
    <cellStyle name="20% - Accent5 8 2 4" xfId="5671"/>
    <cellStyle name="20% - Accent5 8 2 4 2" xfId="6155"/>
    <cellStyle name="20% - Accent5 8 2 4 2 2" xfId="25901"/>
    <cellStyle name="20% - Accent5 8 2 4 3" xfId="9545"/>
    <cellStyle name="20% - Accent5 8 2 4 4" xfId="25900"/>
    <cellStyle name="20% - Accent5 8 2 5" xfId="4412"/>
    <cellStyle name="20% - Accent5 8 2 5 2" xfId="6156"/>
    <cellStyle name="20% - Accent5 8 2 5 2 2" xfId="9547"/>
    <cellStyle name="20% - Accent5 8 2 5 2 2 2" xfId="25904"/>
    <cellStyle name="20% - Accent5 8 2 5 2 3" xfId="25903"/>
    <cellStyle name="20% - Accent5 8 2 5 2 4" xfId="28518"/>
    <cellStyle name="20% - Accent5 8 2 5 3" xfId="9548"/>
    <cellStyle name="20% - Accent5 8 2 5 3 2" xfId="25905"/>
    <cellStyle name="20% - Accent5 8 2 5 3 3" xfId="28519"/>
    <cellStyle name="20% - Accent5 8 2 5 4" xfId="9546"/>
    <cellStyle name="20% - Accent5 8 2 5 4 2" xfId="25906"/>
    <cellStyle name="20% - Accent5 8 2 5 5" xfId="25902"/>
    <cellStyle name="20% - Accent5 8 2 5 6" xfId="28517"/>
    <cellStyle name="20% - Accent5 8 2 6" xfId="6149"/>
    <cellStyle name="20% - Accent5 8 2 6 2" xfId="9549"/>
    <cellStyle name="20% - Accent5 8 2 6 2 2" xfId="25908"/>
    <cellStyle name="20% - Accent5 8 2 6 3" xfId="25907"/>
    <cellStyle name="20% - Accent5 8 2 6 4" xfId="28520"/>
    <cellStyle name="20% - Accent5 8 2 7" xfId="9550"/>
    <cellStyle name="20% - Accent5 8 2 7 2" xfId="25909"/>
    <cellStyle name="20% - Accent5 8 2 7 3" xfId="28521"/>
    <cellStyle name="20% - Accent5 8 2 8" xfId="9541"/>
    <cellStyle name="20% - Accent5 8 2 8 2" xfId="25910"/>
    <cellStyle name="20% - Accent5 8 2 9" xfId="24912"/>
    <cellStyle name="20% - Accent5 8 3" xfId="3835"/>
    <cellStyle name="20% - Accent5 8 3 2" xfId="5363"/>
    <cellStyle name="20% - Accent5 8 3 2 2" xfId="6158"/>
    <cellStyle name="20% - Accent5 8 3 2 2 2" xfId="25913"/>
    <cellStyle name="20% - Accent5 8 3 2 3" xfId="9552"/>
    <cellStyle name="20% - Accent5 8 3 2 4" xfId="25912"/>
    <cellStyle name="20% - Accent5 8 3 3" xfId="5673"/>
    <cellStyle name="20% - Accent5 8 3 3 2" xfId="6159"/>
    <cellStyle name="20% - Accent5 8 3 3 2 2" xfId="25915"/>
    <cellStyle name="20% - Accent5 8 3 3 3" xfId="25914"/>
    <cellStyle name="20% - Accent5 8 3 4" xfId="4414"/>
    <cellStyle name="20% - Accent5 8 3 4 2" xfId="6160"/>
    <cellStyle name="20% - Accent5 8 3 4 2 2" xfId="25917"/>
    <cellStyle name="20% - Accent5 8 3 4 3" xfId="25916"/>
    <cellStyle name="20% - Accent5 8 3 5" xfId="6157"/>
    <cellStyle name="20% - Accent5 8 3 5 2" xfId="25918"/>
    <cellStyle name="20% - Accent5 8 3 6" xfId="9551"/>
    <cellStyle name="20% - Accent5 8 3 6 2" xfId="25919"/>
    <cellStyle name="20% - Accent5 8 3 7" xfId="24971"/>
    <cellStyle name="20% - Accent5 8 3 8" xfId="25911"/>
    <cellStyle name="20% - Accent5 8 3 9" xfId="28522"/>
    <cellStyle name="20% - Accent5 8 4" xfId="5360"/>
    <cellStyle name="20% - Accent5 8 4 2" xfId="6161"/>
    <cellStyle name="20% - Accent5 8 4 2 2" xfId="25921"/>
    <cellStyle name="20% - Accent5 8 4 3" xfId="9553"/>
    <cellStyle name="20% - Accent5 8 4 4" xfId="25920"/>
    <cellStyle name="20% - Accent5 8 5" xfId="5670"/>
    <cellStyle name="20% - Accent5 8 5 2" xfId="6162"/>
    <cellStyle name="20% - Accent5 8 5 2 2" xfId="25923"/>
    <cellStyle name="20% - Accent5 8 5 3" xfId="9554"/>
    <cellStyle name="20% - Accent5 8 5 4" xfId="25922"/>
    <cellStyle name="20% - Accent5 8 6" xfId="4411"/>
    <cellStyle name="20% - Accent5 8 6 2" xfId="6163"/>
    <cellStyle name="20% - Accent5 8 6 2 2" xfId="9556"/>
    <cellStyle name="20% - Accent5 8 6 2 2 2" xfId="25926"/>
    <cellStyle name="20% - Accent5 8 6 2 3" xfId="25925"/>
    <cellStyle name="20% - Accent5 8 6 2 4" xfId="28524"/>
    <cellStyle name="20% - Accent5 8 6 3" xfId="9557"/>
    <cellStyle name="20% - Accent5 8 6 3 2" xfId="25927"/>
    <cellStyle name="20% - Accent5 8 6 3 3" xfId="28525"/>
    <cellStyle name="20% - Accent5 8 6 4" xfId="9555"/>
    <cellStyle name="20% - Accent5 8 6 4 2" xfId="25928"/>
    <cellStyle name="20% - Accent5 8 6 5" xfId="25924"/>
    <cellStyle name="20% - Accent5 8 6 6" xfId="28523"/>
    <cellStyle name="20% - Accent5 8 7" xfId="6148"/>
    <cellStyle name="20% - Accent5 8 7 2" xfId="9558"/>
    <cellStyle name="20% - Accent5 8 7 2 2" xfId="25930"/>
    <cellStyle name="20% - Accent5 8 7 3" xfId="25929"/>
    <cellStyle name="20% - Accent5 8 7 4" xfId="28526"/>
    <cellStyle name="20% - Accent5 8 8" xfId="9559"/>
    <cellStyle name="20% - Accent5 8 8 2" xfId="25931"/>
    <cellStyle name="20% - Accent5 8 8 3" xfId="28527"/>
    <cellStyle name="20% - Accent5 8 9" xfId="9540"/>
    <cellStyle name="20% - Accent5 8 9 2" xfId="25932"/>
    <cellStyle name="20% - Accent5 9" xfId="533"/>
    <cellStyle name="20% - Accent5 9 2" xfId="4415"/>
    <cellStyle name="20% - Accent5 9 2 2" xfId="9561"/>
    <cellStyle name="20% - Accent5 9 2 3" xfId="9562"/>
    <cellStyle name="20% - Accent5 9 2 4" xfId="9560"/>
    <cellStyle name="20% - Accent5 9 3" xfId="9563"/>
    <cellStyle name="20% - Accent5 9 4" xfId="9564"/>
    <cellStyle name="20% - Accent5 9 5" xfId="9565"/>
    <cellStyle name="20% - Accent5 9 6" xfId="9566"/>
    <cellStyle name="20% - Accent6" xfId="7112" builtinId="50" customBuiltin="1"/>
    <cellStyle name="20% - Accent6 10" xfId="660"/>
    <cellStyle name="20% - Accent6 10 2" xfId="4416"/>
    <cellStyle name="20% - Accent6 10 2 2" xfId="9567"/>
    <cellStyle name="20% - Accent6 10 3" xfId="9568"/>
    <cellStyle name="20% - Accent6 10 4" xfId="9569"/>
    <cellStyle name="20% - Accent6 10 5" xfId="9570"/>
    <cellStyle name="20% - Accent6 11" xfId="661"/>
    <cellStyle name="20% - Accent6 11 2" xfId="4417"/>
    <cellStyle name="20% - Accent6 11 2 2" xfId="9571"/>
    <cellStyle name="20% - Accent6 11 3" xfId="9572"/>
    <cellStyle name="20% - Accent6 11 4" xfId="9573"/>
    <cellStyle name="20% - Accent6 11 5" xfId="9574"/>
    <cellStyle name="20% - Accent6 12" xfId="813"/>
    <cellStyle name="20% - Accent6 12 2" xfId="9576"/>
    <cellStyle name="20% - Accent6 12 3" xfId="9577"/>
    <cellStyle name="20% - Accent6 12 4" xfId="9575"/>
    <cellStyle name="20% - Accent6 13" xfId="814"/>
    <cellStyle name="20% - Accent6 13 2" xfId="3850"/>
    <cellStyle name="20% - Accent6 13 2 2" xfId="6165"/>
    <cellStyle name="20% - Accent6 13 2 2 2" xfId="25935"/>
    <cellStyle name="20% - Accent6 13 2 3" xfId="9579"/>
    <cellStyle name="20% - Accent6 13 2 4" xfId="24986"/>
    <cellStyle name="20% - Accent6 13 2 5" xfId="25934"/>
    <cellStyle name="20% - Accent6 13 3" xfId="6164"/>
    <cellStyle name="20% - Accent6 13 3 2" xfId="9580"/>
    <cellStyle name="20% - Accent6 13 3 3" xfId="25936"/>
    <cellStyle name="20% - Accent6 13 4" xfId="9578"/>
    <cellStyle name="20% - Accent6 13 5" xfId="24865"/>
    <cellStyle name="20% - Accent6 13 6" xfId="25933"/>
    <cellStyle name="20% - Accent6 14" xfId="931"/>
    <cellStyle name="20% - Accent6 14 2" xfId="9582"/>
    <cellStyle name="20% - Accent6 14 3" xfId="9583"/>
    <cellStyle name="20% - Accent6 14 4" xfId="9581"/>
    <cellStyle name="20% - Accent6 15" xfId="9584"/>
    <cellStyle name="20% - Accent6 15 2" xfId="9585"/>
    <cellStyle name="20% - Accent6 15 3" xfId="9586"/>
    <cellStyle name="20% - Accent6 16" xfId="9587"/>
    <cellStyle name="20% - Accent6 16 2" xfId="9588"/>
    <cellStyle name="20% - Accent6 16 3" xfId="9589"/>
    <cellStyle name="20% - Accent6 17" xfId="9590"/>
    <cellStyle name="20% - Accent6 17 2" xfId="9591"/>
    <cellStyle name="20% - Accent6 17 3" xfId="9592"/>
    <cellStyle name="20% - Accent6 18" xfId="9593"/>
    <cellStyle name="20% - Accent6 18 2" xfId="9594"/>
    <cellStyle name="20% - Accent6 18 3" xfId="9595"/>
    <cellStyle name="20% - Accent6 19" xfId="9596"/>
    <cellStyle name="20% - Accent6 19 2" xfId="9597"/>
    <cellStyle name="20% - Accent6 2" xfId="73"/>
    <cellStyle name="20% - Accent6 2 10" xfId="1672"/>
    <cellStyle name="20% - Accent6 2 10 2" xfId="4418"/>
    <cellStyle name="20% - Accent6 2 10 2 2" xfId="9598"/>
    <cellStyle name="20% - Accent6 2 10 3" xfId="9599"/>
    <cellStyle name="20% - Accent6 2 10 4" xfId="9600"/>
    <cellStyle name="20% - Accent6 2 10 5" xfId="9601"/>
    <cellStyle name="20% - Accent6 2 11" xfId="1846"/>
    <cellStyle name="20% - Accent6 2 11 2" xfId="4419"/>
    <cellStyle name="20% - Accent6 2 11 2 2" xfId="9602"/>
    <cellStyle name="20% - Accent6 2 11 3" xfId="9603"/>
    <cellStyle name="20% - Accent6 2 11 4" xfId="9604"/>
    <cellStyle name="20% - Accent6 2 11 5" xfId="9605"/>
    <cellStyle name="20% - Accent6 2 12" xfId="2298"/>
    <cellStyle name="20% - Accent6 2 12 2" xfId="4420"/>
    <cellStyle name="20% - Accent6 2 12 2 2" xfId="9606"/>
    <cellStyle name="20% - Accent6 2 12 3" xfId="9607"/>
    <cellStyle name="20% - Accent6 2 12 4" xfId="9608"/>
    <cellStyle name="20% - Accent6 2 12 5" xfId="9609"/>
    <cellStyle name="20% - Accent6 2 13" xfId="2671"/>
    <cellStyle name="20% - Accent6 2 13 2" xfId="4421"/>
    <cellStyle name="20% - Accent6 2 13 2 2" xfId="9610"/>
    <cellStyle name="20% - Accent6 2 13 3" xfId="9611"/>
    <cellStyle name="20% - Accent6 2 13 4" xfId="9612"/>
    <cellStyle name="20% - Accent6 2 13 5" xfId="9613"/>
    <cellStyle name="20% - Accent6 2 14" xfId="2967"/>
    <cellStyle name="20% - Accent6 2 14 2" xfId="4422"/>
    <cellStyle name="20% - Accent6 2 14 2 2" xfId="9614"/>
    <cellStyle name="20% - Accent6 2 14 3" xfId="9615"/>
    <cellStyle name="20% - Accent6 2 14 4" xfId="9616"/>
    <cellStyle name="20% - Accent6 2 14 5" xfId="9617"/>
    <cellStyle name="20% - Accent6 2 15" xfId="3339"/>
    <cellStyle name="20% - Accent6 2 15 2" xfId="4423"/>
    <cellStyle name="20% - Accent6 2 15 2 2" xfId="9618"/>
    <cellStyle name="20% - Accent6 2 15 3" xfId="9619"/>
    <cellStyle name="20% - Accent6 2 16" xfId="3637"/>
    <cellStyle name="20% - Accent6 2 16 2" xfId="4424"/>
    <cellStyle name="20% - Accent6 2 16 2 2" xfId="9620"/>
    <cellStyle name="20% - Accent6 2 16 3" xfId="9621"/>
    <cellStyle name="20% - Accent6 2 17" xfId="24472"/>
    <cellStyle name="20% - Accent6 2 2" xfId="117"/>
    <cellStyle name="20% - Accent6 2 2 10" xfId="9622"/>
    <cellStyle name="20% - Accent6 2 2 10 2" xfId="9623"/>
    <cellStyle name="20% - Accent6 2 2 10 3" xfId="9624"/>
    <cellStyle name="20% - Accent6 2 2 11" xfId="9625"/>
    <cellStyle name="20% - Accent6 2 2 11 2" xfId="9626"/>
    <cellStyle name="20% - Accent6 2 2 11 3" xfId="9627"/>
    <cellStyle name="20% - Accent6 2 2 12" xfId="9628"/>
    <cellStyle name="20% - Accent6 2 2 12 2" xfId="9629"/>
    <cellStyle name="20% - Accent6 2 2 12 3" xfId="9630"/>
    <cellStyle name="20% - Accent6 2 2 13" xfId="9631"/>
    <cellStyle name="20% - Accent6 2 2 14" xfId="9632"/>
    <cellStyle name="20% - Accent6 2 2 15" xfId="9633"/>
    <cellStyle name="20% - Accent6 2 2 16" xfId="24572"/>
    <cellStyle name="20% - Accent6 2 2 2" xfId="191"/>
    <cellStyle name="20% - Accent6 2 2 2 2" xfId="9634"/>
    <cellStyle name="20% - Accent6 2 2 2 3" xfId="9635"/>
    <cellStyle name="20% - Accent6 2 2 3" xfId="355"/>
    <cellStyle name="20% - Accent6 2 2 3 2" xfId="9636"/>
    <cellStyle name="20% - Accent6 2 2 3 3" xfId="9637"/>
    <cellStyle name="20% - Accent6 2 2 4" xfId="2177"/>
    <cellStyle name="20% - Accent6 2 2 4 2" xfId="9638"/>
    <cellStyle name="20% - Accent6 2 2 4 3" xfId="9639"/>
    <cellStyle name="20% - Accent6 2 2 5" xfId="2551"/>
    <cellStyle name="20% - Accent6 2 2 5 2" xfId="9640"/>
    <cellStyle name="20% - Accent6 2 2 5 3" xfId="9641"/>
    <cellStyle name="20% - Accent6 2 2 6" xfId="2923"/>
    <cellStyle name="20% - Accent6 2 2 6 2" xfId="9642"/>
    <cellStyle name="20% - Accent6 2 2 6 3" xfId="9643"/>
    <cellStyle name="20% - Accent6 2 2 7" xfId="3295"/>
    <cellStyle name="20% - Accent6 2 2 7 2" xfId="9644"/>
    <cellStyle name="20% - Accent6 2 2 7 3" xfId="9645"/>
    <cellStyle name="20% - Accent6 2 2 8" xfId="4425"/>
    <cellStyle name="20% - Accent6 2 2 8 2" xfId="9647"/>
    <cellStyle name="20% - Accent6 2 2 8 3" xfId="9648"/>
    <cellStyle name="20% - Accent6 2 2 8 4" xfId="9646"/>
    <cellStyle name="20% - Accent6 2 2 9" xfId="9649"/>
    <cellStyle name="20% - Accent6 2 2 9 2" xfId="9650"/>
    <cellStyle name="20% - Accent6 2 2 9 3" xfId="9651"/>
    <cellStyle name="20% - Accent6 2 3" xfId="282"/>
    <cellStyle name="20% - Accent6 2 3 2" xfId="1353"/>
    <cellStyle name="20% - Accent6 2 3 2 2" xfId="9652"/>
    <cellStyle name="20% - Accent6 2 3 2 3" xfId="9653"/>
    <cellStyle name="20% - Accent6 2 3 3" xfId="9654"/>
    <cellStyle name="20% - Accent6 2 3 4" xfId="9655"/>
    <cellStyle name="20% - Accent6 2 4" xfId="378"/>
    <cellStyle name="20% - Accent6 2 4 2" xfId="9656"/>
    <cellStyle name="20% - Accent6 2 4 2 2" xfId="9657"/>
    <cellStyle name="20% - Accent6 2 4 2 3" xfId="9658"/>
    <cellStyle name="20% - Accent6 2 4 3" xfId="9659"/>
    <cellStyle name="20% - Accent6 2 4 4" xfId="9660"/>
    <cellStyle name="20% - Accent6 2 5" xfId="534"/>
    <cellStyle name="20% - Accent6 2 5 2" xfId="9661"/>
    <cellStyle name="20% - Accent6 2 5 3" xfId="9662"/>
    <cellStyle name="20% - Accent6 2 6" xfId="662"/>
    <cellStyle name="20% - Accent6 2 6 2" xfId="9663"/>
    <cellStyle name="20% - Accent6 2 6 3" xfId="9664"/>
    <cellStyle name="20% - Accent6 2 7" xfId="663"/>
    <cellStyle name="20% - Accent6 2 7 2" xfId="9665"/>
    <cellStyle name="20% - Accent6 2 7 3" xfId="9666"/>
    <cellStyle name="20% - Accent6 2 8" xfId="815"/>
    <cellStyle name="20% - Accent6 2 8 2" xfId="1401"/>
    <cellStyle name="20% - Accent6 2 8 2 2" xfId="9667"/>
    <cellStyle name="20% - Accent6 2 8 3" xfId="9668"/>
    <cellStyle name="20% - Accent6 2 8 4" xfId="9669"/>
    <cellStyle name="20% - Accent6 2 8 5" xfId="9670"/>
    <cellStyle name="20% - Accent6 2 9" xfId="932"/>
    <cellStyle name="20% - Accent6 2 9 2" xfId="1489"/>
    <cellStyle name="20% - Accent6 2 9 2 2" xfId="9671"/>
    <cellStyle name="20% - Accent6 2 9 3" xfId="9672"/>
    <cellStyle name="20% - Accent6 2 9 4" xfId="9673"/>
    <cellStyle name="20% - Accent6 2 9 5" xfId="9674"/>
    <cellStyle name="20% - Accent6 20" xfId="9675"/>
    <cellStyle name="20% - Accent6 21" xfId="9676"/>
    <cellStyle name="20% - Accent6 21 2" xfId="9677"/>
    <cellStyle name="20% - Accent6 21 2 2" xfId="9678"/>
    <cellStyle name="20% - Accent6 21 2 2 2" xfId="25939"/>
    <cellStyle name="20% - Accent6 21 2 2 3" xfId="28530"/>
    <cellStyle name="20% - Accent6 21 2 3" xfId="9679"/>
    <cellStyle name="20% - Accent6 21 2 3 2" xfId="25940"/>
    <cellStyle name="20% - Accent6 21 2 3 3" xfId="28531"/>
    <cellStyle name="20% - Accent6 21 2 4" xfId="25938"/>
    <cellStyle name="20% - Accent6 21 2 5" xfId="28529"/>
    <cellStyle name="20% - Accent6 21 3" xfId="9680"/>
    <cellStyle name="20% - Accent6 21 3 2" xfId="25941"/>
    <cellStyle name="20% - Accent6 21 3 3" xfId="28532"/>
    <cellStyle name="20% - Accent6 21 4" xfId="9681"/>
    <cellStyle name="20% - Accent6 21 4 2" xfId="25942"/>
    <cellStyle name="20% - Accent6 21 4 3" xfId="28533"/>
    <cellStyle name="20% - Accent6 21 5" xfId="25937"/>
    <cellStyle name="20% - Accent6 21 6" xfId="28528"/>
    <cellStyle name="20% - Accent6 22" xfId="9682"/>
    <cellStyle name="20% - Accent6 22 2" xfId="9683"/>
    <cellStyle name="20% - Accent6 22 2 2" xfId="9684"/>
    <cellStyle name="20% - Accent6 22 2 2 2" xfId="25945"/>
    <cellStyle name="20% - Accent6 22 2 2 3" xfId="28536"/>
    <cellStyle name="20% - Accent6 22 2 3" xfId="9685"/>
    <cellStyle name="20% - Accent6 22 2 3 2" xfId="25946"/>
    <cellStyle name="20% - Accent6 22 2 3 3" xfId="28537"/>
    <cellStyle name="20% - Accent6 22 2 4" xfId="25944"/>
    <cellStyle name="20% - Accent6 22 2 5" xfId="28535"/>
    <cellStyle name="20% - Accent6 22 3" xfId="9686"/>
    <cellStyle name="20% - Accent6 22 3 2" xfId="25947"/>
    <cellStyle name="20% - Accent6 22 3 3" xfId="28538"/>
    <cellStyle name="20% - Accent6 22 4" xfId="9687"/>
    <cellStyle name="20% - Accent6 22 4 2" xfId="25948"/>
    <cellStyle name="20% - Accent6 22 4 3" xfId="28539"/>
    <cellStyle name="20% - Accent6 22 5" xfId="25943"/>
    <cellStyle name="20% - Accent6 22 6" xfId="28534"/>
    <cellStyle name="20% - Accent6 23" xfId="9688"/>
    <cellStyle name="20% - Accent6 24" xfId="9689"/>
    <cellStyle name="20% - Accent6 24 2" xfId="9690"/>
    <cellStyle name="20% - Accent6 24 2 2" xfId="9691"/>
    <cellStyle name="20% - Accent6 24 2 2 2" xfId="25951"/>
    <cellStyle name="20% - Accent6 24 2 2 3" xfId="28542"/>
    <cellStyle name="20% - Accent6 24 2 3" xfId="9692"/>
    <cellStyle name="20% - Accent6 24 2 3 2" xfId="25952"/>
    <cellStyle name="20% - Accent6 24 2 3 3" xfId="28543"/>
    <cellStyle name="20% - Accent6 24 2 4" xfId="25950"/>
    <cellStyle name="20% - Accent6 24 2 5" xfId="28541"/>
    <cellStyle name="20% - Accent6 24 3" xfId="9693"/>
    <cellStyle name="20% - Accent6 24 3 2" xfId="25953"/>
    <cellStyle name="20% - Accent6 24 3 3" xfId="28544"/>
    <cellStyle name="20% - Accent6 24 4" xfId="9694"/>
    <cellStyle name="20% - Accent6 24 4 2" xfId="25954"/>
    <cellStyle name="20% - Accent6 24 4 3" xfId="28545"/>
    <cellStyle name="20% - Accent6 24 5" xfId="25949"/>
    <cellStyle name="20% - Accent6 24 6" xfId="28540"/>
    <cellStyle name="20% - Accent6 25" xfId="9695"/>
    <cellStyle name="20% - Accent6 25 2" xfId="9696"/>
    <cellStyle name="20% - Accent6 25 2 2" xfId="9697"/>
    <cellStyle name="20% - Accent6 25 2 2 2" xfId="25957"/>
    <cellStyle name="20% - Accent6 25 2 2 3" xfId="28548"/>
    <cellStyle name="20% - Accent6 25 2 3" xfId="9698"/>
    <cellStyle name="20% - Accent6 25 2 3 2" xfId="25958"/>
    <cellStyle name="20% - Accent6 25 2 3 3" xfId="28549"/>
    <cellStyle name="20% - Accent6 25 2 4" xfId="25956"/>
    <cellStyle name="20% - Accent6 25 2 5" xfId="28547"/>
    <cellStyle name="20% - Accent6 25 3" xfId="9699"/>
    <cellStyle name="20% - Accent6 25 3 2" xfId="25959"/>
    <cellStyle name="20% - Accent6 25 3 3" xfId="28550"/>
    <cellStyle name="20% - Accent6 25 4" xfId="9700"/>
    <cellStyle name="20% - Accent6 25 4 2" xfId="25960"/>
    <cellStyle name="20% - Accent6 25 4 3" xfId="28551"/>
    <cellStyle name="20% - Accent6 25 5" xfId="25955"/>
    <cellStyle name="20% - Accent6 25 6" xfId="28546"/>
    <cellStyle name="20% - Accent6 26" xfId="9701"/>
    <cellStyle name="20% - Accent6 27" xfId="9702"/>
    <cellStyle name="20% - Accent6 27 2" xfId="9703"/>
    <cellStyle name="20% - Accent6 27 2 2" xfId="9704"/>
    <cellStyle name="20% - Accent6 27 2 2 2" xfId="25963"/>
    <cellStyle name="20% - Accent6 27 2 2 3" xfId="28554"/>
    <cellStyle name="20% - Accent6 27 2 3" xfId="9705"/>
    <cellStyle name="20% - Accent6 27 2 3 2" xfId="25964"/>
    <cellStyle name="20% - Accent6 27 2 3 3" xfId="28555"/>
    <cellStyle name="20% - Accent6 27 2 4" xfId="25962"/>
    <cellStyle name="20% - Accent6 27 2 5" xfId="28553"/>
    <cellStyle name="20% - Accent6 27 3" xfId="9706"/>
    <cellStyle name="20% - Accent6 27 3 2" xfId="25965"/>
    <cellStyle name="20% - Accent6 27 3 3" xfId="28556"/>
    <cellStyle name="20% - Accent6 27 4" xfId="9707"/>
    <cellStyle name="20% - Accent6 27 4 2" xfId="25966"/>
    <cellStyle name="20% - Accent6 27 4 3" xfId="28557"/>
    <cellStyle name="20% - Accent6 27 5" xfId="25961"/>
    <cellStyle name="20% - Accent6 27 6" xfId="28552"/>
    <cellStyle name="20% - Accent6 28" xfId="9708"/>
    <cellStyle name="20% - Accent6 28 2" xfId="9709"/>
    <cellStyle name="20% - Accent6 28 2 2" xfId="25968"/>
    <cellStyle name="20% - Accent6 28 2 3" xfId="28559"/>
    <cellStyle name="20% - Accent6 28 3" xfId="9710"/>
    <cellStyle name="20% - Accent6 28 3 2" xfId="25969"/>
    <cellStyle name="20% - Accent6 28 3 3" xfId="28560"/>
    <cellStyle name="20% - Accent6 28 4" xfId="25967"/>
    <cellStyle name="20% - Accent6 28 5" xfId="28558"/>
    <cellStyle name="20% - Accent6 29" xfId="9711"/>
    <cellStyle name="20% - Accent6 29 2" xfId="25970"/>
    <cellStyle name="20% - Accent6 29 3" xfId="28561"/>
    <cellStyle name="20% - Accent6 3" xfId="232"/>
    <cellStyle name="20% - Accent6 3 10" xfId="3680"/>
    <cellStyle name="20% - Accent6 3 10 2" xfId="4426"/>
    <cellStyle name="20% - Accent6 3 10 2 2" xfId="9712"/>
    <cellStyle name="20% - Accent6 3 10 3" xfId="9713"/>
    <cellStyle name="20% - Accent6 3 10 4" xfId="9714"/>
    <cellStyle name="20% - Accent6 3 10 5" xfId="9715"/>
    <cellStyle name="20% - Accent6 3 11" xfId="9716"/>
    <cellStyle name="20% - Accent6 3 11 2" xfId="9717"/>
    <cellStyle name="20% - Accent6 3 11 3" xfId="9718"/>
    <cellStyle name="20% - Accent6 3 12" xfId="9719"/>
    <cellStyle name="20% - Accent6 3 12 2" xfId="9720"/>
    <cellStyle name="20% - Accent6 3 12 3" xfId="9721"/>
    <cellStyle name="20% - Accent6 3 13" xfId="9722"/>
    <cellStyle name="20% - Accent6 3 13 2" xfId="9723"/>
    <cellStyle name="20% - Accent6 3 13 3" xfId="9724"/>
    <cellStyle name="20% - Accent6 3 14" xfId="9725"/>
    <cellStyle name="20% - Accent6 3 15" xfId="9726"/>
    <cellStyle name="20% - Accent6 3 16" xfId="24507"/>
    <cellStyle name="20% - Accent6 3 2" xfId="1453"/>
    <cellStyle name="20% - Accent6 3 2 10" xfId="9727"/>
    <cellStyle name="20% - Accent6 3 2 10 2" xfId="9728"/>
    <cellStyle name="20% - Accent6 3 2 10 3" xfId="9729"/>
    <cellStyle name="20% - Accent6 3 2 11" xfId="9730"/>
    <cellStyle name="20% - Accent6 3 2 11 2" xfId="9731"/>
    <cellStyle name="20% - Accent6 3 2 11 3" xfId="9732"/>
    <cellStyle name="20% - Accent6 3 2 12" xfId="9733"/>
    <cellStyle name="20% - Accent6 3 2 12 2" xfId="9734"/>
    <cellStyle name="20% - Accent6 3 2 12 3" xfId="9735"/>
    <cellStyle name="20% - Accent6 3 2 13" xfId="9736"/>
    <cellStyle name="20% - Accent6 3 2 14" xfId="9737"/>
    <cellStyle name="20% - Accent6 3 2 15" xfId="9738"/>
    <cellStyle name="20% - Accent6 3 2 2" xfId="1843"/>
    <cellStyle name="20% - Accent6 3 2 2 2" xfId="9739"/>
    <cellStyle name="20% - Accent6 3 2 2 3" xfId="9740"/>
    <cellStyle name="20% - Accent6 3 2 3" xfId="2218"/>
    <cellStyle name="20% - Accent6 3 2 3 2" xfId="9741"/>
    <cellStyle name="20% - Accent6 3 2 3 3" xfId="9742"/>
    <cellStyle name="20% - Accent6 3 2 4" xfId="2592"/>
    <cellStyle name="20% - Accent6 3 2 4 2" xfId="9743"/>
    <cellStyle name="20% - Accent6 3 2 4 3" xfId="9744"/>
    <cellStyle name="20% - Accent6 3 2 5" xfId="2964"/>
    <cellStyle name="20% - Accent6 3 2 5 2" xfId="9745"/>
    <cellStyle name="20% - Accent6 3 2 5 3" xfId="9746"/>
    <cellStyle name="20% - Accent6 3 2 6" xfId="3336"/>
    <cellStyle name="20% - Accent6 3 2 6 2" xfId="9747"/>
    <cellStyle name="20% - Accent6 3 2 6 3" xfId="9748"/>
    <cellStyle name="20% - Accent6 3 2 7" xfId="4427"/>
    <cellStyle name="20% - Accent6 3 2 7 2" xfId="9750"/>
    <cellStyle name="20% - Accent6 3 2 7 3" xfId="9751"/>
    <cellStyle name="20% - Accent6 3 2 7 4" xfId="9749"/>
    <cellStyle name="20% - Accent6 3 2 8" xfId="9752"/>
    <cellStyle name="20% - Accent6 3 2 8 2" xfId="9753"/>
    <cellStyle name="20% - Accent6 3 2 8 3" xfId="9754"/>
    <cellStyle name="20% - Accent6 3 2 9" xfId="9755"/>
    <cellStyle name="20% - Accent6 3 2 9 2" xfId="9756"/>
    <cellStyle name="20% - Accent6 3 2 9 3" xfId="9757"/>
    <cellStyle name="20% - Accent6 3 3" xfId="1580"/>
    <cellStyle name="20% - Accent6 3 3 2" xfId="1920"/>
    <cellStyle name="20% - Accent6 3 3 3" xfId="2295"/>
    <cellStyle name="20% - Accent6 3 3 4" xfId="2668"/>
    <cellStyle name="20% - Accent6 3 3 5" xfId="3041"/>
    <cellStyle name="20% - Accent6 3 3 6" xfId="3412"/>
    <cellStyle name="20% - Accent6 3 3 7" xfId="4428"/>
    <cellStyle name="20% - Accent6 3 4" xfId="1717"/>
    <cellStyle name="20% - Accent6 3 4 2" xfId="1964"/>
    <cellStyle name="20% - Accent6 3 4 3" xfId="2339"/>
    <cellStyle name="20% - Accent6 3 4 4" xfId="2712"/>
    <cellStyle name="20% - Accent6 3 4 5" xfId="3085"/>
    <cellStyle name="20% - Accent6 3 4 6" xfId="3456"/>
    <cellStyle name="20% - Accent6 3 5" xfId="2052"/>
    <cellStyle name="20% - Accent6 3 5 2" xfId="9758"/>
    <cellStyle name="20% - Accent6 3 5 3" xfId="9759"/>
    <cellStyle name="20% - Accent6 3 5 4" xfId="9760"/>
    <cellStyle name="20% - Accent6 3 6" xfId="2426"/>
    <cellStyle name="20% - Accent6 3 6 2" xfId="9761"/>
    <cellStyle name="20% - Accent6 3 6 3" xfId="9762"/>
    <cellStyle name="20% - Accent6 3 6 4" xfId="9763"/>
    <cellStyle name="20% - Accent6 3 7" xfId="2798"/>
    <cellStyle name="20% - Accent6 3 7 2" xfId="9764"/>
    <cellStyle name="20% - Accent6 3 7 3" xfId="9765"/>
    <cellStyle name="20% - Accent6 3 7 4" xfId="9766"/>
    <cellStyle name="20% - Accent6 3 8" xfId="3169"/>
    <cellStyle name="20% - Accent6 3 8 2" xfId="9767"/>
    <cellStyle name="20% - Accent6 3 8 3" xfId="9768"/>
    <cellStyle name="20% - Accent6 3 8 4" xfId="9769"/>
    <cellStyle name="20% - Accent6 3 9" xfId="3544"/>
    <cellStyle name="20% - Accent6 3 9 2" xfId="4429"/>
    <cellStyle name="20% - Accent6 3 9 2 2" xfId="9770"/>
    <cellStyle name="20% - Accent6 3 9 3" xfId="9771"/>
    <cellStyle name="20% - Accent6 3 9 4" xfId="9772"/>
    <cellStyle name="20% - Accent6 3 9 5" xfId="9773"/>
    <cellStyle name="20% - Accent6 30" xfId="28147"/>
    <cellStyle name="20% - Accent6 4" xfId="240"/>
    <cellStyle name="20% - Accent6 4 10" xfId="3724"/>
    <cellStyle name="20% - Accent6 4 10 2" xfId="4431"/>
    <cellStyle name="20% - Accent6 4 10 2 2" xfId="9775"/>
    <cellStyle name="20% - Accent6 4 10 3" xfId="9776"/>
    <cellStyle name="20% - Accent6 4 10 4" xfId="9777"/>
    <cellStyle name="20% - Accent6 4 10 5" xfId="9778"/>
    <cellStyle name="20% - Accent6 4 11" xfId="1314"/>
    <cellStyle name="20% - Accent6 4 11 10" xfId="25971"/>
    <cellStyle name="20% - Accent6 4 11 11" xfId="28563"/>
    <cellStyle name="20% - Accent6 4 11 2" xfId="4154"/>
    <cellStyle name="20% - Accent6 4 11 2 2" xfId="5366"/>
    <cellStyle name="20% - Accent6 4 11 2 2 2" xfId="6168"/>
    <cellStyle name="20% - Accent6 4 11 2 2 2 2" xfId="25974"/>
    <cellStyle name="20% - Accent6 4 11 2 2 3" xfId="9781"/>
    <cellStyle name="20% - Accent6 4 11 2 2 4" xfId="25973"/>
    <cellStyle name="20% - Accent6 4 11 2 3" xfId="5676"/>
    <cellStyle name="20% - Accent6 4 11 2 3 2" xfId="6169"/>
    <cellStyle name="20% - Accent6 4 11 2 3 2 2" xfId="25976"/>
    <cellStyle name="20% - Accent6 4 11 2 3 3" xfId="25975"/>
    <cellStyle name="20% - Accent6 4 11 2 4" xfId="4433"/>
    <cellStyle name="20% - Accent6 4 11 2 4 2" xfId="6170"/>
    <cellStyle name="20% - Accent6 4 11 2 4 2 2" xfId="25978"/>
    <cellStyle name="20% - Accent6 4 11 2 4 3" xfId="25977"/>
    <cellStyle name="20% - Accent6 4 11 2 5" xfId="6167"/>
    <cellStyle name="20% - Accent6 4 11 2 5 2" xfId="25979"/>
    <cellStyle name="20% - Accent6 4 11 2 6" xfId="9780"/>
    <cellStyle name="20% - Accent6 4 11 2 6 2" xfId="25980"/>
    <cellStyle name="20% - Accent6 4 11 2 7" xfId="25006"/>
    <cellStyle name="20% - Accent6 4 11 2 8" xfId="25972"/>
    <cellStyle name="20% - Accent6 4 11 2 9" xfId="28564"/>
    <cellStyle name="20% - Accent6 4 11 3" xfId="5365"/>
    <cellStyle name="20% - Accent6 4 11 3 2" xfId="6171"/>
    <cellStyle name="20% - Accent6 4 11 3 2 2" xfId="25982"/>
    <cellStyle name="20% - Accent6 4 11 3 3" xfId="9782"/>
    <cellStyle name="20% - Accent6 4 11 3 4" xfId="25981"/>
    <cellStyle name="20% - Accent6 4 11 4" xfId="5675"/>
    <cellStyle name="20% - Accent6 4 11 4 2" xfId="6172"/>
    <cellStyle name="20% - Accent6 4 11 4 2 2" xfId="25984"/>
    <cellStyle name="20% - Accent6 4 11 4 3" xfId="9783"/>
    <cellStyle name="20% - Accent6 4 11 4 4" xfId="25983"/>
    <cellStyle name="20% - Accent6 4 11 5" xfId="4432"/>
    <cellStyle name="20% - Accent6 4 11 5 2" xfId="6173"/>
    <cellStyle name="20% - Accent6 4 11 5 2 2" xfId="9785"/>
    <cellStyle name="20% - Accent6 4 11 5 2 2 2" xfId="25987"/>
    <cellStyle name="20% - Accent6 4 11 5 2 3" xfId="25986"/>
    <cellStyle name="20% - Accent6 4 11 5 2 4" xfId="28566"/>
    <cellStyle name="20% - Accent6 4 11 5 3" xfId="9786"/>
    <cellStyle name="20% - Accent6 4 11 5 3 2" xfId="25988"/>
    <cellStyle name="20% - Accent6 4 11 5 3 3" xfId="28567"/>
    <cellStyle name="20% - Accent6 4 11 5 4" xfId="9784"/>
    <cellStyle name="20% - Accent6 4 11 5 4 2" xfId="25989"/>
    <cellStyle name="20% - Accent6 4 11 5 5" xfId="25985"/>
    <cellStyle name="20% - Accent6 4 11 5 6" xfId="28565"/>
    <cellStyle name="20% - Accent6 4 11 6" xfId="6166"/>
    <cellStyle name="20% - Accent6 4 11 6 2" xfId="9787"/>
    <cellStyle name="20% - Accent6 4 11 6 2 2" xfId="25991"/>
    <cellStyle name="20% - Accent6 4 11 6 3" xfId="25990"/>
    <cellStyle name="20% - Accent6 4 11 6 4" xfId="28568"/>
    <cellStyle name="20% - Accent6 4 11 7" xfId="9788"/>
    <cellStyle name="20% - Accent6 4 11 7 2" xfId="25992"/>
    <cellStyle name="20% - Accent6 4 11 7 3" xfId="28569"/>
    <cellStyle name="20% - Accent6 4 11 8" xfId="9779"/>
    <cellStyle name="20% - Accent6 4 11 8 2" xfId="25993"/>
    <cellStyle name="20% - Accent6 4 11 9" xfId="24886"/>
    <cellStyle name="20% - Accent6 4 12" xfId="4434"/>
    <cellStyle name="20% - Accent6 4 12 2" xfId="5367"/>
    <cellStyle name="20% - Accent6 4 12 2 2" xfId="6175"/>
    <cellStyle name="20% - Accent6 4 12 2 2 2" xfId="25996"/>
    <cellStyle name="20% - Accent6 4 12 2 3" xfId="9790"/>
    <cellStyle name="20% - Accent6 4 12 2 4" xfId="25995"/>
    <cellStyle name="20% - Accent6 4 12 3" xfId="5677"/>
    <cellStyle name="20% - Accent6 4 12 3 2" xfId="6176"/>
    <cellStyle name="20% - Accent6 4 12 3 2 2" xfId="25998"/>
    <cellStyle name="20% - Accent6 4 12 3 3" xfId="9791"/>
    <cellStyle name="20% - Accent6 4 12 3 4" xfId="25997"/>
    <cellStyle name="20% - Accent6 4 12 4" xfId="6174"/>
    <cellStyle name="20% - Accent6 4 12 4 2" xfId="9792"/>
    <cellStyle name="20% - Accent6 4 12 4 3" xfId="25999"/>
    <cellStyle name="20% - Accent6 4 12 5" xfId="9789"/>
    <cellStyle name="20% - Accent6 4 12 5 2" xfId="26000"/>
    <cellStyle name="20% - Accent6 4 12 6" xfId="25994"/>
    <cellStyle name="20% - Accent6 4 12 7" xfId="28570"/>
    <cellStyle name="20% - Accent6 4 13" xfId="5364"/>
    <cellStyle name="20% - Accent6 4 13 2" xfId="6177"/>
    <cellStyle name="20% - Accent6 4 13 2 2" xfId="9794"/>
    <cellStyle name="20% - Accent6 4 13 2 3" xfId="26002"/>
    <cellStyle name="20% - Accent6 4 13 3" xfId="9795"/>
    <cellStyle name="20% - Accent6 4 13 4" xfId="9793"/>
    <cellStyle name="20% - Accent6 4 13 5" xfId="26001"/>
    <cellStyle name="20% - Accent6 4 14" xfId="5674"/>
    <cellStyle name="20% - Accent6 4 14 2" xfId="6178"/>
    <cellStyle name="20% - Accent6 4 14 2 2" xfId="26004"/>
    <cellStyle name="20% - Accent6 4 14 3" xfId="9796"/>
    <cellStyle name="20% - Accent6 4 14 4" xfId="26003"/>
    <cellStyle name="20% - Accent6 4 15" xfId="4430"/>
    <cellStyle name="20% - Accent6 4 15 2" xfId="6179"/>
    <cellStyle name="20% - Accent6 4 15 2 2" xfId="26006"/>
    <cellStyle name="20% - Accent6 4 15 3" xfId="9797"/>
    <cellStyle name="20% - Accent6 4 15 4" xfId="26005"/>
    <cellStyle name="20% - Accent6 4 16" xfId="9798"/>
    <cellStyle name="20% - Accent6 4 17" xfId="9799"/>
    <cellStyle name="20% - Accent6 4 17 2" xfId="9800"/>
    <cellStyle name="20% - Accent6 4 17 2 2" xfId="26008"/>
    <cellStyle name="20% - Accent6 4 17 2 3" xfId="28572"/>
    <cellStyle name="20% - Accent6 4 17 3" xfId="9801"/>
    <cellStyle name="20% - Accent6 4 17 3 2" xfId="26009"/>
    <cellStyle name="20% - Accent6 4 17 3 3" xfId="28573"/>
    <cellStyle name="20% - Accent6 4 17 4" xfId="26007"/>
    <cellStyle name="20% - Accent6 4 17 5" xfId="28571"/>
    <cellStyle name="20% - Accent6 4 18" xfId="9802"/>
    <cellStyle name="20% - Accent6 4 18 2" xfId="26010"/>
    <cellStyle name="20% - Accent6 4 18 3" xfId="28574"/>
    <cellStyle name="20% - Accent6 4 19" xfId="9803"/>
    <cellStyle name="20% - Accent6 4 19 2" xfId="26011"/>
    <cellStyle name="20% - Accent6 4 19 3" xfId="28575"/>
    <cellStyle name="20% - Accent6 4 2" xfId="1498"/>
    <cellStyle name="20% - Accent6 4 2 10" xfId="9804"/>
    <cellStyle name="20% - Accent6 4 2 10 2" xfId="9805"/>
    <cellStyle name="20% - Accent6 4 2 10 3" xfId="9806"/>
    <cellStyle name="20% - Accent6 4 2 11" xfId="9807"/>
    <cellStyle name="20% - Accent6 4 2 11 2" xfId="9808"/>
    <cellStyle name="20% - Accent6 4 2 11 3" xfId="9809"/>
    <cellStyle name="20% - Accent6 4 2 12" xfId="9810"/>
    <cellStyle name="20% - Accent6 4 2 12 2" xfId="9811"/>
    <cellStyle name="20% - Accent6 4 2 12 3" xfId="9812"/>
    <cellStyle name="20% - Accent6 4 2 13" xfId="9813"/>
    <cellStyle name="20% - Accent6 4 2 14" xfId="9814"/>
    <cellStyle name="20% - Accent6 4 2 15" xfId="9815"/>
    <cellStyle name="20% - Accent6 4 2 16" xfId="9816"/>
    <cellStyle name="20% - Accent6 4 2 2" xfId="4435"/>
    <cellStyle name="20% - Accent6 4 2 2 2" xfId="9818"/>
    <cellStyle name="20% - Accent6 4 2 2 3" xfId="9819"/>
    <cellStyle name="20% - Accent6 4 2 2 4" xfId="9817"/>
    <cellStyle name="20% - Accent6 4 2 3" xfId="9820"/>
    <cellStyle name="20% - Accent6 4 2 3 2" xfId="9821"/>
    <cellStyle name="20% - Accent6 4 2 3 3" xfId="9822"/>
    <cellStyle name="20% - Accent6 4 2 4" xfId="9823"/>
    <cellStyle name="20% - Accent6 4 2 4 2" xfId="9824"/>
    <cellStyle name="20% - Accent6 4 2 4 3" xfId="9825"/>
    <cellStyle name="20% - Accent6 4 2 5" xfId="9826"/>
    <cellStyle name="20% - Accent6 4 2 5 2" xfId="9827"/>
    <cellStyle name="20% - Accent6 4 2 5 3" xfId="9828"/>
    <cellStyle name="20% - Accent6 4 2 6" xfId="9829"/>
    <cellStyle name="20% - Accent6 4 2 6 2" xfId="9830"/>
    <cellStyle name="20% - Accent6 4 2 6 3" xfId="9831"/>
    <cellStyle name="20% - Accent6 4 2 7" xfId="9832"/>
    <cellStyle name="20% - Accent6 4 2 7 2" xfId="9833"/>
    <cellStyle name="20% - Accent6 4 2 7 3" xfId="9834"/>
    <cellStyle name="20% - Accent6 4 2 8" xfId="9835"/>
    <cellStyle name="20% - Accent6 4 2 8 2" xfId="9836"/>
    <cellStyle name="20% - Accent6 4 2 8 3" xfId="9837"/>
    <cellStyle name="20% - Accent6 4 2 9" xfId="9838"/>
    <cellStyle name="20% - Accent6 4 2 9 2" xfId="9839"/>
    <cellStyle name="20% - Accent6 4 2 9 3" xfId="9840"/>
    <cellStyle name="20% - Accent6 4 20" xfId="9774"/>
    <cellStyle name="20% - Accent6 4 20 2" xfId="26012"/>
    <cellStyle name="20% - Accent6 4 21" xfId="28562"/>
    <cellStyle name="20% - Accent6 4 3" xfId="1623"/>
    <cellStyle name="20% - Accent6 4 3 2" xfId="4436"/>
    <cellStyle name="20% - Accent6 4 3 2 2" xfId="9841"/>
    <cellStyle name="20% - Accent6 4 3 3" xfId="9842"/>
    <cellStyle name="20% - Accent6 4 3 4" xfId="9843"/>
    <cellStyle name="20% - Accent6 4 3 5" xfId="9844"/>
    <cellStyle name="20% - Accent6 4 4" xfId="1799"/>
    <cellStyle name="20% - Accent6 4 4 2" xfId="9845"/>
    <cellStyle name="20% - Accent6 4 4 3" xfId="9846"/>
    <cellStyle name="20% - Accent6 4 4 4" xfId="9847"/>
    <cellStyle name="20% - Accent6 4 5" xfId="2135"/>
    <cellStyle name="20% - Accent6 4 5 2" xfId="9848"/>
    <cellStyle name="20% - Accent6 4 5 3" xfId="9849"/>
    <cellStyle name="20% - Accent6 4 5 4" xfId="9850"/>
    <cellStyle name="20% - Accent6 4 6" xfId="2509"/>
    <cellStyle name="20% - Accent6 4 6 2" xfId="9851"/>
    <cellStyle name="20% - Accent6 4 6 3" xfId="9852"/>
    <cellStyle name="20% - Accent6 4 6 4" xfId="9853"/>
    <cellStyle name="20% - Accent6 4 7" xfId="2881"/>
    <cellStyle name="20% - Accent6 4 7 2" xfId="9854"/>
    <cellStyle name="20% - Accent6 4 7 3" xfId="9855"/>
    <cellStyle name="20% - Accent6 4 7 4" xfId="9856"/>
    <cellStyle name="20% - Accent6 4 8" xfId="3252"/>
    <cellStyle name="20% - Accent6 4 8 2" xfId="9857"/>
    <cellStyle name="20% - Accent6 4 8 3" xfId="9858"/>
    <cellStyle name="20% - Accent6 4 8 4" xfId="9859"/>
    <cellStyle name="20% - Accent6 4 9" xfId="3587"/>
    <cellStyle name="20% - Accent6 4 9 2" xfId="4437"/>
    <cellStyle name="20% - Accent6 4 9 2 2" xfId="9860"/>
    <cellStyle name="20% - Accent6 4 9 3" xfId="9861"/>
    <cellStyle name="20% - Accent6 4 9 4" xfId="9862"/>
    <cellStyle name="20% - Accent6 4 9 5" xfId="9863"/>
    <cellStyle name="20% - Accent6 5" xfId="379"/>
    <cellStyle name="20% - Accent6 5 10" xfId="9864"/>
    <cellStyle name="20% - Accent6 5 10 2" xfId="9865"/>
    <cellStyle name="20% - Accent6 5 10 3" xfId="9866"/>
    <cellStyle name="20% - Accent6 5 11" xfId="9867"/>
    <cellStyle name="20% - Accent6 5 11 2" xfId="9868"/>
    <cellStyle name="20% - Accent6 5 11 3" xfId="9869"/>
    <cellStyle name="20% - Accent6 5 12" xfId="9870"/>
    <cellStyle name="20% - Accent6 5 12 2" xfId="9871"/>
    <cellStyle name="20% - Accent6 5 12 3" xfId="9872"/>
    <cellStyle name="20% - Accent6 5 13" xfId="9873"/>
    <cellStyle name="20% - Accent6 5 13 2" xfId="9874"/>
    <cellStyle name="20% - Accent6 5 13 3" xfId="9875"/>
    <cellStyle name="20% - Accent6 5 14" xfId="9876"/>
    <cellStyle name="20% - Accent6 5 15" xfId="9877"/>
    <cellStyle name="20% - Accent6 5 16" xfId="9878"/>
    <cellStyle name="20% - Accent6 5 17" xfId="9879"/>
    <cellStyle name="20% - Accent6 5 2" xfId="1863"/>
    <cellStyle name="20% - Accent6 5 2 10" xfId="9880"/>
    <cellStyle name="20% - Accent6 5 2 10 2" xfId="9881"/>
    <cellStyle name="20% - Accent6 5 2 10 3" xfId="9882"/>
    <cellStyle name="20% - Accent6 5 2 11" xfId="9883"/>
    <cellStyle name="20% - Accent6 5 2 11 2" xfId="9884"/>
    <cellStyle name="20% - Accent6 5 2 11 3" xfId="9885"/>
    <cellStyle name="20% - Accent6 5 2 12" xfId="9886"/>
    <cellStyle name="20% - Accent6 5 2 12 2" xfId="9887"/>
    <cellStyle name="20% - Accent6 5 2 12 3" xfId="9888"/>
    <cellStyle name="20% - Accent6 5 2 13" xfId="9889"/>
    <cellStyle name="20% - Accent6 5 2 14" xfId="9890"/>
    <cellStyle name="20% - Accent6 5 2 15" xfId="9891"/>
    <cellStyle name="20% - Accent6 5 2 2" xfId="9892"/>
    <cellStyle name="20% - Accent6 5 2 2 2" xfId="9893"/>
    <cellStyle name="20% - Accent6 5 2 2 3" xfId="9894"/>
    <cellStyle name="20% - Accent6 5 2 3" xfId="9895"/>
    <cellStyle name="20% - Accent6 5 2 3 2" xfId="9896"/>
    <cellStyle name="20% - Accent6 5 2 3 3" xfId="9897"/>
    <cellStyle name="20% - Accent6 5 2 4" xfId="9898"/>
    <cellStyle name="20% - Accent6 5 2 4 2" xfId="9899"/>
    <cellStyle name="20% - Accent6 5 2 4 3" xfId="9900"/>
    <cellStyle name="20% - Accent6 5 2 5" xfId="9901"/>
    <cellStyle name="20% - Accent6 5 2 5 2" xfId="9902"/>
    <cellStyle name="20% - Accent6 5 2 5 3" xfId="9903"/>
    <cellStyle name="20% - Accent6 5 2 6" xfId="9904"/>
    <cellStyle name="20% - Accent6 5 2 6 2" xfId="9905"/>
    <cellStyle name="20% - Accent6 5 2 6 3" xfId="9906"/>
    <cellStyle name="20% - Accent6 5 2 7" xfId="9907"/>
    <cellStyle name="20% - Accent6 5 2 7 2" xfId="9908"/>
    <cellStyle name="20% - Accent6 5 2 7 3" xfId="9909"/>
    <cellStyle name="20% - Accent6 5 2 8" xfId="9910"/>
    <cellStyle name="20% - Accent6 5 2 8 2" xfId="9911"/>
    <cellStyle name="20% - Accent6 5 2 8 3" xfId="9912"/>
    <cellStyle name="20% - Accent6 5 2 9" xfId="9913"/>
    <cellStyle name="20% - Accent6 5 2 9 2" xfId="9914"/>
    <cellStyle name="20% - Accent6 5 2 9 3" xfId="9915"/>
    <cellStyle name="20% - Accent6 5 3" xfId="2238"/>
    <cellStyle name="20% - Accent6 5 3 2" xfId="9916"/>
    <cellStyle name="20% - Accent6 5 3 3" xfId="9917"/>
    <cellStyle name="20% - Accent6 5 3 4" xfId="9918"/>
    <cellStyle name="20% - Accent6 5 4" xfId="2612"/>
    <cellStyle name="20% - Accent6 5 4 2" xfId="9919"/>
    <cellStyle name="20% - Accent6 5 4 3" xfId="9920"/>
    <cellStyle name="20% - Accent6 5 4 4" xfId="9921"/>
    <cellStyle name="20% - Accent6 5 5" xfId="2984"/>
    <cellStyle name="20% - Accent6 5 5 2" xfId="9922"/>
    <cellStyle name="20% - Accent6 5 5 3" xfId="9923"/>
    <cellStyle name="20% - Accent6 5 5 4" xfId="9924"/>
    <cellStyle name="20% - Accent6 5 6" xfId="3356"/>
    <cellStyle name="20% - Accent6 5 6 2" xfId="9925"/>
    <cellStyle name="20% - Accent6 5 6 3" xfId="9926"/>
    <cellStyle name="20% - Accent6 5 6 4" xfId="9927"/>
    <cellStyle name="20% - Accent6 5 7" xfId="4438"/>
    <cellStyle name="20% - Accent6 5 7 2" xfId="9929"/>
    <cellStyle name="20% - Accent6 5 7 3" xfId="9930"/>
    <cellStyle name="20% - Accent6 5 7 4" xfId="9928"/>
    <cellStyle name="20% - Accent6 5 8" xfId="9931"/>
    <cellStyle name="20% - Accent6 5 8 2" xfId="9932"/>
    <cellStyle name="20% - Accent6 5 8 3" xfId="9933"/>
    <cellStyle name="20% - Accent6 5 9" xfId="9934"/>
    <cellStyle name="20% - Accent6 5 9 2" xfId="9935"/>
    <cellStyle name="20% - Accent6 5 9 3" xfId="9936"/>
    <cellStyle name="20% - Accent6 6" xfId="380"/>
    <cellStyle name="20% - Accent6 6 10" xfId="5368"/>
    <cellStyle name="20% - Accent6 6 10 2" xfId="6181"/>
    <cellStyle name="20% - Accent6 6 10 2 2" xfId="9939"/>
    <cellStyle name="20% - Accent6 6 10 2 3" xfId="26015"/>
    <cellStyle name="20% - Accent6 6 10 3" xfId="9940"/>
    <cellStyle name="20% - Accent6 6 10 4" xfId="9938"/>
    <cellStyle name="20% - Accent6 6 10 5" xfId="26014"/>
    <cellStyle name="20% - Accent6 6 11" xfId="5678"/>
    <cellStyle name="20% - Accent6 6 11 2" xfId="6182"/>
    <cellStyle name="20% - Accent6 6 11 2 2" xfId="9942"/>
    <cellStyle name="20% - Accent6 6 11 2 3" xfId="26017"/>
    <cellStyle name="20% - Accent6 6 11 3" xfId="9943"/>
    <cellStyle name="20% - Accent6 6 11 4" xfId="9941"/>
    <cellStyle name="20% - Accent6 6 11 5" xfId="26016"/>
    <cellStyle name="20% - Accent6 6 12" xfId="4439"/>
    <cellStyle name="20% - Accent6 6 12 2" xfId="6183"/>
    <cellStyle name="20% - Accent6 6 12 2 2" xfId="9945"/>
    <cellStyle name="20% - Accent6 6 12 2 3" xfId="26019"/>
    <cellStyle name="20% - Accent6 6 12 3" xfId="9946"/>
    <cellStyle name="20% - Accent6 6 12 4" xfId="9944"/>
    <cellStyle name="20% - Accent6 6 12 5" xfId="26018"/>
    <cellStyle name="20% - Accent6 6 13" xfId="6180"/>
    <cellStyle name="20% - Accent6 6 13 2" xfId="9947"/>
    <cellStyle name="20% - Accent6 6 13 3" xfId="26020"/>
    <cellStyle name="20% - Accent6 6 14" xfId="9948"/>
    <cellStyle name="20% - Accent6 6 15" xfId="9949"/>
    <cellStyle name="20% - Accent6 6 16" xfId="9950"/>
    <cellStyle name="20% - Accent6 6 16 2" xfId="9951"/>
    <cellStyle name="20% - Accent6 6 16 2 2" xfId="26022"/>
    <cellStyle name="20% - Accent6 6 16 2 3" xfId="28578"/>
    <cellStyle name="20% - Accent6 6 16 3" xfId="9952"/>
    <cellStyle name="20% - Accent6 6 16 3 2" xfId="26023"/>
    <cellStyle name="20% - Accent6 6 16 3 3" xfId="28579"/>
    <cellStyle name="20% - Accent6 6 16 4" xfId="26021"/>
    <cellStyle name="20% - Accent6 6 16 5" xfId="28577"/>
    <cellStyle name="20% - Accent6 6 17" xfId="9953"/>
    <cellStyle name="20% - Accent6 6 17 2" xfId="26024"/>
    <cellStyle name="20% - Accent6 6 17 3" xfId="28580"/>
    <cellStyle name="20% - Accent6 6 18" xfId="9954"/>
    <cellStyle name="20% - Accent6 6 18 2" xfId="26025"/>
    <cellStyle name="20% - Accent6 6 18 3" xfId="28581"/>
    <cellStyle name="20% - Accent6 6 19" xfId="9937"/>
    <cellStyle name="20% - Accent6 6 19 2" xfId="26026"/>
    <cellStyle name="20% - Accent6 6 2" xfId="1974"/>
    <cellStyle name="20% - Accent6 6 2 2" xfId="4440"/>
    <cellStyle name="20% - Accent6 6 2 2 2" xfId="9955"/>
    <cellStyle name="20% - Accent6 6 2 3" xfId="9956"/>
    <cellStyle name="20% - Accent6 6 2 4" xfId="9957"/>
    <cellStyle name="20% - Accent6 6 2 5" xfId="9958"/>
    <cellStyle name="20% - Accent6 6 20" xfId="24836"/>
    <cellStyle name="20% - Accent6 6 21" xfId="26013"/>
    <cellStyle name="20% - Accent6 6 22" xfId="28576"/>
    <cellStyle name="20% - Accent6 6 3" xfId="2349"/>
    <cellStyle name="20% - Accent6 6 3 2" xfId="4441"/>
    <cellStyle name="20% - Accent6 6 3 2 2" xfId="9959"/>
    <cellStyle name="20% - Accent6 6 3 3" xfId="9960"/>
    <cellStyle name="20% - Accent6 6 3 4" xfId="9961"/>
    <cellStyle name="20% - Accent6 6 3 5" xfId="9962"/>
    <cellStyle name="20% - Accent6 6 4" xfId="2722"/>
    <cellStyle name="20% - Accent6 6 4 2" xfId="4442"/>
    <cellStyle name="20% - Accent6 6 4 2 2" xfId="9963"/>
    <cellStyle name="20% - Accent6 6 4 3" xfId="9964"/>
    <cellStyle name="20% - Accent6 6 4 4" xfId="9965"/>
    <cellStyle name="20% - Accent6 6 4 5" xfId="9966"/>
    <cellStyle name="20% - Accent6 6 5" xfId="3095"/>
    <cellStyle name="20% - Accent6 6 5 2" xfId="4443"/>
    <cellStyle name="20% - Accent6 6 5 2 2" xfId="9967"/>
    <cellStyle name="20% - Accent6 6 5 3" xfId="9968"/>
    <cellStyle name="20% - Accent6 6 5 4" xfId="9969"/>
    <cellStyle name="20% - Accent6 6 5 5" xfId="9970"/>
    <cellStyle name="20% - Accent6 6 6" xfId="3466"/>
    <cellStyle name="20% - Accent6 6 6 2" xfId="4444"/>
    <cellStyle name="20% - Accent6 6 6 2 2" xfId="9971"/>
    <cellStyle name="20% - Accent6 6 6 3" xfId="9972"/>
    <cellStyle name="20% - Accent6 6 6 4" xfId="9973"/>
    <cellStyle name="20% - Accent6 6 6 5" xfId="9974"/>
    <cellStyle name="20% - Accent6 6 7" xfId="3772"/>
    <cellStyle name="20% - Accent6 6 7 2" xfId="4445"/>
    <cellStyle name="20% - Accent6 6 7 2 2" xfId="9975"/>
    <cellStyle name="20% - Accent6 6 7 3" xfId="9976"/>
    <cellStyle name="20% - Accent6 6 7 4" xfId="9977"/>
    <cellStyle name="20% - Accent6 6 7 5" xfId="9978"/>
    <cellStyle name="20% - Accent6 6 8" xfId="1365"/>
    <cellStyle name="20% - Accent6 6 8 10" xfId="26027"/>
    <cellStyle name="20% - Accent6 6 8 11" xfId="28582"/>
    <cellStyle name="20% - Accent6 6 8 2" xfId="4165"/>
    <cellStyle name="20% - Accent6 6 8 2 2" xfId="5370"/>
    <cellStyle name="20% - Accent6 6 8 2 2 2" xfId="6186"/>
    <cellStyle name="20% - Accent6 6 8 2 2 2 2" xfId="26030"/>
    <cellStyle name="20% - Accent6 6 8 2 2 3" xfId="9981"/>
    <cellStyle name="20% - Accent6 6 8 2 2 4" xfId="26029"/>
    <cellStyle name="20% - Accent6 6 8 2 3" xfId="5680"/>
    <cellStyle name="20% - Accent6 6 8 2 3 2" xfId="6187"/>
    <cellStyle name="20% - Accent6 6 8 2 3 2 2" xfId="26032"/>
    <cellStyle name="20% - Accent6 6 8 2 3 3" xfId="26031"/>
    <cellStyle name="20% - Accent6 6 8 2 4" xfId="4447"/>
    <cellStyle name="20% - Accent6 6 8 2 4 2" xfId="6188"/>
    <cellStyle name="20% - Accent6 6 8 2 4 2 2" xfId="26034"/>
    <cellStyle name="20% - Accent6 6 8 2 4 3" xfId="26033"/>
    <cellStyle name="20% - Accent6 6 8 2 5" xfId="6185"/>
    <cellStyle name="20% - Accent6 6 8 2 5 2" xfId="26035"/>
    <cellStyle name="20% - Accent6 6 8 2 6" xfId="9980"/>
    <cellStyle name="20% - Accent6 6 8 2 6 2" xfId="26036"/>
    <cellStyle name="20% - Accent6 6 8 2 7" xfId="25017"/>
    <cellStyle name="20% - Accent6 6 8 2 8" xfId="26028"/>
    <cellStyle name="20% - Accent6 6 8 2 9" xfId="28583"/>
    <cellStyle name="20% - Accent6 6 8 3" xfId="5369"/>
    <cellStyle name="20% - Accent6 6 8 3 2" xfId="6189"/>
    <cellStyle name="20% - Accent6 6 8 3 2 2" xfId="26038"/>
    <cellStyle name="20% - Accent6 6 8 3 3" xfId="9982"/>
    <cellStyle name="20% - Accent6 6 8 3 4" xfId="26037"/>
    <cellStyle name="20% - Accent6 6 8 4" xfId="5679"/>
    <cellStyle name="20% - Accent6 6 8 4 2" xfId="6190"/>
    <cellStyle name="20% - Accent6 6 8 4 2 2" xfId="26040"/>
    <cellStyle name="20% - Accent6 6 8 4 3" xfId="9983"/>
    <cellStyle name="20% - Accent6 6 8 4 4" xfId="26039"/>
    <cellStyle name="20% - Accent6 6 8 5" xfId="4446"/>
    <cellStyle name="20% - Accent6 6 8 5 2" xfId="6191"/>
    <cellStyle name="20% - Accent6 6 8 5 2 2" xfId="9985"/>
    <cellStyle name="20% - Accent6 6 8 5 2 2 2" xfId="26043"/>
    <cellStyle name="20% - Accent6 6 8 5 2 3" xfId="26042"/>
    <cellStyle name="20% - Accent6 6 8 5 2 4" xfId="28585"/>
    <cellStyle name="20% - Accent6 6 8 5 3" xfId="9986"/>
    <cellStyle name="20% - Accent6 6 8 5 3 2" xfId="26044"/>
    <cellStyle name="20% - Accent6 6 8 5 3 3" xfId="28586"/>
    <cellStyle name="20% - Accent6 6 8 5 4" xfId="9984"/>
    <cellStyle name="20% - Accent6 6 8 5 4 2" xfId="26045"/>
    <cellStyle name="20% - Accent6 6 8 5 5" xfId="26041"/>
    <cellStyle name="20% - Accent6 6 8 5 6" xfId="28584"/>
    <cellStyle name="20% - Accent6 6 8 6" xfId="6184"/>
    <cellStyle name="20% - Accent6 6 8 6 2" xfId="9987"/>
    <cellStyle name="20% - Accent6 6 8 6 2 2" xfId="26047"/>
    <cellStyle name="20% - Accent6 6 8 6 3" xfId="26046"/>
    <cellStyle name="20% - Accent6 6 8 6 4" xfId="28587"/>
    <cellStyle name="20% - Accent6 6 8 7" xfId="9988"/>
    <cellStyle name="20% - Accent6 6 8 7 2" xfId="26048"/>
    <cellStyle name="20% - Accent6 6 8 7 3" xfId="28588"/>
    <cellStyle name="20% - Accent6 6 8 8" xfId="9979"/>
    <cellStyle name="20% - Accent6 6 8 8 2" xfId="26049"/>
    <cellStyle name="20% - Accent6 6 8 9" xfId="24897"/>
    <cellStyle name="20% - Accent6 6 9" xfId="3822"/>
    <cellStyle name="20% - Accent6 6 9 2" xfId="5371"/>
    <cellStyle name="20% - Accent6 6 9 2 2" xfId="6193"/>
    <cellStyle name="20% - Accent6 6 9 2 2 2" xfId="26052"/>
    <cellStyle name="20% - Accent6 6 9 2 3" xfId="9990"/>
    <cellStyle name="20% - Accent6 6 9 2 4" xfId="26051"/>
    <cellStyle name="20% - Accent6 6 9 3" xfId="5681"/>
    <cellStyle name="20% - Accent6 6 9 3 2" xfId="6194"/>
    <cellStyle name="20% - Accent6 6 9 3 2 2" xfId="26054"/>
    <cellStyle name="20% - Accent6 6 9 3 3" xfId="9991"/>
    <cellStyle name="20% - Accent6 6 9 3 4" xfId="26053"/>
    <cellStyle name="20% - Accent6 6 9 4" xfId="4448"/>
    <cellStyle name="20% - Accent6 6 9 4 2" xfId="6195"/>
    <cellStyle name="20% - Accent6 6 9 4 2 2" xfId="26056"/>
    <cellStyle name="20% - Accent6 6 9 4 3" xfId="9992"/>
    <cellStyle name="20% - Accent6 6 9 4 4" xfId="26055"/>
    <cellStyle name="20% - Accent6 6 9 5" xfId="6192"/>
    <cellStyle name="20% - Accent6 6 9 5 2" xfId="26057"/>
    <cellStyle name="20% - Accent6 6 9 6" xfId="9989"/>
    <cellStyle name="20% - Accent6 6 9 6 2" xfId="26058"/>
    <cellStyle name="20% - Accent6 6 9 7" xfId="24958"/>
    <cellStyle name="20% - Accent6 6 9 8" xfId="26050"/>
    <cellStyle name="20% - Accent6 6 9 9" xfId="28589"/>
    <cellStyle name="20% - Accent6 7" xfId="381"/>
    <cellStyle name="20% - Accent6 7 10" xfId="9993"/>
    <cellStyle name="20% - Accent6 7 10 2" xfId="9994"/>
    <cellStyle name="20% - Accent6 7 10 3" xfId="9995"/>
    <cellStyle name="20% - Accent6 7 11" xfId="9996"/>
    <cellStyle name="20% - Accent6 7 11 2" xfId="9997"/>
    <cellStyle name="20% - Accent6 7 11 3" xfId="9998"/>
    <cellStyle name="20% - Accent6 7 12" xfId="9999"/>
    <cellStyle name="20% - Accent6 7 12 2" xfId="10000"/>
    <cellStyle name="20% - Accent6 7 12 3" xfId="10001"/>
    <cellStyle name="20% - Accent6 7 13" xfId="10002"/>
    <cellStyle name="20% - Accent6 7 14" xfId="10003"/>
    <cellStyle name="20% - Accent6 7 15" xfId="10004"/>
    <cellStyle name="20% - Accent6 7 16" xfId="10005"/>
    <cellStyle name="20% - Accent6 7 2" xfId="4449"/>
    <cellStyle name="20% - Accent6 7 2 2" xfId="10007"/>
    <cellStyle name="20% - Accent6 7 2 3" xfId="10008"/>
    <cellStyle name="20% - Accent6 7 2 4" xfId="10006"/>
    <cellStyle name="20% - Accent6 7 3" xfId="10009"/>
    <cellStyle name="20% - Accent6 7 3 2" xfId="10010"/>
    <cellStyle name="20% - Accent6 7 3 3" xfId="10011"/>
    <cellStyle name="20% - Accent6 7 4" xfId="10012"/>
    <cellStyle name="20% - Accent6 7 4 2" xfId="10013"/>
    <cellStyle name="20% - Accent6 7 4 3" xfId="10014"/>
    <cellStyle name="20% - Accent6 7 5" xfId="10015"/>
    <cellStyle name="20% - Accent6 7 5 2" xfId="10016"/>
    <cellStyle name="20% - Accent6 7 5 3" xfId="10017"/>
    <cellStyle name="20% - Accent6 7 6" xfId="10018"/>
    <cellStyle name="20% - Accent6 7 6 2" xfId="10019"/>
    <cellStyle name="20% - Accent6 7 6 3" xfId="10020"/>
    <cellStyle name="20% - Accent6 7 7" xfId="10021"/>
    <cellStyle name="20% - Accent6 7 7 2" xfId="10022"/>
    <cellStyle name="20% - Accent6 7 7 3" xfId="10023"/>
    <cellStyle name="20% - Accent6 7 8" xfId="10024"/>
    <cellStyle name="20% - Accent6 7 8 2" xfId="10025"/>
    <cellStyle name="20% - Accent6 7 8 3" xfId="10026"/>
    <cellStyle name="20% - Accent6 7 9" xfId="10027"/>
    <cellStyle name="20% - Accent6 7 9 2" xfId="10028"/>
    <cellStyle name="20% - Accent6 7 9 3" xfId="10029"/>
    <cellStyle name="20% - Accent6 8" xfId="535"/>
    <cellStyle name="20% - Accent6 8 10" xfId="24850"/>
    <cellStyle name="20% - Accent6 8 11" xfId="26059"/>
    <cellStyle name="20% - Accent6 8 12" xfId="28590"/>
    <cellStyle name="20% - Accent6 8 2" xfId="1382"/>
    <cellStyle name="20% - Accent6 8 2 10" xfId="26060"/>
    <cellStyle name="20% - Accent6 8 2 11" xfId="28591"/>
    <cellStyle name="20% - Accent6 8 2 2" xfId="4182"/>
    <cellStyle name="20% - Accent6 8 2 2 2" xfId="5374"/>
    <cellStyle name="20% - Accent6 8 2 2 2 2" xfId="6199"/>
    <cellStyle name="20% - Accent6 8 2 2 2 2 2" xfId="26063"/>
    <cellStyle name="20% - Accent6 8 2 2 2 3" xfId="10033"/>
    <cellStyle name="20% - Accent6 8 2 2 2 4" xfId="26062"/>
    <cellStyle name="20% - Accent6 8 2 2 3" xfId="5684"/>
    <cellStyle name="20% - Accent6 8 2 2 3 2" xfId="6200"/>
    <cellStyle name="20% - Accent6 8 2 2 3 2 2" xfId="26065"/>
    <cellStyle name="20% - Accent6 8 2 2 3 3" xfId="26064"/>
    <cellStyle name="20% - Accent6 8 2 2 4" xfId="4452"/>
    <cellStyle name="20% - Accent6 8 2 2 4 2" xfId="6201"/>
    <cellStyle name="20% - Accent6 8 2 2 4 2 2" xfId="26067"/>
    <cellStyle name="20% - Accent6 8 2 2 4 3" xfId="26066"/>
    <cellStyle name="20% - Accent6 8 2 2 5" xfId="6198"/>
    <cellStyle name="20% - Accent6 8 2 2 5 2" xfId="26068"/>
    <cellStyle name="20% - Accent6 8 2 2 6" xfId="10032"/>
    <cellStyle name="20% - Accent6 8 2 2 6 2" xfId="26069"/>
    <cellStyle name="20% - Accent6 8 2 2 7" xfId="25034"/>
    <cellStyle name="20% - Accent6 8 2 2 8" xfId="26061"/>
    <cellStyle name="20% - Accent6 8 2 2 9" xfId="28592"/>
    <cellStyle name="20% - Accent6 8 2 3" xfId="5373"/>
    <cellStyle name="20% - Accent6 8 2 3 2" xfId="6202"/>
    <cellStyle name="20% - Accent6 8 2 3 2 2" xfId="26071"/>
    <cellStyle name="20% - Accent6 8 2 3 3" xfId="10034"/>
    <cellStyle name="20% - Accent6 8 2 3 4" xfId="26070"/>
    <cellStyle name="20% - Accent6 8 2 4" xfId="5683"/>
    <cellStyle name="20% - Accent6 8 2 4 2" xfId="6203"/>
    <cellStyle name="20% - Accent6 8 2 4 2 2" xfId="26073"/>
    <cellStyle name="20% - Accent6 8 2 4 3" xfId="10035"/>
    <cellStyle name="20% - Accent6 8 2 4 4" xfId="26072"/>
    <cellStyle name="20% - Accent6 8 2 5" xfId="4451"/>
    <cellStyle name="20% - Accent6 8 2 5 2" xfId="6204"/>
    <cellStyle name="20% - Accent6 8 2 5 2 2" xfId="10037"/>
    <cellStyle name="20% - Accent6 8 2 5 2 2 2" xfId="26076"/>
    <cellStyle name="20% - Accent6 8 2 5 2 3" xfId="26075"/>
    <cellStyle name="20% - Accent6 8 2 5 2 4" xfId="28594"/>
    <cellStyle name="20% - Accent6 8 2 5 3" xfId="10038"/>
    <cellStyle name="20% - Accent6 8 2 5 3 2" xfId="26077"/>
    <cellStyle name="20% - Accent6 8 2 5 3 3" xfId="28595"/>
    <cellStyle name="20% - Accent6 8 2 5 4" xfId="10036"/>
    <cellStyle name="20% - Accent6 8 2 5 4 2" xfId="26078"/>
    <cellStyle name="20% - Accent6 8 2 5 5" xfId="26074"/>
    <cellStyle name="20% - Accent6 8 2 5 6" xfId="28593"/>
    <cellStyle name="20% - Accent6 8 2 6" xfId="6197"/>
    <cellStyle name="20% - Accent6 8 2 6 2" xfId="10039"/>
    <cellStyle name="20% - Accent6 8 2 6 2 2" xfId="26080"/>
    <cellStyle name="20% - Accent6 8 2 6 3" xfId="26079"/>
    <cellStyle name="20% - Accent6 8 2 6 4" xfId="28596"/>
    <cellStyle name="20% - Accent6 8 2 7" xfId="10040"/>
    <cellStyle name="20% - Accent6 8 2 7 2" xfId="26081"/>
    <cellStyle name="20% - Accent6 8 2 7 3" xfId="28597"/>
    <cellStyle name="20% - Accent6 8 2 8" xfId="10031"/>
    <cellStyle name="20% - Accent6 8 2 8 2" xfId="26082"/>
    <cellStyle name="20% - Accent6 8 2 9" xfId="24914"/>
    <cellStyle name="20% - Accent6 8 3" xfId="3836"/>
    <cellStyle name="20% - Accent6 8 3 2" xfId="5375"/>
    <cellStyle name="20% - Accent6 8 3 2 2" xfId="6206"/>
    <cellStyle name="20% - Accent6 8 3 2 2 2" xfId="26085"/>
    <cellStyle name="20% - Accent6 8 3 2 3" xfId="10042"/>
    <cellStyle name="20% - Accent6 8 3 2 4" xfId="26084"/>
    <cellStyle name="20% - Accent6 8 3 3" xfId="5685"/>
    <cellStyle name="20% - Accent6 8 3 3 2" xfId="6207"/>
    <cellStyle name="20% - Accent6 8 3 3 2 2" xfId="26087"/>
    <cellStyle name="20% - Accent6 8 3 3 3" xfId="26086"/>
    <cellStyle name="20% - Accent6 8 3 4" xfId="4453"/>
    <cellStyle name="20% - Accent6 8 3 4 2" xfId="6208"/>
    <cellStyle name="20% - Accent6 8 3 4 2 2" xfId="26089"/>
    <cellStyle name="20% - Accent6 8 3 4 3" xfId="26088"/>
    <cellStyle name="20% - Accent6 8 3 5" xfId="6205"/>
    <cellStyle name="20% - Accent6 8 3 5 2" xfId="26090"/>
    <cellStyle name="20% - Accent6 8 3 6" xfId="10041"/>
    <cellStyle name="20% - Accent6 8 3 6 2" xfId="26091"/>
    <cellStyle name="20% - Accent6 8 3 7" xfId="24972"/>
    <cellStyle name="20% - Accent6 8 3 8" xfId="26083"/>
    <cellStyle name="20% - Accent6 8 3 9" xfId="28598"/>
    <cellStyle name="20% - Accent6 8 4" xfId="5372"/>
    <cellStyle name="20% - Accent6 8 4 2" xfId="6209"/>
    <cellStyle name="20% - Accent6 8 4 2 2" xfId="26093"/>
    <cellStyle name="20% - Accent6 8 4 3" xfId="10043"/>
    <cellStyle name="20% - Accent6 8 4 4" xfId="26092"/>
    <cellStyle name="20% - Accent6 8 5" xfId="5682"/>
    <cellStyle name="20% - Accent6 8 5 2" xfId="6210"/>
    <cellStyle name="20% - Accent6 8 5 2 2" xfId="26095"/>
    <cellStyle name="20% - Accent6 8 5 3" xfId="10044"/>
    <cellStyle name="20% - Accent6 8 5 4" xfId="26094"/>
    <cellStyle name="20% - Accent6 8 6" xfId="4450"/>
    <cellStyle name="20% - Accent6 8 6 2" xfId="6211"/>
    <cellStyle name="20% - Accent6 8 6 2 2" xfId="10046"/>
    <cellStyle name="20% - Accent6 8 6 2 2 2" xfId="26098"/>
    <cellStyle name="20% - Accent6 8 6 2 3" xfId="26097"/>
    <cellStyle name="20% - Accent6 8 6 2 4" xfId="28600"/>
    <cellStyle name="20% - Accent6 8 6 3" xfId="10047"/>
    <cellStyle name="20% - Accent6 8 6 3 2" xfId="26099"/>
    <cellStyle name="20% - Accent6 8 6 3 3" xfId="28601"/>
    <cellStyle name="20% - Accent6 8 6 4" xfId="10045"/>
    <cellStyle name="20% - Accent6 8 6 4 2" xfId="26100"/>
    <cellStyle name="20% - Accent6 8 6 5" xfId="26096"/>
    <cellStyle name="20% - Accent6 8 6 6" xfId="28599"/>
    <cellStyle name="20% - Accent6 8 7" xfId="6196"/>
    <cellStyle name="20% - Accent6 8 7 2" xfId="10048"/>
    <cellStyle name="20% - Accent6 8 7 2 2" xfId="26102"/>
    <cellStyle name="20% - Accent6 8 7 3" xfId="26101"/>
    <cellStyle name="20% - Accent6 8 7 4" xfId="28602"/>
    <cellStyle name="20% - Accent6 8 8" xfId="10049"/>
    <cellStyle name="20% - Accent6 8 8 2" xfId="26103"/>
    <cellStyle name="20% - Accent6 8 8 3" xfId="28603"/>
    <cellStyle name="20% - Accent6 8 9" xfId="10030"/>
    <cellStyle name="20% - Accent6 8 9 2" xfId="26104"/>
    <cellStyle name="20% - Accent6 9" xfId="536"/>
    <cellStyle name="20% - Accent6 9 2" xfId="4454"/>
    <cellStyle name="20% - Accent6 9 2 2" xfId="10051"/>
    <cellStyle name="20% - Accent6 9 2 3" xfId="10052"/>
    <cellStyle name="20% - Accent6 9 2 4" xfId="10050"/>
    <cellStyle name="20% - Accent6 9 3" xfId="10053"/>
    <cellStyle name="20% - Accent6 9 4" xfId="10054"/>
    <cellStyle name="20% - Accent6 9 5" xfId="10055"/>
    <cellStyle name="20% - Accent6 9 6" xfId="10056"/>
    <cellStyle name="40% - Accent1" xfId="7106" builtinId="31" customBuiltin="1"/>
    <cellStyle name="40% - Accent1 10" xfId="664"/>
    <cellStyle name="40% - Accent1 10 2" xfId="4455"/>
    <cellStyle name="40% - Accent1 10 2 2" xfId="10057"/>
    <cellStyle name="40% - Accent1 10 3" xfId="10058"/>
    <cellStyle name="40% - Accent1 10 4" xfId="10059"/>
    <cellStyle name="40% - Accent1 10 5" xfId="10060"/>
    <cellStyle name="40% - Accent1 11" xfId="665"/>
    <cellStyle name="40% - Accent1 11 2" xfId="4456"/>
    <cellStyle name="40% - Accent1 11 2 2" xfId="10061"/>
    <cellStyle name="40% - Accent1 11 3" xfId="10062"/>
    <cellStyle name="40% - Accent1 11 4" xfId="10063"/>
    <cellStyle name="40% - Accent1 11 5" xfId="10064"/>
    <cellStyle name="40% - Accent1 12" xfId="816"/>
    <cellStyle name="40% - Accent1 12 2" xfId="10066"/>
    <cellStyle name="40% - Accent1 12 3" xfId="10067"/>
    <cellStyle name="40% - Accent1 12 4" xfId="10065"/>
    <cellStyle name="40% - Accent1 13" xfId="817"/>
    <cellStyle name="40% - Accent1 13 2" xfId="3851"/>
    <cellStyle name="40% - Accent1 13 2 2" xfId="6213"/>
    <cellStyle name="40% - Accent1 13 2 2 2" xfId="26107"/>
    <cellStyle name="40% - Accent1 13 2 3" xfId="10069"/>
    <cellStyle name="40% - Accent1 13 2 4" xfId="24987"/>
    <cellStyle name="40% - Accent1 13 2 5" xfId="26106"/>
    <cellStyle name="40% - Accent1 13 3" xfId="6212"/>
    <cellStyle name="40% - Accent1 13 3 2" xfId="10070"/>
    <cellStyle name="40% - Accent1 13 3 3" xfId="26108"/>
    <cellStyle name="40% - Accent1 13 4" xfId="10068"/>
    <cellStyle name="40% - Accent1 13 5" xfId="24866"/>
    <cellStyle name="40% - Accent1 13 6" xfId="26105"/>
    <cellStyle name="40% - Accent1 14" xfId="933"/>
    <cellStyle name="40% - Accent1 14 2" xfId="10072"/>
    <cellStyle name="40% - Accent1 14 3" xfId="10073"/>
    <cellStyle name="40% - Accent1 14 4" xfId="10071"/>
    <cellStyle name="40% - Accent1 15" xfId="10074"/>
    <cellStyle name="40% - Accent1 15 2" xfId="10075"/>
    <cellStyle name="40% - Accent1 15 3" xfId="10076"/>
    <cellStyle name="40% - Accent1 16" xfId="10077"/>
    <cellStyle name="40% - Accent1 16 2" xfId="10078"/>
    <cellStyle name="40% - Accent1 16 3" xfId="10079"/>
    <cellStyle name="40% - Accent1 17" xfId="10080"/>
    <cellStyle name="40% - Accent1 17 2" xfId="10081"/>
    <cellStyle name="40% - Accent1 17 3" xfId="10082"/>
    <cellStyle name="40% - Accent1 18" xfId="10083"/>
    <cellStyle name="40% - Accent1 18 2" xfId="10084"/>
    <cellStyle name="40% - Accent1 18 3" xfId="10085"/>
    <cellStyle name="40% - Accent1 19" xfId="10086"/>
    <cellStyle name="40% - Accent1 19 2" xfId="10087"/>
    <cellStyle name="40% - Accent1 2" xfId="74"/>
    <cellStyle name="40% - Accent1 2 10" xfId="1673"/>
    <cellStyle name="40% - Accent1 2 10 2" xfId="4457"/>
    <cellStyle name="40% - Accent1 2 10 2 2" xfId="10088"/>
    <cellStyle name="40% - Accent1 2 10 3" xfId="10089"/>
    <cellStyle name="40% - Accent1 2 10 4" xfId="10090"/>
    <cellStyle name="40% - Accent1 2 10 5" xfId="10091"/>
    <cellStyle name="40% - Accent1 2 11" xfId="1793"/>
    <cellStyle name="40% - Accent1 2 11 2" xfId="4458"/>
    <cellStyle name="40% - Accent1 2 11 2 2" xfId="10092"/>
    <cellStyle name="40% - Accent1 2 11 3" xfId="10093"/>
    <cellStyle name="40% - Accent1 2 11 4" xfId="10094"/>
    <cellStyle name="40% - Accent1 2 11 5" xfId="10095"/>
    <cellStyle name="40% - Accent1 2 12" xfId="2221"/>
    <cellStyle name="40% - Accent1 2 12 2" xfId="4459"/>
    <cellStyle name="40% - Accent1 2 12 2 2" xfId="10096"/>
    <cellStyle name="40% - Accent1 2 12 3" xfId="10097"/>
    <cellStyle name="40% - Accent1 2 12 4" xfId="10098"/>
    <cellStyle name="40% - Accent1 2 12 5" xfId="10099"/>
    <cellStyle name="40% - Accent1 2 13" xfId="2595"/>
    <cellStyle name="40% - Accent1 2 13 2" xfId="4460"/>
    <cellStyle name="40% - Accent1 2 13 2 2" xfId="10100"/>
    <cellStyle name="40% - Accent1 2 13 3" xfId="10101"/>
    <cellStyle name="40% - Accent1 2 13 4" xfId="10102"/>
    <cellStyle name="40% - Accent1 2 13 5" xfId="10103"/>
    <cellStyle name="40% - Accent1 2 14" xfId="2875"/>
    <cellStyle name="40% - Accent1 2 14 2" xfId="4461"/>
    <cellStyle name="40% - Accent1 2 14 2 2" xfId="10104"/>
    <cellStyle name="40% - Accent1 2 14 3" xfId="10105"/>
    <cellStyle name="40% - Accent1 2 14 4" xfId="10106"/>
    <cellStyle name="40% - Accent1 2 14 5" xfId="10107"/>
    <cellStyle name="40% - Accent1 2 15" xfId="3246"/>
    <cellStyle name="40% - Accent1 2 15 2" xfId="4462"/>
    <cellStyle name="40% - Accent1 2 15 2 2" xfId="10108"/>
    <cellStyle name="40% - Accent1 2 15 3" xfId="10109"/>
    <cellStyle name="40% - Accent1 2 16" xfId="3638"/>
    <cellStyle name="40% - Accent1 2 16 2" xfId="4463"/>
    <cellStyle name="40% - Accent1 2 16 2 2" xfId="10110"/>
    <cellStyle name="40% - Accent1 2 16 3" xfId="10111"/>
    <cellStyle name="40% - Accent1 2 17" xfId="24473"/>
    <cellStyle name="40% - Accent1 2 2" xfId="118"/>
    <cellStyle name="40% - Accent1 2 2 10" xfId="10112"/>
    <cellStyle name="40% - Accent1 2 2 10 2" xfId="10113"/>
    <cellStyle name="40% - Accent1 2 2 10 3" xfId="10114"/>
    <cellStyle name="40% - Accent1 2 2 11" xfId="10115"/>
    <cellStyle name="40% - Accent1 2 2 11 2" xfId="10116"/>
    <cellStyle name="40% - Accent1 2 2 11 3" xfId="10117"/>
    <cellStyle name="40% - Accent1 2 2 12" xfId="10118"/>
    <cellStyle name="40% - Accent1 2 2 12 2" xfId="10119"/>
    <cellStyle name="40% - Accent1 2 2 12 3" xfId="10120"/>
    <cellStyle name="40% - Accent1 2 2 13" xfId="10121"/>
    <cellStyle name="40% - Accent1 2 2 14" xfId="10122"/>
    <cellStyle name="40% - Accent1 2 2 15" xfId="10123"/>
    <cellStyle name="40% - Accent1 2 2 2" xfId="172"/>
    <cellStyle name="40% - Accent1 2 2 2 2" xfId="10124"/>
    <cellStyle name="40% - Accent1 2 2 2 3" xfId="10125"/>
    <cellStyle name="40% - Accent1 2 2 3" xfId="336"/>
    <cellStyle name="40% - Accent1 2 2 3 2" xfId="10126"/>
    <cellStyle name="40% - Accent1 2 2 3 3" xfId="10127"/>
    <cellStyle name="40% - Accent1 2 2 4" xfId="2158"/>
    <cellStyle name="40% - Accent1 2 2 4 2" xfId="10128"/>
    <cellStyle name="40% - Accent1 2 2 4 3" xfId="10129"/>
    <cellStyle name="40% - Accent1 2 2 5" xfId="2532"/>
    <cellStyle name="40% - Accent1 2 2 5 2" xfId="10130"/>
    <cellStyle name="40% - Accent1 2 2 5 3" xfId="10131"/>
    <cellStyle name="40% - Accent1 2 2 6" xfId="2904"/>
    <cellStyle name="40% - Accent1 2 2 6 2" xfId="10132"/>
    <cellStyle name="40% - Accent1 2 2 6 3" xfId="10133"/>
    <cellStyle name="40% - Accent1 2 2 7" xfId="3276"/>
    <cellStyle name="40% - Accent1 2 2 7 2" xfId="10134"/>
    <cellStyle name="40% - Accent1 2 2 7 3" xfId="10135"/>
    <cellStyle name="40% - Accent1 2 2 8" xfId="4464"/>
    <cellStyle name="40% - Accent1 2 2 8 2" xfId="10137"/>
    <cellStyle name="40% - Accent1 2 2 8 3" xfId="10138"/>
    <cellStyle name="40% - Accent1 2 2 8 4" xfId="10136"/>
    <cellStyle name="40% - Accent1 2 2 9" xfId="10139"/>
    <cellStyle name="40% - Accent1 2 2 9 2" xfId="10140"/>
    <cellStyle name="40% - Accent1 2 2 9 3" xfId="10141"/>
    <cellStyle name="40% - Accent1 2 3" xfId="283"/>
    <cellStyle name="40% - Accent1 2 3 2" xfId="1334"/>
    <cellStyle name="40% - Accent1 2 3 2 2" xfId="10142"/>
    <cellStyle name="40% - Accent1 2 3 2 3" xfId="10143"/>
    <cellStyle name="40% - Accent1 2 3 3" xfId="10144"/>
    <cellStyle name="40% - Accent1 2 3 4" xfId="10145"/>
    <cellStyle name="40% - Accent1 2 4" xfId="382"/>
    <cellStyle name="40% - Accent1 2 4 2" xfId="10146"/>
    <cellStyle name="40% - Accent1 2 4 2 2" xfId="10147"/>
    <cellStyle name="40% - Accent1 2 4 2 3" xfId="10148"/>
    <cellStyle name="40% - Accent1 2 4 3" xfId="10149"/>
    <cellStyle name="40% - Accent1 2 4 4" xfId="10150"/>
    <cellStyle name="40% - Accent1 2 5" xfId="537"/>
    <cellStyle name="40% - Accent1 2 5 2" xfId="10151"/>
    <cellStyle name="40% - Accent1 2 5 3" xfId="10152"/>
    <cellStyle name="40% - Accent1 2 6" xfId="666"/>
    <cellStyle name="40% - Accent1 2 6 2" xfId="10153"/>
    <cellStyle name="40% - Accent1 2 6 3" xfId="10154"/>
    <cellStyle name="40% - Accent1 2 7" xfId="667"/>
    <cellStyle name="40% - Accent1 2 7 2" xfId="10155"/>
    <cellStyle name="40% - Accent1 2 7 3" xfId="10156"/>
    <cellStyle name="40% - Accent1 2 8" xfId="818"/>
    <cellStyle name="40% - Accent1 2 8 2" xfId="1402"/>
    <cellStyle name="40% - Accent1 2 8 2 2" xfId="10157"/>
    <cellStyle name="40% - Accent1 2 8 3" xfId="10158"/>
    <cellStyle name="40% - Accent1 2 8 4" xfId="10159"/>
    <cellStyle name="40% - Accent1 2 8 5" xfId="10160"/>
    <cellStyle name="40% - Accent1 2 9" xfId="934"/>
    <cellStyle name="40% - Accent1 2 9 2" xfId="1395"/>
    <cellStyle name="40% - Accent1 2 9 2 2" xfId="10161"/>
    <cellStyle name="40% - Accent1 2 9 3" xfId="10162"/>
    <cellStyle name="40% - Accent1 2 9 4" xfId="10163"/>
    <cellStyle name="40% - Accent1 2 9 5" xfId="10164"/>
    <cellStyle name="40% - Accent1 20" xfId="10165"/>
    <cellStyle name="40% - Accent1 21" xfId="10166"/>
    <cellStyle name="40% - Accent1 21 2" xfId="10167"/>
    <cellStyle name="40% - Accent1 21 2 2" xfId="10168"/>
    <cellStyle name="40% - Accent1 21 2 2 2" xfId="26111"/>
    <cellStyle name="40% - Accent1 21 2 2 3" xfId="28606"/>
    <cellStyle name="40% - Accent1 21 2 3" xfId="10169"/>
    <cellStyle name="40% - Accent1 21 2 3 2" xfId="26112"/>
    <cellStyle name="40% - Accent1 21 2 3 3" xfId="28607"/>
    <cellStyle name="40% - Accent1 21 2 4" xfId="26110"/>
    <cellStyle name="40% - Accent1 21 2 5" xfId="28605"/>
    <cellStyle name="40% - Accent1 21 3" xfId="10170"/>
    <cellStyle name="40% - Accent1 21 3 2" xfId="26113"/>
    <cellStyle name="40% - Accent1 21 3 3" xfId="28608"/>
    <cellStyle name="40% - Accent1 21 4" xfId="10171"/>
    <cellStyle name="40% - Accent1 21 4 2" xfId="26114"/>
    <cellStyle name="40% - Accent1 21 4 3" xfId="28609"/>
    <cellStyle name="40% - Accent1 21 5" xfId="26109"/>
    <cellStyle name="40% - Accent1 21 6" xfId="28604"/>
    <cellStyle name="40% - Accent1 22" xfId="10172"/>
    <cellStyle name="40% - Accent1 22 2" xfId="10173"/>
    <cellStyle name="40% - Accent1 22 2 2" xfId="10174"/>
    <cellStyle name="40% - Accent1 22 2 2 2" xfId="26117"/>
    <cellStyle name="40% - Accent1 22 2 2 3" xfId="28612"/>
    <cellStyle name="40% - Accent1 22 2 3" xfId="10175"/>
    <cellStyle name="40% - Accent1 22 2 3 2" xfId="26118"/>
    <cellStyle name="40% - Accent1 22 2 3 3" xfId="28613"/>
    <cellStyle name="40% - Accent1 22 2 4" xfId="26116"/>
    <cellStyle name="40% - Accent1 22 2 5" xfId="28611"/>
    <cellStyle name="40% - Accent1 22 3" xfId="10176"/>
    <cellStyle name="40% - Accent1 22 3 2" xfId="26119"/>
    <cellStyle name="40% - Accent1 22 3 3" xfId="28614"/>
    <cellStyle name="40% - Accent1 22 4" xfId="10177"/>
    <cellStyle name="40% - Accent1 22 4 2" xfId="26120"/>
    <cellStyle name="40% - Accent1 22 4 3" xfId="28615"/>
    <cellStyle name="40% - Accent1 22 5" xfId="26115"/>
    <cellStyle name="40% - Accent1 22 6" xfId="28610"/>
    <cellStyle name="40% - Accent1 23" xfId="10178"/>
    <cellStyle name="40% - Accent1 24" xfId="10179"/>
    <cellStyle name="40% - Accent1 24 2" xfId="10180"/>
    <cellStyle name="40% - Accent1 24 2 2" xfId="10181"/>
    <cellStyle name="40% - Accent1 24 2 2 2" xfId="26123"/>
    <cellStyle name="40% - Accent1 24 2 2 3" xfId="28618"/>
    <cellStyle name="40% - Accent1 24 2 3" xfId="10182"/>
    <cellStyle name="40% - Accent1 24 2 3 2" xfId="26124"/>
    <cellStyle name="40% - Accent1 24 2 3 3" xfId="28619"/>
    <cellStyle name="40% - Accent1 24 2 4" xfId="26122"/>
    <cellStyle name="40% - Accent1 24 2 5" xfId="28617"/>
    <cellStyle name="40% - Accent1 24 3" xfId="10183"/>
    <cellStyle name="40% - Accent1 24 3 2" xfId="26125"/>
    <cellStyle name="40% - Accent1 24 3 3" xfId="28620"/>
    <cellStyle name="40% - Accent1 24 4" xfId="10184"/>
    <cellStyle name="40% - Accent1 24 4 2" xfId="26126"/>
    <cellStyle name="40% - Accent1 24 4 3" xfId="28621"/>
    <cellStyle name="40% - Accent1 24 5" xfId="26121"/>
    <cellStyle name="40% - Accent1 24 6" xfId="28616"/>
    <cellStyle name="40% - Accent1 25" xfId="10185"/>
    <cellStyle name="40% - Accent1 25 2" xfId="10186"/>
    <cellStyle name="40% - Accent1 25 2 2" xfId="10187"/>
    <cellStyle name="40% - Accent1 25 2 2 2" xfId="26129"/>
    <cellStyle name="40% - Accent1 25 2 2 3" xfId="28624"/>
    <cellStyle name="40% - Accent1 25 2 3" xfId="10188"/>
    <cellStyle name="40% - Accent1 25 2 3 2" xfId="26130"/>
    <cellStyle name="40% - Accent1 25 2 3 3" xfId="28625"/>
    <cellStyle name="40% - Accent1 25 2 4" xfId="26128"/>
    <cellStyle name="40% - Accent1 25 2 5" xfId="28623"/>
    <cellStyle name="40% - Accent1 25 3" xfId="10189"/>
    <cellStyle name="40% - Accent1 25 3 2" xfId="26131"/>
    <cellStyle name="40% - Accent1 25 3 3" xfId="28626"/>
    <cellStyle name="40% - Accent1 25 4" xfId="10190"/>
    <cellStyle name="40% - Accent1 25 4 2" xfId="26132"/>
    <cellStyle name="40% - Accent1 25 4 3" xfId="28627"/>
    <cellStyle name="40% - Accent1 25 5" xfId="26127"/>
    <cellStyle name="40% - Accent1 25 6" xfId="28622"/>
    <cellStyle name="40% - Accent1 26" xfId="10191"/>
    <cellStyle name="40% - Accent1 27" xfId="10192"/>
    <cellStyle name="40% - Accent1 27 2" xfId="10193"/>
    <cellStyle name="40% - Accent1 27 2 2" xfId="10194"/>
    <cellStyle name="40% - Accent1 27 2 2 2" xfId="26135"/>
    <cellStyle name="40% - Accent1 27 2 2 3" xfId="28630"/>
    <cellStyle name="40% - Accent1 27 2 3" xfId="10195"/>
    <cellStyle name="40% - Accent1 27 2 3 2" xfId="26136"/>
    <cellStyle name="40% - Accent1 27 2 3 3" xfId="28631"/>
    <cellStyle name="40% - Accent1 27 2 4" xfId="26134"/>
    <cellStyle name="40% - Accent1 27 2 5" xfId="28629"/>
    <cellStyle name="40% - Accent1 27 3" xfId="10196"/>
    <cellStyle name="40% - Accent1 27 3 2" xfId="26137"/>
    <cellStyle name="40% - Accent1 27 3 3" xfId="28632"/>
    <cellStyle name="40% - Accent1 27 4" xfId="10197"/>
    <cellStyle name="40% - Accent1 27 4 2" xfId="26138"/>
    <cellStyle name="40% - Accent1 27 4 3" xfId="28633"/>
    <cellStyle name="40% - Accent1 27 5" xfId="26133"/>
    <cellStyle name="40% - Accent1 27 6" xfId="28628"/>
    <cellStyle name="40% - Accent1 28" xfId="10198"/>
    <cellStyle name="40% - Accent1 28 2" xfId="10199"/>
    <cellStyle name="40% - Accent1 28 2 2" xfId="26140"/>
    <cellStyle name="40% - Accent1 28 2 3" xfId="28635"/>
    <cellStyle name="40% - Accent1 28 3" xfId="10200"/>
    <cellStyle name="40% - Accent1 28 3 2" xfId="26141"/>
    <cellStyle name="40% - Accent1 28 3 3" xfId="28636"/>
    <cellStyle name="40% - Accent1 28 4" xfId="26139"/>
    <cellStyle name="40% - Accent1 28 5" xfId="28634"/>
    <cellStyle name="40% - Accent1 29" xfId="10201"/>
    <cellStyle name="40% - Accent1 29 2" xfId="26142"/>
    <cellStyle name="40% - Accent1 29 3" xfId="28637"/>
    <cellStyle name="40% - Accent1 3" xfId="213"/>
    <cellStyle name="40% - Accent1 3 10" xfId="3681"/>
    <cellStyle name="40% - Accent1 3 10 2" xfId="4465"/>
    <cellStyle name="40% - Accent1 3 10 2 2" xfId="10202"/>
    <cellStyle name="40% - Accent1 3 10 3" xfId="10203"/>
    <cellStyle name="40% - Accent1 3 10 4" xfId="10204"/>
    <cellStyle name="40% - Accent1 3 10 5" xfId="10205"/>
    <cellStyle name="40% - Accent1 3 11" xfId="10206"/>
    <cellStyle name="40% - Accent1 3 11 2" xfId="10207"/>
    <cellStyle name="40% - Accent1 3 11 3" xfId="10208"/>
    <cellStyle name="40% - Accent1 3 12" xfId="10209"/>
    <cellStyle name="40% - Accent1 3 12 2" xfId="10210"/>
    <cellStyle name="40% - Accent1 3 12 3" xfId="10211"/>
    <cellStyle name="40% - Accent1 3 13" xfId="10212"/>
    <cellStyle name="40% - Accent1 3 13 2" xfId="10213"/>
    <cellStyle name="40% - Accent1 3 13 3" xfId="10214"/>
    <cellStyle name="40% - Accent1 3 14" xfId="10215"/>
    <cellStyle name="40% - Accent1 3 15" xfId="10216"/>
    <cellStyle name="40% - Accent1 3 2" xfId="1454"/>
    <cellStyle name="40% - Accent1 3 2 10" xfId="10217"/>
    <cellStyle name="40% - Accent1 3 2 10 2" xfId="10218"/>
    <cellStyle name="40% - Accent1 3 2 10 3" xfId="10219"/>
    <cellStyle name="40% - Accent1 3 2 11" xfId="10220"/>
    <cellStyle name="40% - Accent1 3 2 11 2" xfId="10221"/>
    <cellStyle name="40% - Accent1 3 2 11 3" xfId="10222"/>
    <cellStyle name="40% - Accent1 3 2 12" xfId="10223"/>
    <cellStyle name="40% - Accent1 3 2 12 2" xfId="10224"/>
    <cellStyle name="40% - Accent1 3 2 12 3" xfId="10225"/>
    <cellStyle name="40% - Accent1 3 2 13" xfId="10226"/>
    <cellStyle name="40% - Accent1 3 2 14" xfId="10227"/>
    <cellStyle name="40% - Accent1 3 2 15" xfId="10228"/>
    <cellStyle name="40% - Accent1 3 2 2" xfId="1824"/>
    <cellStyle name="40% - Accent1 3 2 2 2" xfId="10229"/>
    <cellStyle name="40% - Accent1 3 2 2 3" xfId="10230"/>
    <cellStyle name="40% - Accent1 3 2 3" xfId="2199"/>
    <cellStyle name="40% - Accent1 3 2 3 2" xfId="10231"/>
    <cellStyle name="40% - Accent1 3 2 3 3" xfId="10232"/>
    <cellStyle name="40% - Accent1 3 2 4" xfId="2573"/>
    <cellStyle name="40% - Accent1 3 2 4 2" xfId="10233"/>
    <cellStyle name="40% - Accent1 3 2 4 3" xfId="10234"/>
    <cellStyle name="40% - Accent1 3 2 5" xfId="2945"/>
    <cellStyle name="40% - Accent1 3 2 5 2" xfId="10235"/>
    <cellStyle name="40% - Accent1 3 2 5 3" xfId="10236"/>
    <cellStyle name="40% - Accent1 3 2 6" xfId="3317"/>
    <cellStyle name="40% - Accent1 3 2 6 2" xfId="10237"/>
    <cellStyle name="40% - Accent1 3 2 6 3" xfId="10238"/>
    <cellStyle name="40% - Accent1 3 2 7" xfId="4466"/>
    <cellStyle name="40% - Accent1 3 2 7 2" xfId="10240"/>
    <cellStyle name="40% - Accent1 3 2 7 3" xfId="10241"/>
    <cellStyle name="40% - Accent1 3 2 7 4" xfId="10239"/>
    <cellStyle name="40% - Accent1 3 2 8" xfId="10242"/>
    <cellStyle name="40% - Accent1 3 2 8 2" xfId="10243"/>
    <cellStyle name="40% - Accent1 3 2 8 3" xfId="10244"/>
    <cellStyle name="40% - Accent1 3 2 9" xfId="10245"/>
    <cellStyle name="40% - Accent1 3 2 9 2" xfId="10246"/>
    <cellStyle name="40% - Accent1 3 2 9 3" xfId="10247"/>
    <cellStyle name="40% - Accent1 3 3" xfId="1581"/>
    <cellStyle name="40% - Accent1 3 3 2" xfId="1901"/>
    <cellStyle name="40% - Accent1 3 3 3" xfId="2276"/>
    <cellStyle name="40% - Accent1 3 3 4" xfId="2649"/>
    <cellStyle name="40% - Accent1 3 3 5" xfId="3022"/>
    <cellStyle name="40% - Accent1 3 3 6" xfId="3393"/>
    <cellStyle name="40% - Accent1 3 3 7" xfId="4467"/>
    <cellStyle name="40% - Accent1 3 4" xfId="1718"/>
    <cellStyle name="40% - Accent1 3 4 2" xfId="1945"/>
    <cellStyle name="40% - Accent1 3 4 3" xfId="2320"/>
    <cellStyle name="40% - Accent1 3 4 4" xfId="2693"/>
    <cellStyle name="40% - Accent1 3 4 5" xfId="3066"/>
    <cellStyle name="40% - Accent1 3 4 6" xfId="3437"/>
    <cellStyle name="40% - Accent1 3 5" xfId="2053"/>
    <cellStyle name="40% - Accent1 3 5 2" xfId="10248"/>
    <cellStyle name="40% - Accent1 3 5 3" xfId="10249"/>
    <cellStyle name="40% - Accent1 3 5 4" xfId="10250"/>
    <cellStyle name="40% - Accent1 3 6" xfId="2427"/>
    <cellStyle name="40% - Accent1 3 6 2" xfId="10251"/>
    <cellStyle name="40% - Accent1 3 6 3" xfId="10252"/>
    <cellStyle name="40% - Accent1 3 6 4" xfId="10253"/>
    <cellStyle name="40% - Accent1 3 7" xfId="2799"/>
    <cellStyle name="40% - Accent1 3 7 2" xfId="10254"/>
    <cellStyle name="40% - Accent1 3 7 3" xfId="10255"/>
    <cellStyle name="40% - Accent1 3 7 4" xfId="10256"/>
    <cellStyle name="40% - Accent1 3 8" xfId="3170"/>
    <cellStyle name="40% - Accent1 3 8 2" xfId="10257"/>
    <cellStyle name="40% - Accent1 3 8 3" xfId="10258"/>
    <cellStyle name="40% - Accent1 3 8 4" xfId="10259"/>
    <cellStyle name="40% - Accent1 3 9" xfId="3545"/>
    <cellStyle name="40% - Accent1 3 9 2" xfId="4468"/>
    <cellStyle name="40% - Accent1 3 9 2 2" xfId="10260"/>
    <cellStyle name="40% - Accent1 3 9 3" xfId="10261"/>
    <cellStyle name="40% - Accent1 3 9 4" xfId="10262"/>
    <cellStyle name="40% - Accent1 3 9 5" xfId="10263"/>
    <cellStyle name="40% - Accent1 30" xfId="28141"/>
    <cellStyle name="40% - Accent1 4" xfId="241"/>
    <cellStyle name="40% - Accent1 4 10" xfId="3725"/>
    <cellStyle name="40% - Accent1 4 10 2" xfId="4470"/>
    <cellStyle name="40% - Accent1 4 10 2 2" xfId="10265"/>
    <cellStyle name="40% - Accent1 4 10 3" xfId="10266"/>
    <cellStyle name="40% - Accent1 4 10 4" xfId="10267"/>
    <cellStyle name="40% - Accent1 4 10 5" xfId="10268"/>
    <cellStyle name="40% - Accent1 4 11" xfId="1295"/>
    <cellStyle name="40% - Accent1 4 11 10" xfId="26143"/>
    <cellStyle name="40% - Accent1 4 11 11" xfId="28639"/>
    <cellStyle name="40% - Accent1 4 11 2" xfId="4145"/>
    <cellStyle name="40% - Accent1 4 11 2 2" xfId="5378"/>
    <cellStyle name="40% - Accent1 4 11 2 2 2" xfId="6216"/>
    <cellStyle name="40% - Accent1 4 11 2 2 2 2" xfId="26146"/>
    <cellStyle name="40% - Accent1 4 11 2 2 3" xfId="10271"/>
    <cellStyle name="40% - Accent1 4 11 2 2 4" xfId="26145"/>
    <cellStyle name="40% - Accent1 4 11 2 3" xfId="5688"/>
    <cellStyle name="40% - Accent1 4 11 2 3 2" xfId="6217"/>
    <cellStyle name="40% - Accent1 4 11 2 3 2 2" xfId="26148"/>
    <cellStyle name="40% - Accent1 4 11 2 3 3" xfId="26147"/>
    <cellStyle name="40% - Accent1 4 11 2 4" xfId="4472"/>
    <cellStyle name="40% - Accent1 4 11 2 4 2" xfId="6218"/>
    <cellStyle name="40% - Accent1 4 11 2 4 2 2" xfId="26150"/>
    <cellStyle name="40% - Accent1 4 11 2 4 3" xfId="26149"/>
    <cellStyle name="40% - Accent1 4 11 2 5" xfId="6215"/>
    <cellStyle name="40% - Accent1 4 11 2 5 2" xfId="26151"/>
    <cellStyle name="40% - Accent1 4 11 2 6" xfId="10270"/>
    <cellStyle name="40% - Accent1 4 11 2 6 2" xfId="26152"/>
    <cellStyle name="40% - Accent1 4 11 2 7" xfId="24997"/>
    <cellStyle name="40% - Accent1 4 11 2 8" xfId="26144"/>
    <cellStyle name="40% - Accent1 4 11 2 9" xfId="28640"/>
    <cellStyle name="40% - Accent1 4 11 3" xfId="5377"/>
    <cellStyle name="40% - Accent1 4 11 3 2" xfId="6219"/>
    <cellStyle name="40% - Accent1 4 11 3 2 2" xfId="26154"/>
    <cellStyle name="40% - Accent1 4 11 3 3" xfId="10272"/>
    <cellStyle name="40% - Accent1 4 11 3 4" xfId="26153"/>
    <cellStyle name="40% - Accent1 4 11 4" xfId="5687"/>
    <cellStyle name="40% - Accent1 4 11 4 2" xfId="6220"/>
    <cellStyle name="40% - Accent1 4 11 4 2 2" xfId="26156"/>
    <cellStyle name="40% - Accent1 4 11 4 3" xfId="10273"/>
    <cellStyle name="40% - Accent1 4 11 4 4" xfId="26155"/>
    <cellStyle name="40% - Accent1 4 11 5" xfId="4471"/>
    <cellStyle name="40% - Accent1 4 11 5 2" xfId="6221"/>
    <cellStyle name="40% - Accent1 4 11 5 2 2" xfId="10275"/>
    <cellStyle name="40% - Accent1 4 11 5 2 2 2" xfId="26159"/>
    <cellStyle name="40% - Accent1 4 11 5 2 3" xfId="26158"/>
    <cellStyle name="40% - Accent1 4 11 5 2 4" xfId="28642"/>
    <cellStyle name="40% - Accent1 4 11 5 3" xfId="10276"/>
    <cellStyle name="40% - Accent1 4 11 5 3 2" xfId="26160"/>
    <cellStyle name="40% - Accent1 4 11 5 3 3" xfId="28643"/>
    <cellStyle name="40% - Accent1 4 11 5 4" xfId="10274"/>
    <cellStyle name="40% - Accent1 4 11 5 4 2" xfId="26161"/>
    <cellStyle name="40% - Accent1 4 11 5 5" xfId="26157"/>
    <cellStyle name="40% - Accent1 4 11 5 6" xfId="28641"/>
    <cellStyle name="40% - Accent1 4 11 6" xfId="6214"/>
    <cellStyle name="40% - Accent1 4 11 6 2" xfId="10277"/>
    <cellStyle name="40% - Accent1 4 11 6 2 2" xfId="26163"/>
    <cellStyle name="40% - Accent1 4 11 6 3" xfId="26162"/>
    <cellStyle name="40% - Accent1 4 11 6 4" xfId="28644"/>
    <cellStyle name="40% - Accent1 4 11 7" xfId="10278"/>
    <cellStyle name="40% - Accent1 4 11 7 2" xfId="26164"/>
    <cellStyle name="40% - Accent1 4 11 7 3" xfId="28645"/>
    <cellStyle name="40% - Accent1 4 11 8" xfId="10269"/>
    <cellStyle name="40% - Accent1 4 11 8 2" xfId="26165"/>
    <cellStyle name="40% - Accent1 4 11 9" xfId="24877"/>
    <cellStyle name="40% - Accent1 4 12" xfId="4473"/>
    <cellStyle name="40% - Accent1 4 12 2" xfId="5379"/>
    <cellStyle name="40% - Accent1 4 12 2 2" xfId="6223"/>
    <cellStyle name="40% - Accent1 4 12 2 2 2" xfId="26168"/>
    <cellStyle name="40% - Accent1 4 12 2 3" xfId="10280"/>
    <cellStyle name="40% - Accent1 4 12 2 4" xfId="26167"/>
    <cellStyle name="40% - Accent1 4 12 3" xfId="5689"/>
    <cellStyle name="40% - Accent1 4 12 3 2" xfId="6224"/>
    <cellStyle name="40% - Accent1 4 12 3 2 2" xfId="26170"/>
    <cellStyle name="40% - Accent1 4 12 3 3" xfId="10281"/>
    <cellStyle name="40% - Accent1 4 12 3 4" xfId="26169"/>
    <cellStyle name="40% - Accent1 4 12 4" xfId="6222"/>
    <cellStyle name="40% - Accent1 4 12 4 2" xfId="10282"/>
    <cellStyle name="40% - Accent1 4 12 4 3" xfId="26171"/>
    <cellStyle name="40% - Accent1 4 12 5" xfId="10279"/>
    <cellStyle name="40% - Accent1 4 12 5 2" xfId="26172"/>
    <cellStyle name="40% - Accent1 4 12 6" xfId="26166"/>
    <cellStyle name="40% - Accent1 4 12 7" xfId="28646"/>
    <cellStyle name="40% - Accent1 4 13" xfId="5376"/>
    <cellStyle name="40% - Accent1 4 13 2" xfId="6225"/>
    <cellStyle name="40% - Accent1 4 13 2 2" xfId="10284"/>
    <cellStyle name="40% - Accent1 4 13 2 3" xfId="26174"/>
    <cellStyle name="40% - Accent1 4 13 3" xfId="10285"/>
    <cellStyle name="40% - Accent1 4 13 4" xfId="10283"/>
    <cellStyle name="40% - Accent1 4 13 5" xfId="26173"/>
    <cellStyle name="40% - Accent1 4 14" xfId="5686"/>
    <cellStyle name="40% - Accent1 4 14 2" xfId="6226"/>
    <cellStyle name="40% - Accent1 4 14 2 2" xfId="26176"/>
    <cellStyle name="40% - Accent1 4 14 3" xfId="10286"/>
    <cellStyle name="40% - Accent1 4 14 4" xfId="26175"/>
    <cellStyle name="40% - Accent1 4 15" xfId="4469"/>
    <cellStyle name="40% - Accent1 4 15 2" xfId="6227"/>
    <cellStyle name="40% - Accent1 4 15 2 2" xfId="26178"/>
    <cellStyle name="40% - Accent1 4 15 3" xfId="10287"/>
    <cellStyle name="40% - Accent1 4 15 4" xfId="26177"/>
    <cellStyle name="40% - Accent1 4 16" xfId="10288"/>
    <cellStyle name="40% - Accent1 4 17" xfId="10289"/>
    <cellStyle name="40% - Accent1 4 17 2" xfId="10290"/>
    <cellStyle name="40% - Accent1 4 17 2 2" xfId="26180"/>
    <cellStyle name="40% - Accent1 4 17 2 3" xfId="28648"/>
    <cellStyle name="40% - Accent1 4 17 3" xfId="10291"/>
    <cellStyle name="40% - Accent1 4 17 3 2" xfId="26181"/>
    <cellStyle name="40% - Accent1 4 17 3 3" xfId="28649"/>
    <cellStyle name="40% - Accent1 4 17 4" xfId="26179"/>
    <cellStyle name="40% - Accent1 4 17 5" xfId="28647"/>
    <cellStyle name="40% - Accent1 4 18" xfId="10292"/>
    <cellStyle name="40% - Accent1 4 18 2" xfId="26182"/>
    <cellStyle name="40% - Accent1 4 18 3" xfId="28650"/>
    <cellStyle name="40% - Accent1 4 19" xfId="10293"/>
    <cellStyle name="40% - Accent1 4 19 2" xfId="26183"/>
    <cellStyle name="40% - Accent1 4 19 3" xfId="28651"/>
    <cellStyle name="40% - Accent1 4 2" xfId="1499"/>
    <cellStyle name="40% - Accent1 4 2 10" xfId="10294"/>
    <cellStyle name="40% - Accent1 4 2 10 2" xfId="10295"/>
    <cellStyle name="40% - Accent1 4 2 10 3" xfId="10296"/>
    <cellStyle name="40% - Accent1 4 2 11" xfId="10297"/>
    <cellStyle name="40% - Accent1 4 2 11 2" xfId="10298"/>
    <cellStyle name="40% - Accent1 4 2 11 3" xfId="10299"/>
    <cellStyle name="40% - Accent1 4 2 12" xfId="10300"/>
    <cellStyle name="40% - Accent1 4 2 12 2" xfId="10301"/>
    <cellStyle name="40% - Accent1 4 2 12 3" xfId="10302"/>
    <cellStyle name="40% - Accent1 4 2 13" xfId="10303"/>
    <cellStyle name="40% - Accent1 4 2 14" xfId="10304"/>
    <cellStyle name="40% - Accent1 4 2 15" xfId="10305"/>
    <cellStyle name="40% - Accent1 4 2 16" xfId="10306"/>
    <cellStyle name="40% - Accent1 4 2 2" xfId="4474"/>
    <cellStyle name="40% - Accent1 4 2 2 2" xfId="10308"/>
    <cellStyle name="40% - Accent1 4 2 2 3" xfId="10309"/>
    <cellStyle name="40% - Accent1 4 2 2 4" xfId="10307"/>
    <cellStyle name="40% - Accent1 4 2 3" xfId="10310"/>
    <cellStyle name="40% - Accent1 4 2 3 2" xfId="10311"/>
    <cellStyle name="40% - Accent1 4 2 3 3" xfId="10312"/>
    <cellStyle name="40% - Accent1 4 2 4" xfId="10313"/>
    <cellStyle name="40% - Accent1 4 2 4 2" xfId="10314"/>
    <cellStyle name="40% - Accent1 4 2 4 3" xfId="10315"/>
    <cellStyle name="40% - Accent1 4 2 5" xfId="10316"/>
    <cellStyle name="40% - Accent1 4 2 5 2" xfId="10317"/>
    <cellStyle name="40% - Accent1 4 2 5 3" xfId="10318"/>
    <cellStyle name="40% - Accent1 4 2 6" xfId="10319"/>
    <cellStyle name="40% - Accent1 4 2 6 2" xfId="10320"/>
    <cellStyle name="40% - Accent1 4 2 6 3" xfId="10321"/>
    <cellStyle name="40% - Accent1 4 2 7" xfId="10322"/>
    <cellStyle name="40% - Accent1 4 2 7 2" xfId="10323"/>
    <cellStyle name="40% - Accent1 4 2 7 3" xfId="10324"/>
    <cellStyle name="40% - Accent1 4 2 8" xfId="10325"/>
    <cellStyle name="40% - Accent1 4 2 8 2" xfId="10326"/>
    <cellStyle name="40% - Accent1 4 2 8 3" xfId="10327"/>
    <cellStyle name="40% - Accent1 4 2 9" xfId="10328"/>
    <cellStyle name="40% - Accent1 4 2 9 2" xfId="10329"/>
    <cellStyle name="40% - Accent1 4 2 9 3" xfId="10330"/>
    <cellStyle name="40% - Accent1 4 20" xfId="10264"/>
    <cellStyle name="40% - Accent1 4 20 2" xfId="26184"/>
    <cellStyle name="40% - Accent1 4 21" xfId="28638"/>
    <cellStyle name="40% - Accent1 4 3" xfId="1624"/>
    <cellStyle name="40% - Accent1 4 3 2" xfId="4475"/>
    <cellStyle name="40% - Accent1 4 3 2 2" xfId="10331"/>
    <cellStyle name="40% - Accent1 4 3 3" xfId="10332"/>
    <cellStyle name="40% - Accent1 4 3 4" xfId="10333"/>
    <cellStyle name="40% - Accent1 4 3 5" xfId="10334"/>
    <cellStyle name="40% - Accent1 4 4" xfId="1798"/>
    <cellStyle name="40% - Accent1 4 4 2" xfId="10335"/>
    <cellStyle name="40% - Accent1 4 4 3" xfId="10336"/>
    <cellStyle name="40% - Accent1 4 4 4" xfId="10337"/>
    <cellStyle name="40% - Accent1 4 5" xfId="2134"/>
    <cellStyle name="40% - Accent1 4 5 2" xfId="10338"/>
    <cellStyle name="40% - Accent1 4 5 3" xfId="10339"/>
    <cellStyle name="40% - Accent1 4 5 4" xfId="10340"/>
    <cellStyle name="40% - Accent1 4 6" xfId="2508"/>
    <cellStyle name="40% - Accent1 4 6 2" xfId="10341"/>
    <cellStyle name="40% - Accent1 4 6 3" xfId="10342"/>
    <cellStyle name="40% - Accent1 4 6 4" xfId="10343"/>
    <cellStyle name="40% - Accent1 4 7" xfId="2880"/>
    <cellStyle name="40% - Accent1 4 7 2" xfId="10344"/>
    <cellStyle name="40% - Accent1 4 7 3" xfId="10345"/>
    <cellStyle name="40% - Accent1 4 7 4" xfId="10346"/>
    <cellStyle name="40% - Accent1 4 8" xfId="3251"/>
    <cellStyle name="40% - Accent1 4 8 2" xfId="10347"/>
    <cellStyle name="40% - Accent1 4 8 3" xfId="10348"/>
    <cellStyle name="40% - Accent1 4 8 4" xfId="10349"/>
    <cellStyle name="40% - Accent1 4 9" xfId="3588"/>
    <cellStyle name="40% - Accent1 4 9 2" xfId="4476"/>
    <cellStyle name="40% - Accent1 4 9 2 2" xfId="10350"/>
    <cellStyle name="40% - Accent1 4 9 3" xfId="10351"/>
    <cellStyle name="40% - Accent1 4 9 4" xfId="10352"/>
    <cellStyle name="40% - Accent1 4 9 5" xfId="10353"/>
    <cellStyle name="40% - Accent1 5" xfId="383"/>
    <cellStyle name="40% - Accent1 5 10" xfId="10354"/>
    <cellStyle name="40% - Accent1 5 10 2" xfId="10355"/>
    <cellStyle name="40% - Accent1 5 10 3" xfId="10356"/>
    <cellStyle name="40% - Accent1 5 11" xfId="10357"/>
    <cellStyle name="40% - Accent1 5 11 2" xfId="10358"/>
    <cellStyle name="40% - Accent1 5 11 3" xfId="10359"/>
    <cellStyle name="40% - Accent1 5 12" xfId="10360"/>
    <cellStyle name="40% - Accent1 5 12 2" xfId="10361"/>
    <cellStyle name="40% - Accent1 5 12 3" xfId="10362"/>
    <cellStyle name="40% - Accent1 5 13" xfId="10363"/>
    <cellStyle name="40% - Accent1 5 13 2" xfId="10364"/>
    <cellStyle name="40% - Accent1 5 13 3" xfId="10365"/>
    <cellStyle name="40% - Accent1 5 14" xfId="10366"/>
    <cellStyle name="40% - Accent1 5 15" xfId="10367"/>
    <cellStyle name="40% - Accent1 5 16" xfId="10368"/>
    <cellStyle name="40% - Accent1 5 17" xfId="10369"/>
    <cellStyle name="40% - Accent1 5 2" xfId="1862"/>
    <cellStyle name="40% - Accent1 5 2 10" xfId="10370"/>
    <cellStyle name="40% - Accent1 5 2 10 2" xfId="10371"/>
    <cellStyle name="40% - Accent1 5 2 10 3" xfId="10372"/>
    <cellStyle name="40% - Accent1 5 2 11" xfId="10373"/>
    <cellStyle name="40% - Accent1 5 2 11 2" xfId="10374"/>
    <cellStyle name="40% - Accent1 5 2 11 3" xfId="10375"/>
    <cellStyle name="40% - Accent1 5 2 12" xfId="10376"/>
    <cellStyle name="40% - Accent1 5 2 12 2" xfId="10377"/>
    <cellStyle name="40% - Accent1 5 2 12 3" xfId="10378"/>
    <cellStyle name="40% - Accent1 5 2 13" xfId="10379"/>
    <cellStyle name="40% - Accent1 5 2 14" xfId="10380"/>
    <cellStyle name="40% - Accent1 5 2 15" xfId="10381"/>
    <cellStyle name="40% - Accent1 5 2 2" xfId="10382"/>
    <cellStyle name="40% - Accent1 5 2 2 2" xfId="10383"/>
    <cellStyle name="40% - Accent1 5 2 2 3" xfId="10384"/>
    <cellStyle name="40% - Accent1 5 2 3" xfId="10385"/>
    <cellStyle name="40% - Accent1 5 2 3 2" xfId="10386"/>
    <cellStyle name="40% - Accent1 5 2 3 3" xfId="10387"/>
    <cellStyle name="40% - Accent1 5 2 4" xfId="10388"/>
    <cellStyle name="40% - Accent1 5 2 4 2" xfId="10389"/>
    <cellStyle name="40% - Accent1 5 2 4 3" xfId="10390"/>
    <cellStyle name="40% - Accent1 5 2 5" xfId="10391"/>
    <cellStyle name="40% - Accent1 5 2 5 2" xfId="10392"/>
    <cellStyle name="40% - Accent1 5 2 5 3" xfId="10393"/>
    <cellStyle name="40% - Accent1 5 2 6" xfId="10394"/>
    <cellStyle name="40% - Accent1 5 2 6 2" xfId="10395"/>
    <cellStyle name="40% - Accent1 5 2 6 3" xfId="10396"/>
    <cellStyle name="40% - Accent1 5 2 7" xfId="10397"/>
    <cellStyle name="40% - Accent1 5 2 7 2" xfId="10398"/>
    <cellStyle name="40% - Accent1 5 2 7 3" xfId="10399"/>
    <cellStyle name="40% - Accent1 5 2 8" xfId="10400"/>
    <cellStyle name="40% - Accent1 5 2 8 2" xfId="10401"/>
    <cellStyle name="40% - Accent1 5 2 8 3" xfId="10402"/>
    <cellStyle name="40% - Accent1 5 2 9" xfId="10403"/>
    <cellStyle name="40% - Accent1 5 2 9 2" xfId="10404"/>
    <cellStyle name="40% - Accent1 5 2 9 3" xfId="10405"/>
    <cellStyle name="40% - Accent1 5 3" xfId="2237"/>
    <cellStyle name="40% - Accent1 5 3 2" xfId="10406"/>
    <cellStyle name="40% - Accent1 5 3 3" xfId="10407"/>
    <cellStyle name="40% - Accent1 5 3 4" xfId="10408"/>
    <cellStyle name="40% - Accent1 5 4" xfId="2611"/>
    <cellStyle name="40% - Accent1 5 4 2" xfId="10409"/>
    <cellStyle name="40% - Accent1 5 4 3" xfId="10410"/>
    <cellStyle name="40% - Accent1 5 4 4" xfId="10411"/>
    <cellStyle name="40% - Accent1 5 5" xfId="2983"/>
    <cellStyle name="40% - Accent1 5 5 2" xfId="10412"/>
    <cellStyle name="40% - Accent1 5 5 3" xfId="10413"/>
    <cellStyle name="40% - Accent1 5 5 4" xfId="10414"/>
    <cellStyle name="40% - Accent1 5 6" xfId="3355"/>
    <cellStyle name="40% - Accent1 5 6 2" xfId="10415"/>
    <cellStyle name="40% - Accent1 5 6 3" xfId="10416"/>
    <cellStyle name="40% - Accent1 5 6 4" xfId="10417"/>
    <cellStyle name="40% - Accent1 5 7" xfId="4477"/>
    <cellStyle name="40% - Accent1 5 7 2" xfId="10419"/>
    <cellStyle name="40% - Accent1 5 7 3" xfId="10420"/>
    <cellStyle name="40% - Accent1 5 7 4" xfId="10418"/>
    <cellStyle name="40% - Accent1 5 8" xfId="10421"/>
    <cellStyle name="40% - Accent1 5 8 2" xfId="10422"/>
    <cellStyle name="40% - Accent1 5 8 3" xfId="10423"/>
    <cellStyle name="40% - Accent1 5 9" xfId="10424"/>
    <cellStyle name="40% - Accent1 5 9 2" xfId="10425"/>
    <cellStyle name="40% - Accent1 5 9 3" xfId="10426"/>
    <cellStyle name="40% - Accent1 6" xfId="384"/>
    <cellStyle name="40% - Accent1 6 10" xfId="5380"/>
    <cellStyle name="40% - Accent1 6 10 2" xfId="6229"/>
    <cellStyle name="40% - Accent1 6 10 2 2" xfId="10429"/>
    <cellStyle name="40% - Accent1 6 10 2 3" xfId="26187"/>
    <cellStyle name="40% - Accent1 6 10 3" xfId="10430"/>
    <cellStyle name="40% - Accent1 6 10 4" xfId="10428"/>
    <cellStyle name="40% - Accent1 6 10 5" xfId="26186"/>
    <cellStyle name="40% - Accent1 6 11" xfId="5690"/>
    <cellStyle name="40% - Accent1 6 11 2" xfId="6230"/>
    <cellStyle name="40% - Accent1 6 11 2 2" xfId="10432"/>
    <cellStyle name="40% - Accent1 6 11 2 3" xfId="26189"/>
    <cellStyle name="40% - Accent1 6 11 3" xfId="10433"/>
    <cellStyle name="40% - Accent1 6 11 4" xfId="10431"/>
    <cellStyle name="40% - Accent1 6 11 5" xfId="26188"/>
    <cellStyle name="40% - Accent1 6 12" xfId="4478"/>
    <cellStyle name="40% - Accent1 6 12 2" xfId="6231"/>
    <cellStyle name="40% - Accent1 6 12 2 2" xfId="10435"/>
    <cellStyle name="40% - Accent1 6 12 2 3" xfId="26191"/>
    <cellStyle name="40% - Accent1 6 12 3" xfId="10436"/>
    <cellStyle name="40% - Accent1 6 12 4" xfId="10434"/>
    <cellStyle name="40% - Accent1 6 12 5" xfId="26190"/>
    <cellStyle name="40% - Accent1 6 13" xfId="6228"/>
    <cellStyle name="40% - Accent1 6 13 2" xfId="10437"/>
    <cellStyle name="40% - Accent1 6 13 3" xfId="26192"/>
    <cellStyle name="40% - Accent1 6 14" xfId="10438"/>
    <cellStyle name="40% - Accent1 6 15" xfId="10439"/>
    <cellStyle name="40% - Accent1 6 16" xfId="10440"/>
    <cellStyle name="40% - Accent1 6 16 2" xfId="10441"/>
    <cellStyle name="40% - Accent1 6 16 2 2" xfId="26194"/>
    <cellStyle name="40% - Accent1 6 16 2 3" xfId="28654"/>
    <cellStyle name="40% - Accent1 6 16 3" xfId="10442"/>
    <cellStyle name="40% - Accent1 6 16 3 2" xfId="26195"/>
    <cellStyle name="40% - Accent1 6 16 3 3" xfId="28655"/>
    <cellStyle name="40% - Accent1 6 16 4" xfId="26193"/>
    <cellStyle name="40% - Accent1 6 16 5" xfId="28653"/>
    <cellStyle name="40% - Accent1 6 17" xfId="10443"/>
    <cellStyle name="40% - Accent1 6 17 2" xfId="26196"/>
    <cellStyle name="40% - Accent1 6 17 3" xfId="28656"/>
    <cellStyle name="40% - Accent1 6 18" xfId="10444"/>
    <cellStyle name="40% - Accent1 6 18 2" xfId="26197"/>
    <cellStyle name="40% - Accent1 6 18 3" xfId="28657"/>
    <cellStyle name="40% - Accent1 6 19" xfId="10427"/>
    <cellStyle name="40% - Accent1 6 19 2" xfId="26198"/>
    <cellStyle name="40% - Accent1 6 2" xfId="1975"/>
    <cellStyle name="40% - Accent1 6 2 2" xfId="4479"/>
    <cellStyle name="40% - Accent1 6 2 2 2" xfId="10445"/>
    <cellStyle name="40% - Accent1 6 2 3" xfId="10446"/>
    <cellStyle name="40% - Accent1 6 2 4" xfId="10447"/>
    <cellStyle name="40% - Accent1 6 2 5" xfId="10448"/>
    <cellStyle name="40% - Accent1 6 20" xfId="24837"/>
    <cellStyle name="40% - Accent1 6 21" xfId="26185"/>
    <cellStyle name="40% - Accent1 6 22" xfId="28652"/>
    <cellStyle name="40% - Accent1 6 3" xfId="2350"/>
    <cellStyle name="40% - Accent1 6 3 2" xfId="4480"/>
    <cellStyle name="40% - Accent1 6 3 2 2" xfId="10449"/>
    <cellStyle name="40% - Accent1 6 3 3" xfId="10450"/>
    <cellStyle name="40% - Accent1 6 3 4" xfId="10451"/>
    <cellStyle name="40% - Accent1 6 3 5" xfId="10452"/>
    <cellStyle name="40% - Accent1 6 4" xfId="2723"/>
    <cellStyle name="40% - Accent1 6 4 2" xfId="4481"/>
    <cellStyle name="40% - Accent1 6 4 2 2" xfId="10453"/>
    <cellStyle name="40% - Accent1 6 4 3" xfId="10454"/>
    <cellStyle name="40% - Accent1 6 4 4" xfId="10455"/>
    <cellStyle name="40% - Accent1 6 4 5" xfId="10456"/>
    <cellStyle name="40% - Accent1 6 5" xfId="3096"/>
    <cellStyle name="40% - Accent1 6 5 2" xfId="4482"/>
    <cellStyle name="40% - Accent1 6 5 2 2" xfId="10457"/>
    <cellStyle name="40% - Accent1 6 5 3" xfId="10458"/>
    <cellStyle name="40% - Accent1 6 5 4" xfId="10459"/>
    <cellStyle name="40% - Accent1 6 5 5" xfId="10460"/>
    <cellStyle name="40% - Accent1 6 6" xfId="3467"/>
    <cellStyle name="40% - Accent1 6 6 2" xfId="4483"/>
    <cellStyle name="40% - Accent1 6 6 2 2" xfId="10461"/>
    <cellStyle name="40% - Accent1 6 6 3" xfId="10462"/>
    <cellStyle name="40% - Accent1 6 6 4" xfId="10463"/>
    <cellStyle name="40% - Accent1 6 6 5" xfId="10464"/>
    <cellStyle name="40% - Accent1 6 7" xfId="3773"/>
    <cellStyle name="40% - Accent1 6 7 2" xfId="4484"/>
    <cellStyle name="40% - Accent1 6 7 2 2" xfId="10465"/>
    <cellStyle name="40% - Accent1 6 7 3" xfId="10466"/>
    <cellStyle name="40% - Accent1 6 7 4" xfId="10467"/>
    <cellStyle name="40% - Accent1 6 7 5" xfId="10468"/>
    <cellStyle name="40% - Accent1 6 8" xfId="1356"/>
    <cellStyle name="40% - Accent1 6 8 10" xfId="26199"/>
    <cellStyle name="40% - Accent1 6 8 11" xfId="28658"/>
    <cellStyle name="40% - Accent1 6 8 2" xfId="4156"/>
    <cellStyle name="40% - Accent1 6 8 2 2" xfId="5382"/>
    <cellStyle name="40% - Accent1 6 8 2 2 2" xfId="6234"/>
    <cellStyle name="40% - Accent1 6 8 2 2 2 2" xfId="26202"/>
    <cellStyle name="40% - Accent1 6 8 2 2 3" xfId="10471"/>
    <cellStyle name="40% - Accent1 6 8 2 2 4" xfId="26201"/>
    <cellStyle name="40% - Accent1 6 8 2 3" xfId="5692"/>
    <cellStyle name="40% - Accent1 6 8 2 3 2" xfId="6235"/>
    <cellStyle name="40% - Accent1 6 8 2 3 2 2" xfId="26204"/>
    <cellStyle name="40% - Accent1 6 8 2 3 3" xfId="26203"/>
    <cellStyle name="40% - Accent1 6 8 2 4" xfId="4486"/>
    <cellStyle name="40% - Accent1 6 8 2 4 2" xfId="6236"/>
    <cellStyle name="40% - Accent1 6 8 2 4 2 2" xfId="26206"/>
    <cellStyle name="40% - Accent1 6 8 2 4 3" xfId="26205"/>
    <cellStyle name="40% - Accent1 6 8 2 5" xfId="6233"/>
    <cellStyle name="40% - Accent1 6 8 2 5 2" xfId="26207"/>
    <cellStyle name="40% - Accent1 6 8 2 6" xfId="10470"/>
    <cellStyle name="40% - Accent1 6 8 2 6 2" xfId="26208"/>
    <cellStyle name="40% - Accent1 6 8 2 7" xfId="25008"/>
    <cellStyle name="40% - Accent1 6 8 2 8" xfId="26200"/>
    <cellStyle name="40% - Accent1 6 8 2 9" xfId="28659"/>
    <cellStyle name="40% - Accent1 6 8 3" xfId="5381"/>
    <cellStyle name="40% - Accent1 6 8 3 2" xfId="6237"/>
    <cellStyle name="40% - Accent1 6 8 3 2 2" xfId="26210"/>
    <cellStyle name="40% - Accent1 6 8 3 3" xfId="10472"/>
    <cellStyle name="40% - Accent1 6 8 3 4" xfId="26209"/>
    <cellStyle name="40% - Accent1 6 8 4" xfId="5691"/>
    <cellStyle name="40% - Accent1 6 8 4 2" xfId="6238"/>
    <cellStyle name="40% - Accent1 6 8 4 2 2" xfId="26212"/>
    <cellStyle name="40% - Accent1 6 8 4 3" xfId="10473"/>
    <cellStyle name="40% - Accent1 6 8 4 4" xfId="26211"/>
    <cellStyle name="40% - Accent1 6 8 5" xfId="4485"/>
    <cellStyle name="40% - Accent1 6 8 5 2" xfId="6239"/>
    <cellStyle name="40% - Accent1 6 8 5 2 2" xfId="10475"/>
    <cellStyle name="40% - Accent1 6 8 5 2 2 2" xfId="26215"/>
    <cellStyle name="40% - Accent1 6 8 5 2 3" xfId="26214"/>
    <cellStyle name="40% - Accent1 6 8 5 2 4" xfId="28661"/>
    <cellStyle name="40% - Accent1 6 8 5 3" xfId="10476"/>
    <cellStyle name="40% - Accent1 6 8 5 3 2" xfId="26216"/>
    <cellStyle name="40% - Accent1 6 8 5 3 3" xfId="28662"/>
    <cellStyle name="40% - Accent1 6 8 5 4" xfId="10474"/>
    <cellStyle name="40% - Accent1 6 8 5 4 2" xfId="26217"/>
    <cellStyle name="40% - Accent1 6 8 5 5" xfId="26213"/>
    <cellStyle name="40% - Accent1 6 8 5 6" xfId="28660"/>
    <cellStyle name="40% - Accent1 6 8 6" xfId="6232"/>
    <cellStyle name="40% - Accent1 6 8 6 2" xfId="10477"/>
    <cellStyle name="40% - Accent1 6 8 6 2 2" xfId="26219"/>
    <cellStyle name="40% - Accent1 6 8 6 3" xfId="26218"/>
    <cellStyle name="40% - Accent1 6 8 6 4" xfId="28663"/>
    <cellStyle name="40% - Accent1 6 8 7" xfId="10478"/>
    <cellStyle name="40% - Accent1 6 8 7 2" xfId="26220"/>
    <cellStyle name="40% - Accent1 6 8 7 3" xfId="28664"/>
    <cellStyle name="40% - Accent1 6 8 8" xfId="10469"/>
    <cellStyle name="40% - Accent1 6 8 8 2" xfId="26221"/>
    <cellStyle name="40% - Accent1 6 8 9" xfId="24888"/>
    <cellStyle name="40% - Accent1 6 9" xfId="3823"/>
    <cellStyle name="40% - Accent1 6 9 2" xfId="5383"/>
    <cellStyle name="40% - Accent1 6 9 2 2" xfId="6241"/>
    <cellStyle name="40% - Accent1 6 9 2 2 2" xfId="26224"/>
    <cellStyle name="40% - Accent1 6 9 2 3" xfId="10480"/>
    <cellStyle name="40% - Accent1 6 9 2 4" xfId="26223"/>
    <cellStyle name="40% - Accent1 6 9 3" xfId="5693"/>
    <cellStyle name="40% - Accent1 6 9 3 2" xfId="6242"/>
    <cellStyle name="40% - Accent1 6 9 3 2 2" xfId="26226"/>
    <cellStyle name="40% - Accent1 6 9 3 3" xfId="10481"/>
    <cellStyle name="40% - Accent1 6 9 3 4" xfId="26225"/>
    <cellStyle name="40% - Accent1 6 9 4" xfId="4487"/>
    <cellStyle name="40% - Accent1 6 9 4 2" xfId="6243"/>
    <cellStyle name="40% - Accent1 6 9 4 2 2" xfId="26228"/>
    <cellStyle name="40% - Accent1 6 9 4 3" xfId="10482"/>
    <cellStyle name="40% - Accent1 6 9 4 4" xfId="26227"/>
    <cellStyle name="40% - Accent1 6 9 5" xfId="6240"/>
    <cellStyle name="40% - Accent1 6 9 5 2" xfId="26229"/>
    <cellStyle name="40% - Accent1 6 9 6" xfId="10479"/>
    <cellStyle name="40% - Accent1 6 9 6 2" xfId="26230"/>
    <cellStyle name="40% - Accent1 6 9 7" xfId="24959"/>
    <cellStyle name="40% - Accent1 6 9 8" xfId="26222"/>
    <cellStyle name="40% - Accent1 6 9 9" xfId="28665"/>
    <cellStyle name="40% - Accent1 7" xfId="385"/>
    <cellStyle name="40% - Accent1 7 10" xfId="10483"/>
    <cellStyle name="40% - Accent1 7 10 2" xfId="10484"/>
    <cellStyle name="40% - Accent1 7 10 3" xfId="10485"/>
    <cellStyle name="40% - Accent1 7 11" xfId="10486"/>
    <cellStyle name="40% - Accent1 7 11 2" xfId="10487"/>
    <cellStyle name="40% - Accent1 7 11 3" xfId="10488"/>
    <cellStyle name="40% - Accent1 7 12" xfId="10489"/>
    <cellStyle name="40% - Accent1 7 12 2" xfId="10490"/>
    <cellStyle name="40% - Accent1 7 12 3" xfId="10491"/>
    <cellStyle name="40% - Accent1 7 13" xfId="10492"/>
    <cellStyle name="40% - Accent1 7 14" xfId="10493"/>
    <cellStyle name="40% - Accent1 7 15" xfId="10494"/>
    <cellStyle name="40% - Accent1 7 16" xfId="10495"/>
    <cellStyle name="40% - Accent1 7 2" xfId="4488"/>
    <cellStyle name="40% - Accent1 7 2 2" xfId="10497"/>
    <cellStyle name="40% - Accent1 7 2 3" xfId="10498"/>
    <cellStyle name="40% - Accent1 7 2 4" xfId="10496"/>
    <cellStyle name="40% - Accent1 7 3" xfId="10499"/>
    <cellStyle name="40% - Accent1 7 3 2" xfId="10500"/>
    <cellStyle name="40% - Accent1 7 3 3" xfId="10501"/>
    <cellStyle name="40% - Accent1 7 4" xfId="10502"/>
    <cellStyle name="40% - Accent1 7 4 2" xfId="10503"/>
    <cellStyle name="40% - Accent1 7 4 3" xfId="10504"/>
    <cellStyle name="40% - Accent1 7 5" xfId="10505"/>
    <cellStyle name="40% - Accent1 7 5 2" xfId="10506"/>
    <cellStyle name="40% - Accent1 7 5 3" xfId="10507"/>
    <cellStyle name="40% - Accent1 7 6" xfId="10508"/>
    <cellStyle name="40% - Accent1 7 6 2" xfId="10509"/>
    <cellStyle name="40% - Accent1 7 6 3" xfId="10510"/>
    <cellStyle name="40% - Accent1 7 7" xfId="10511"/>
    <cellStyle name="40% - Accent1 7 7 2" xfId="10512"/>
    <cellStyle name="40% - Accent1 7 7 3" xfId="10513"/>
    <cellStyle name="40% - Accent1 7 8" xfId="10514"/>
    <cellStyle name="40% - Accent1 7 8 2" xfId="10515"/>
    <cellStyle name="40% - Accent1 7 8 3" xfId="10516"/>
    <cellStyle name="40% - Accent1 7 9" xfId="10517"/>
    <cellStyle name="40% - Accent1 7 9 2" xfId="10518"/>
    <cellStyle name="40% - Accent1 7 9 3" xfId="10519"/>
    <cellStyle name="40% - Accent1 8" xfId="538"/>
    <cellStyle name="40% - Accent1 8 10" xfId="24851"/>
    <cellStyle name="40% - Accent1 8 11" xfId="26231"/>
    <cellStyle name="40% - Accent1 8 12" xfId="28666"/>
    <cellStyle name="40% - Accent1 8 2" xfId="1373"/>
    <cellStyle name="40% - Accent1 8 2 10" xfId="26232"/>
    <cellStyle name="40% - Accent1 8 2 11" xfId="28667"/>
    <cellStyle name="40% - Accent1 8 2 2" xfId="4173"/>
    <cellStyle name="40% - Accent1 8 2 2 2" xfId="5386"/>
    <cellStyle name="40% - Accent1 8 2 2 2 2" xfId="6247"/>
    <cellStyle name="40% - Accent1 8 2 2 2 2 2" xfId="26235"/>
    <cellStyle name="40% - Accent1 8 2 2 2 3" xfId="10523"/>
    <cellStyle name="40% - Accent1 8 2 2 2 4" xfId="26234"/>
    <cellStyle name="40% - Accent1 8 2 2 3" xfId="5696"/>
    <cellStyle name="40% - Accent1 8 2 2 3 2" xfId="6248"/>
    <cellStyle name="40% - Accent1 8 2 2 3 2 2" xfId="26237"/>
    <cellStyle name="40% - Accent1 8 2 2 3 3" xfId="26236"/>
    <cellStyle name="40% - Accent1 8 2 2 4" xfId="4491"/>
    <cellStyle name="40% - Accent1 8 2 2 4 2" xfId="6249"/>
    <cellStyle name="40% - Accent1 8 2 2 4 2 2" xfId="26239"/>
    <cellStyle name="40% - Accent1 8 2 2 4 3" xfId="26238"/>
    <cellStyle name="40% - Accent1 8 2 2 5" xfId="6246"/>
    <cellStyle name="40% - Accent1 8 2 2 5 2" xfId="26240"/>
    <cellStyle name="40% - Accent1 8 2 2 6" xfId="10522"/>
    <cellStyle name="40% - Accent1 8 2 2 6 2" xfId="26241"/>
    <cellStyle name="40% - Accent1 8 2 2 7" xfId="25025"/>
    <cellStyle name="40% - Accent1 8 2 2 8" xfId="26233"/>
    <cellStyle name="40% - Accent1 8 2 2 9" xfId="28668"/>
    <cellStyle name="40% - Accent1 8 2 3" xfId="5385"/>
    <cellStyle name="40% - Accent1 8 2 3 2" xfId="6250"/>
    <cellStyle name="40% - Accent1 8 2 3 2 2" xfId="26243"/>
    <cellStyle name="40% - Accent1 8 2 3 3" xfId="10524"/>
    <cellStyle name="40% - Accent1 8 2 3 4" xfId="26242"/>
    <cellStyle name="40% - Accent1 8 2 4" xfId="5695"/>
    <cellStyle name="40% - Accent1 8 2 4 2" xfId="6251"/>
    <cellStyle name="40% - Accent1 8 2 4 2 2" xfId="26245"/>
    <cellStyle name="40% - Accent1 8 2 4 3" xfId="10525"/>
    <cellStyle name="40% - Accent1 8 2 4 4" xfId="26244"/>
    <cellStyle name="40% - Accent1 8 2 5" xfId="4490"/>
    <cellStyle name="40% - Accent1 8 2 5 2" xfId="6252"/>
    <cellStyle name="40% - Accent1 8 2 5 2 2" xfId="10527"/>
    <cellStyle name="40% - Accent1 8 2 5 2 2 2" xfId="26248"/>
    <cellStyle name="40% - Accent1 8 2 5 2 3" xfId="26247"/>
    <cellStyle name="40% - Accent1 8 2 5 2 4" xfId="28670"/>
    <cellStyle name="40% - Accent1 8 2 5 3" xfId="10528"/>
    <cellStyle name="40% - Accent1 8 2 5 3 2" xfId="26249"/>
    <cellStyle name="40% - Accent1 8 2 5 3 3" xfId="28671"/>
    <cellStyle name="40% - Accent1 8 2 5 4" xfId="10526"/>
    <cellStyle name="40% - Accent1 8 2 5 4 2" xfId="26250"/>
    <cellStyle name="40% - Accent1 8 2 5 5" xfId="26246"/>
    <cellStyle name="40% - Accent1 8 2 5 6" xfId="28669"/>
    <cellStyle name="40% - Accent1 8 2 6" xfId="6245"/>
    <cellStyle name="40% - Accent1 8 2 6 2" xfId="10529"/>
    <cellStyle name="40% - Accent1 8 2 6 2 2" xfId="26252"/>
    <cellStyle name="40% - Accent1 8 2 6 3" xfId="26251"/>
    <cellStyle name="40% - Accent1 8 2 6 4" xfId="28672"/>
    <cellStyle name="40% - Accent1 8 2 7" xfId="10530"/>
    <cellStyle name="40% - Accent1 8 2 7 2" xfId="26253"/>
    <cellStyle name="40% - Accent1 8 2 7 3" xfId="28673"/>
    <cellStyle name="40% - Accent1 8 2 8" xfId="10521"/>
    <cellStyle name="40% - Accent1 8 2 8 2" xfId="26254"/>
    <cellStyle name="40% - Accent1 8 2 9" xfId="24905"/>
    <cellStyle name="40% - Accent1 8 3" xfId="3837"/>
    <cellStyle name="40% - Accent1 8 3 2" xfId="5387"/>
    <cellStyle name="40% - Accent1 8 3 2 2" xfId="6254"/>
    <cellStyle name="40% - Accent1 8 3 2 2 2" xfId="26257"/>
    <cellStyle name="40% - Accent1 8 3 2 3" xfId="10532"/>
    <cellStyle name="40% - Accent1 8 3 2 4" xfId="26256"/>
    <cellStyle name="40% - Accent1 8 3 3" xfId="5697"/>
    <cellStyle name="40% - Accent1 8 3 3 2" xfId="6255"/>
    <cellStyle name="40% - Accent1 8 3 3 2 2" xfId="26259"/>
    <cellStyle name="40% - Accent1 8 3 3 3" xfId="26258"/>
    <cellStyle name="40% - Accent1 8 3 4" xfId="4492"/>
    <cellStyle name="40% - Accent1 8 3 4 2" xfId="6256"/>
    <cellStyle name="40% - Accent1 8 3 4 2 2" xfId="26261"/>
    <cellStyle name="40% - Accent1 8 3 4 3" xfId="26260"/>
    <cellStyle name="40% - Accent1 8 3 5" xfId="6253"/>
    <cellStyle name="40% - Accent1 8 3 5 2" xfId="26262"/>
    <cellStyle name="40% - Accent1 8 3 6" xfId="10531"/>
    <cellStyle name="40% - Accent1 8 3 6 2" xfId="26263"/>
    <cellStyle name="40% - Accent1 8 3 7" xfId="24973"/>
    <cellStyle name="40% - Accent1 8 3 8" xfId="26255"/>
    <cellStyle name="40% - Accent1 8 3 9" xfId="28674"/>
    <cellStyle name="40% - Accent1 8 4" xfId="5384"/>
    <cellStyle name="40% - Accent1 8 4 2" xfId="6257"/>
    <cellStyle name="40% - Accent1 8 4 2 2" xfId="26265"/>
    <cellStyle name="40% - Accent1 8 4 3" xfId="10533"/>
    <cellStyle name="40% - Accent1 8 4 4" xfId="26264"/>
    <cellStyle name="40% - Accent1 8 5" xfId="5694"/>
    <cellStyle name="40% - Accent1 8 5 2" xfId="6258"/>
    <cellStyle name="40% - Accent1 8 5 2 2" xfId="26267"/>
    <cellStyle name="40% - Accent1 8 5 3" xfId="10534"/>
    <cellStyle name="40% - Accent1 8 5 4" xfId="26266"/>
    <cellStyle name="40% - Accent1 8 6" xfId="4489"/>
    <cellStyle name="40% - Accent1 8 6 2" xfId="6259"/>
    <cellStyle name="40% - Accent1 8 6 2 2" xfId="10536"/>
    <cellStyle name="40% - Accent1 8 6 2 2 2" xfId="26270"/>
    <cellStyle name="40% - Accent1 8 6 2 3" xfId="26269"/>
    <cellStyle name="40% - Accent1 8 6 2 4" xfId="28676"/>
    <cellStyle name="40% - Accent1 8 6 3" xfId="10537"/>
    <cellStyle name="40% - Accent1 8 6 3 2" xfId="26271"/>
    <cellStyle name="40% - Accent1 8 6 3 3" xfId="28677"/>
    <cellStyle name="40% - Accent1 8 6 4" xfId="10535"/>
    <cellStyle name="40% - Accent1 8 6 4 2" xfId="26272"/>
    <cellStyle name="40% - Accent1 8 6 5" xfId="26268"/>
    <cellStyle name="40% - Accent1 8 6 6" xfId="28675"/>
    <cellStyle name="40% - Accent1 8 7" xfId="6244"/>
    <cellStyle name="40% - Accent1 8 7 2" xfId="10538"/>
    <cellStyle name="40% - Accent1 8 7 2 2" xfId="26274"/>
    <cellStyle name="40% - Accent1 8 7 3" xfId="26273"/>
    <cellStyle name="40% - Accent1 8 7 4" xfId="28678"/>
    <cellStyle name="40% - Accent1 8 8" xfId="10539"/>
    <cellStyle name="40% - Accent1 8 8 2" xfId="26275"/>
    <cellStyle name="40% - Accent1 8 8 3" xfId="28679"/>
    <cellStyle name="40% - Accent1 8 9" xfId="10520"/>
    <cellStyle name="40% - Accent1 8 9 2" xfId="26276"/>
    <cellStyle name="40% - Accent1 9" xfId="539"/>
    <cellStyle name="40% - Accent1 9 2" xfId="4493"/>
    <cellStyle name="40% - Accent1 9 2 2" xfId="10541"/>
    <cellStyle name="40% - Accent1 9 2 3" xfId="10542"/>
    <cellStyle name="40% - Accent1 9 2 4" xfId="10540"/>
    <cellStyle name="40% - Accent1 9 3" xfId="10543"/>
    <cellStyle name="40% - Accent1 9 4" xfId="10544"/>
    <cellStyle name="40% - Accent1 9 5" xfId="10545"/>
    <cellStyle name="40% - Accent1 9 6" xfId="10546"/>
    <cellStyle name="40% - Accent2" xfId="7108" builtinId="35" customBuiltin="1"/>
    <cellStyle name="40% - Accent2 10" xfId="668"/>
    <cellStyle name="40% - Accent2 10 2" xfId="4494"/>
    <cellStyle name="40% - Accent2 10 2 2" xfId="10547"/>
    <cellStyle name="40% - Accent2 10 3" xfId="10548"/>
    <cellStyle name="40% - Accent2 10 4" xfId="10549"/>
    <cellStyle name="40% - Accent2 10 5" xfId="10550"/>
    <cellStyle name="40% - Accent2 11" xfId="669"/>
    <cellStyle name="40% - Accent2 11 2" xfId="4495"/>
    <cellStyle name="40% - Accent2 11 2 2" xfId="10551"/>
    <cellStyle name="40% - Accent2 11 3" xfId="10552"/>
    <cellStyle name="40% - Accent2 11 4" xfId="10553"/>
    <cellStyle name="40% - Accent2 11 5" xfId="10554"/>
    <cellStyle name="40% - Accent2 12" xfId="819"/>
    <cellStyle name="40% - Accent2 12 2" xfId="10556"/>
    <cellStyle name="40% - Accent2 12 3" xfId="10557"/>
    <cellStyle name="40% - Accent2 12 4" xfId="10555"/>
    <cellStyle name="40% - Accent2 13" xfId="820"/>
    <cellStyle name="40% - Accent2 13 2" xfId="3852"/>
    <cellStyle name="40% - Accent2 13 2 2" xfId="6261"/>
    <cellStyle name="40% - Accent2 13 2 2 2" xfId="26279"/>
    <cellStyle name="40% - Accent2 13 2 3" xfId="10559"/>
    <cellStyle name="40% - Accent2 13 2 4" xfId="24988"/>
    <cellStyle name="40% - Accent2 13 2 5" xfId="26278"/>
    <cellStyle name="40% - Accent2 13 3" xfId="6260"/>
    <cellStyle name="40% - Accent2 13 3 2" xfId="10560"/>
    <cellStyle name="40% - Accent2 13 3 3" xfId="26280"/>
    <cellStyle name="40% - Accent2 13 4" xfId="10558"/>
    <cellStyle name="40% - Accent2 13 5" xfId="24867"/>
    <cellStyle name="40% - Accent2 13 6" xfId="26277"/>
    <cellStyle name="40% - Accent2 14" xfId="935"/>
    <cellStyle name="40% - Accent2 14 2" xfId="10562"/>
    <cellStyle name="40% - Accent2 14 3" xfId="10563"/>
    <cellStyle name="40% - Accent2 14 4" xfId="10561"/>
    <cellStyle name="40% - Accent2 15" xfId="10564"/>
    <cellStyle name="40% - Accent2 15 2" xfId="10565"/>
    <cellStyle name="40% - Accent2 15 3" xfId="10566"/>
    <cellStyle name="40% - Accent2 16" xfId="10567"/>
    <cellStyle name="40% - Accent2 16 2" xfId="10568"/>
    <cellStyle name="40% - Accent2 16 3" xfId="10569"/>
    <cellStyle name="40% - Accent2 17" xfId="10570"/>
    <cellStyle name="40% - Accent2 17 2" xfId="10571"/>
    <cellStyle name="40% - Accent2 17 3" xfId="10572"/>
    <cellStyle name="40% - Accent2 18" xfId="10573"/>
    <cellStyle name="40% - Accent2 18 2" xfId="10574"/>
    <cellStyle name="40% - Accent2 18 3" xfId="10575"/>
    <cellStyle name="40% - Accent2 19" xfId="10576"/>
    <cellStyle name="40% - Accent2 19 2" xfId="10577"/>
    <cellStyle name="40% - Accent2 2" xfId="75"/>
    <cellStyle name="40% - Accent2 2 10" xfId="1674"/>
    <cellStyle name="40% - Accent2 2 10 2" xfId="4496"/>
    <cellStyle name="40% - Accent2 2 10 2 2" xfId="10578"/>
    <cellStyle name="40% - Accent2 2 10 3" xfId="10579"/>
    <cellStyle name="40% - Accent2 2 10 4" xfId="10580"/>
    <cellStyle name="40% - Accent2 2 10 5" xfId="10581"/>
    <cellStyle name="40% - Accent2 2 11" xfId="1663"/>
    <cellStyle name="40% - Accent2 2 11 2" xfId="4497"/>
    <cellStyle name="40% - Accent2 2 11 2 2" xfId="10582"/>
    <cellStyle name="40% - Accent2 2 11 3" xfId="10583"/>
    <cellStyle name="40% - Accent2 2 11 4" xfId="10584"/>
    <cellStyle name="40% - Accent2 2 11 5" xfId="10585"/>
    <cellStyle name="40% - Accent2 2 12" xfId="2129"/>
    <cellStyle name="40% - Accent2 2 12 2" xfId="4498"/>
    <cellStyle name="40% - Accent2 2 12 2 2" xfId="10586"/>
    <cellStyle name="40% - Accent2 2 12 3" xfId="10587"/>
    <cellStyle name="40% - Accent2 2 12 4" xfId="10588"/>
    <cellStyle name="40% - Accent2 2 12 5" xfId="10589"/>
    <cellStyle name="40% - Accent2 2 13" xfId="2503"/>
    <cellStyle name="40% - Accent2 2 13 2" xfId="4499"/>
    <cellStyle name="40% - Accent2 2 13 2 2" xfId="10590"/>
    <cellStyle name="40% - Accent2 2 13 3" xfId="10591"/>
    <cellStyle name="40% - Accent2 2 13 4" xfId="10592"/>
    <cellStyle name="40% - Accent2 2 13 5" xfId="10593"/>
    <cellStyle name="40% - Accent2 2 14" xfId="2417"/>
    <cellStyle name="40% - Accent2 2 14 2" xfId="4500"/>
    <cellStyle name="40% - Accent2 2 14 2 2" xfId="10594"/>
    <cellStyle name="40% - Accent2 2 14 3" xfId="10595"/>
    <cellStyle name="40% - Accent2 2 14 4" xfId="10596"/>
    <cellStyle name="40% - Accent2 2 14 5" xfId="10597"/>
    <cellStyle name="40% - Accent2 2 15" xfId="2789"/>
    <cellStyle name="40% - Accent2 2 15 2" xfId="4501"/>
    <cellStyle name="40% - Accent2 2 15 2 2" xfId="10598"/>
    <cellStyle name="40% - Accent2 2 15 3" xfId="10599"/>
    <cellStyle name="40% - Accent2 2 16" xfId="3639"/>
    <cellStyle name="40% - Accent2 2 16 2" xfId="4502"/>
    <cellStyle name="40% - Accent2 2 16 2 2" xfId="10600"/>
    <cellStyle name="40% - Accent2 2 16 3" xfId="10601"/>
    <cellStyle name="40% - Accent2 2 17" xfId="24474"/>
    <cellStyle name="40% - Accent2 2 2" xfId="119"/>
    <cellStyle name="40% - Accent2 2 2 10" xfId="10602"/>
    <cellStyle name="40% - Accent2 2 2 10 2" xfId="10603"/>
    <cellStyle name="40% - Accent2 2 2 10 3" xfId="10604"/>
    <cellStyle name="40% - Accent2 2 2 11" xfId="10605"/>
    <cellStyle name="40% - Accent2 2 2 11 2" xfId="10606"/>
    <cellStyle name="40% - Accent2 2 2 11 3" xfId="10607"/>
    <cellStyle name="40% - Accent2 2 2 12" xfId="10608"/>
    <cellStyle name="40% - Accent2 2 2 12 2" xfId="10609"/>
    <cellStyle name="40% - Accent2 2 2 12 3" xfId="10610"/>
    <cellStyle name="40% - Accent2 2 2 13" xfId="10611"/>
    <cellStyle name="40% - Accent2 2 2 14" xfId="10612"/>
    <cellStyle name="40% - Accent2 2 2 15" xfId="10613"/>
    <cellStyle name="40% - Accent2 2 2 2" xfId="176"/>
    <cellStyle name="40% - Accent2 2 2 2 2" xfId="10615"/>
    <cellStyle name="40% - Accent2 2 2 2 2 2" xfId="10616"/>
    <cellStyle name="40% - Accent2 2 2 2 3" xfId="10617"/>
    <cellStyle name="40% - Accent2 2 2 2 3 2" xfId="10618"/>
    <cellStyle name="40% - Accent2 2 2 2 4" xfId="10619"/>
    <cellStyle name="40% - Accent2 2 2 2 5" xfId="10614"/>
    <cellStyle name="40% - Accent2 2 2 3" xfId="340"/>
    <cellStyle name="40% - Accent2 2 2 3 2" xfId="10621"/>
    <cellStyle name="40% - Accent2 2 2 3 2 2" xfId="10622"/>
    <cellStyle name="40% - Accent2 2 2 3 3" xfId="10623"/>
    <cellStyle name="40% - Accent2 2 2 3 3 2" xfId="10624"/>
    <cellStyle name="40% - Accent2 2 2 3 4" xfId="10625"/>
    <cellStyle name="40% - Accent2 2 2 3 5" xfId="10620"/>
    <cellStyle name="40% - Accent2 2 2 4" xfId="2162"/>
    <cellStyle name="40% - Accent2 2 2 4 2" xfId="10627"/>
    <cellStyle name="40% - Accent2 2 2 4 2 2" xfId="10628"/>
    <cellStyle name="40% - Accent2 2 2 4 3" xfId="10629"/>
    <cellStyle name="40% - Accent2 2 2 4 3 2" xfId="10630"/>
    <cellStyle name="40% - Accent2 2 2 4 4" xfId="10631"/>
    <cellStyle name="40% - Accent2 2 2 4 5" xfId="10626"/>
    <cellStyle name="40% - Accent2 2 2 5" xfId="2536"/>
    <cellStyle name="40% - Accent2 2 2 5 2" xfId="10633"/>
    <cellStyle name="40% - Accent2 2 2 5 2 2" xfId="10634"/>
    <cellStyle name="40% - Accent2 2 2 5 3" xfId="10635"/>
    <cellStyle name="40% - Accent2 2 2 5 3 2" xfId="10636"/>
    <cellStyle name="40% - Accent2 2 2 5 4" xfId="10637"/>
    <cellStyle name="40% - Accent2 2 2 5 5" xfId="10632"/>
    <cellStyle name="40% - Accent2 2 2 6" xfId="2908"/>
    <cellStyle name="40% - Accent2 2 2 6 2" xfId="10639"/>
    <cellStyle name="40% - Accent2 2 2 6 2 2" xfId="10640"/>
    <cellStyle name="40% - Accent2 2 2 6 3" xfId="10641"/>
    <cellStyle name="40% - Accent2 2 2 6 3 2" xfId="10642"/>
    <cellStyle name="40% - Accent2 2 2 6 4" xfId="10643"/>
    <cellStyle name="40% - Accent2 2 2 6 5" xfId="10638"/>
    <cellStyle name="40% - Accent2 2 2 7" xfId="3280"/>
    <cellStyle name="40% - Accent2 2 2 7 2" xfId="10645"/>
    <cellStyle name="40% - Accent2 2 2 7 2 2" xfId="10646"/>
    <cellStyle name="40% - Accent2 2 2 7 3" xfId="10647"/>
    <cellStyle name="40% - Accent2 2 2 7 3 2" xfId="10648"/>
    <cellStyle name="40% - Accent2 2 2 7 4" xfId="10649"/>
    <cellStyle name="40% - Accent2 2 2 7 5" xfId="10644"/>
    <cellStyle name="40% - Accent2 2 2 8" xfId="4503"/>
    <cellStyle name="40% - Accent2 2 2 8 2" xfId="10651"/>
    <cellStyle name="40% - Accent2 2 2 8 2 2" xfId="10652"/>
    <cellStyle name="40% - Accent2 2 2 8 3" xfId="10653"/>
    <cellStyle name="40% - Accent2 2 2 8 3 2" xfId="10654"/>
    <cellStyle name="40% - Accent2 2 2 8 4" xfId="10655"/>
    <cellStyle name="40% - Accent2 2 2 8 5" xfId="10650"/>
    <cellStyle name="40% - Accent2 2 2 9" xfId="10656"/>
    <cellStyle name="40% - Accent2 2 2 9 2" xfId="10657"/>
    <cellStyle name="40% - Accent2 2 2 9 2 2" xfId="10658"/>
    <cellStyle name="40% - Accent2 2 2 9 3" xfId="10659"/>
    <cellStyle name="40% - Accent2 2 2 9 3 2" xfId="10660"/>
    <cellStyle name="40% - Accent2 2 2 9 4" xfId="10661"/>
    <cellStyle name="40% - Accent2 2 3" xfId="284"/>
    <cellStyle name="40% - Accent2 2 3 2" xfId="1338"/>
    <cellStyle name="40% - Accent2 2 3 2 2" xfId="10664"/>
    <cellStyle name="40% - Accent2 2 3 2 2 2" xfId="10665"/>
    <cellStyle name="40% - Accent2 2 3 2 3" xfId="10666"/>
    <cellStyle name="40% - Accent2 2 3 2 3 2" xfId="10667"/>
    <cellStyle name="40% - Accent2 2 3 2 4" xfId="10668"/>
    <cellStyle name="40% - Accent2 2 3 2 5" xfId="10663"/>
    <cellStyle name="40% - Accent2 2 3 3" xfId="10669"/>
    <cellStyle name="40% - Accent2 2 3 3 2" xfId="10670"/>
    <cellStyle name="40% - Accent2 2 3 4" xfId="10671"/>
    <cellStyle name="40% - Accent2 2 3 4 2" xfId="10672"/>
    <cellStyle name="40% - Accent2 2 3 5" xfId="10673"/>
    <cellStyle name="40% - Accent2 2 3 6" xfId="10662"/>
    <cellStyle name="40% - Accent2 2 4" xfId="386"/>
    <cellStyle name="40% - Accent2 2 4 2" xfId="10675"/>
    <cellStyle name="40% - Accent2 2 4 2 2" xfId="10676"/>
    <cellStyle name="40% - Accent2 2 4 2 2 2" xfId="10677"/>
    <cellStyle name="40% - Accent2 2 4 2 3" xfId="10678"/>
    <cellStyle name="40% - Accent2 2 4 2 3 2" xfId="10679"/>
    <cellStyle name="40% - Accent2 2 4 2 4" xfId="10680"/>
    <cellStyle name="40% - Accent2 2 4 3" xfId="10681"/>
    <cellStyle name="40% - Accent2 2 4 3 2" xfId="10682"/>
    <cellStyle name="40% - Accent2 2 4 4" xfId="10683"/>
    <cellStyle name="40% - Accent2 2 4 4 2" xfId="10684"/>
    <cellStyle name="40% - Accent2 2 4 5" xfId="10685"/>
    <cellStyle name="40% - Accent2 2 4 6" xfId="10674"/>
    <cellStyle name="40% - Accent2 2 5" xfId="540"/>
    <cellStyle name="40% - Accent2 2 5 2" xfId="10687"/>
    <cellStyle name="40% - Accent2 2 5 2 2" xfId="10688"/>
    <cellStyle name="40% - Accent2 2 5 3" xfId="10689"/>
    <cellStyle name="40% - Accent2 2 5 3 2" xfId="10690"/>
    <cellStyle name="40% - Accent2 2 5 4" xfId="10691"/>
    <cellStyle name="40% - Accent2 2 5 5" xfId="10686"/>
    <cellStyle name="40% - Accent2 2 6" xfId="670"/>
    <cellStyle name="40% - Accent2 2 6 2" xfId="10693"/>
    <cellStyle name="40% - Accent2 2 6 2 2" xfId="10694"/>
    <cellStyle name="40% - Accent2 2 6 3" xfId="10695"/>
    <cellStyle name="40% - Accent2 2 6 3 2" xfId="10696"/>
    <cellStyle name="40% - Accent2 2 6 4" xfId="10697"/>
    <cellStyle name="40% - Accent2 2 6 5" xfId="10692"/>
    <cellStyle name="40% - Accent2 2 7" xfId="671"/>
    <cellStyle name="40% - Accent2 2 7 2" xfId="10699"/>
    <cellStyle name="40% - Accent2 2 7 2 2" xfId="10700"/>
    <cellStyle name="40% - Accent2 2 7 3" xfId="10701"/>
    <cellStyle name="40% - Accent2 2 7 3 2" xfId="10702"/>
    <cellStyle name="40% - Accent2 2 7 4" xfId="10703"/>
    <cellStyle name="40% - Accent2 2 7 5" xfId="10698"/>
    <cellStyle name="40% - Accent2 2 8" xfId="821"/>
    <cellStyle name="40% - Accent2 2 8 2" xfId="1403"/>
    <cellStyle name="40% - Accent2 2 8 2 2" xfId="10706"/>
    <cellStyle name="40% - Accent2 2 8 2 3" xfId="10705"/>
    <cellStyle name="40% - Accent2 2 8 3" xfId="10707"/>
    <cellStyle name="40% - Accent2 2 8 3 2" xfId="10708"/>
    <cellStyle name="40% - Accent2 2 8 4" xfId="10709"/>
    <cellStyle name="40% - Accent2 2 8 4 2" xfId="10710"/>
    <cellStyle name="40% - Accent2 2 8 5" xfId="10711"/>
    <cellStyle name="40% - Accent2 2 8 5 2" xfId="10712"/>
    <cellStyle name="40% - Accent2 2 8 6" xfId="10713"/>
    <cellStyle name="40% - Accent2 2 8 7" xfId="10704"/>
    <cellStyle name="40% - Accent2 2 9" xfId="936"/>
    <cellStyle name="40% - Accent2 2 9 2" xfId="1445"/>
    <cellStyle name="40% - Accent2 2 9 2 2" xfId="10716"/>
    <cellStyle name="40% - Accent2 2 9 2 3" xfId="10715"/>
    <cellStyle name="40% - Accent2 2 9 3" xfId="10717"/>
    <cellStyle name="40% - Accent2 2 9 3 2" xfId="10718"/>
    <cellStyle name="40% - Accent2 2 9 4" xfId="10719"/>
    <cellStyle name="40% - Accent2 2 9 4 2" xfId="10720"/>
    <cellStyle name="40% - Accent2 2 9 5" xfId="10721"/>
    <cellStyle name="40% - Accent2 2 9 5 2" xfId="10722"/>
    <cellStyle name="40% - Accent2 2 9 6" xfId="10723"/>
    <cellStyle name="40% - Accent2 2 9 7" xfId="10714"/>
    <cellStyle name="40% - Accent2 20" xfId="10724"/>
    <cellStyle name="40% - Accent2 20 2" xfId="10725"/>
    <cellStyle name="40% - Accent2 21" xfId="10726"/>
    <cellStyle name="40% - Accent2 21 2" xfId="10727"/>
    <cellStyle name="40% - Accent2 21 2 2" xfId="10728"/>
    <cellStyle name="40% - Accent2 21 2 2 2" xfId="10729"/>
    <cellStyle name="40% - Accent2 21 2 3" xfId="10730"/>
    <cellStyle name="40% - Accent2 21 2 3 2" xfId="10731"/>
    <cellStyle name="40% - Accent2 21 2 4" xfId="10732"/>
    <cellStyle name="40% - Accent2 21 3" xfId="10733"/>
    <cellStyle name="40% - Accent2 21 3 2" xfId="10734"/>
    <cellStyle name="40% - Accent2 21 4" xfId="10735"/>
    <cellStyle name="40% - Accent2 21 4 2" xfId="10736"/>
    <cellStyle name="40% - Accent2 21 5" xfId="10737"/>
    <cellStyle name="40% - Accent2 22" xfId="10738"/>
    <cellStyle name="40% - Accent2 22 2" xfId="10739"/>
    <cellStyle name="40% - Accent2 22 2 2" xfId="10740"/>
    <cellStyle name="40% - Accent2 22 2 2 2" xfId="10741"/>
    <cellStyle name="40% - Accent2 22 2 3" xfId="10742"/>
    <cellStyle name="40% - Accent2 22 2 3 2" xfId="10743"/>
    <cellStyle name="40% - Accent2 22 2 4" xfId="10744"/>
    <cellStyle name="40% - Accent2 22 3" xfId="10745"/>
    <cellStyle name="40% - Accent2 22 3 2" xfId="10746"/>
    <cellStyle name="40% - Accent2 22 4" xfId="10747"/>
    <cellStyle name="40% - Accent2 22 4 2" xfId="10748"/>
    <cellStyle name="40% - Accent2 22 5" xfId="10749"/>
    <cellStyle name="40% - Accent2 23" xfId="10750"/>
    <cellStyle name="40% - Accent2 23 2" xfId="10751"/>
    <cellStyle name="40% - Accent2 24" xfId="10752"/>
    <cellStyle name="40% - Accent2 24 2" xfId="10753"/>
    <cellStyle name="40% - Accent2 24 2 2" xfId="10754"/>
    <cellStyle name="40% - Accent2 24 2 2 2" xfId="10755"/>
    <cellStyle name="40% - Accent2 24 2 3" xfId="10756"/>
    <cellStyle name="40% - Accent2 24 2 3 2" xfId="10757"/>
    <cellStyle name="40% - Accent2 24 2 4" xfId="10758"/>
    <cellStyle name="40% - Accent2 24 3" xfId="10759"/>
    <cellStyle name="40% - Accent2 24 3 2" xfId="10760"/>
    <cellStyle name="40% - Accent2 24 4" xfId="10761"/>
    <cellStyle name="40% - Accent2 24 4 2" xfId="10762"/>
    <cellStyle name="40% - Accent2 24 5" xfId="10763"/>
    <cellStyle name="40% - Accent2 25" xfId="10764"/>
    <cellStyle name="40% - Accent2 25 2" xfId="10765"/>
    <cellStyle name="40% - Accent2 25 2 2" xfId="10766"/>
    <cellStyle name="40% - Accent2 25 2 2 2" xfId="10767"/>
    <cellStyle name="40% - Accent2 25 2 3" xfId="10768"/>
    <cellStyle name="40% - Accent2 25 2 3 2" xfId="10769"/>
    <cellStyle name="40% - Accent2 25 2 4" xfId="10770"/>
    <cellStyle name="40% - Accent2 25 3" xfId="10771"/>
    <cellStyle name="40% - Accent2 25 3 2" xfId="10772"/>
    <cellStyle name="40% - Accent2 25 4" xfId="10773"/>
    <cellStyle name="40% - Accent2 25 4 2" xfId="10774"/>
    <cellStyle name="40% - Accent2 25 5" xfId="10775"/>
    <cellStyle name="40% - Accent2 26" xfId="10776"/>
    <cellStyle name="40% - Accent2 26 2" xfId="10777"/>
    <cellStyle name="40% - Accent2 27" xfId="10778"/>
    <cellStyle name="40% - Accent2 27 2" xfId="10779"/>
    <cellStyle name="40% - Accent2 27 2 2" xfId="10780"/>
    <cellStyle name="40% - Accent2 27 2 2 2" xfId="10781"/>
    <cellStyle name="40% - Accent2 27 2 3" xfId="10782"/>
    <cellStyle name="40% - Accent2 27 2 3 2" xfId="10783"/>
    <cellStyle name="40% - Accent2 27 2 4" xfId="10784"/>
    <cellStyle name="40% - Accent2 27 3" xfId="10785"/>
    <cellStyle name="40% - Accent2 27 3 2" xfId="10786"/>
    <cellStyle name="40% - Accent2 27 4" xfId="10787"/>
    <cellStyle name="40% - Accent2 27 4 2" xfId="10788"/>
    <cellStyle name="40% - Accent2 27 5" xfId="10789"/>
    <cellStyle name="40% - Accent2 28" xfId="10790"/>
    <cellStyle name="40% - Accent2 28 2" xfId="10791"/>
    <cellStyle name="40% - Accent2 28 2 2" xfId="10792"/>
    <cellStyle name="40% - Accent2 28 3" xfId="10793"/>
    <cellStyle name="40% - Accent2 28 3 2" xfId="10794"/>
    <cellStyle name="40% - Accent2 28 4" xfId="10795"/>
    <cellStyle name="40% - Accent2 29" xfId="10796"/>
    <cellStyle name="40% - Accent2 29 2" xfId="10797"/>
    <cellStyle name="40% - Accent2 3" xfId="217"/>
    <cellStyle name="40% - Accent2 3 10" xfId="3682"/>
    <cellStyle name="40% - Accent2 3 10 2" xfId="4504"/>
    <cellStyle name="40% - Accent2 3 10 2 2" xfId="10801"/>
    <cellStyle name="40% - Accent2 3 10 2 3" xfId="10800"/>
    <cellStyle name="40% - Accent2 3 10 3" xfId="10802"/>
    <cellStyle name="40% - Accent2 3 10 3 2" xfId="10803"/>
    <cellStyle name="40% - Accent2 3 10 4" xfId="10804"/>
    <cellStyle name="40% - Accent2 3 10 4 2" xfId="10805"/>
    <cellStyle name="40% - Accent2 3 10 5" xfId="10806"/>
    <cellStyle name="40% - Accent2 3 10 5 2" xfId="10807"/>
    <cellStyle name="40% - Accent2 3 10 6" xfId="10808"/>
    <cellStyle name="40% - Accent2 3 10 7" xfId="10799"/>
    <cellStyle name="40% - Accent2 3 11" xfId="10809"/>
    <cellStyle name="40% - Accent2 3 11 2" xfId="10810"/>
    <cellStyle name="40% - Accent2 3 11 2 2" xfId="10811"/>
    <cellStyle name="40% - Accent2 3 11 3" xfId="10812"/>
    <cellStyle name="40% - Accent2 3 11 3 2" xfId="10813"/>
    <cellStyle name="40% - Accent2 3 11 4" xfId="10814"/>
    <cellStyle name="40% - Accent2 3 12" xfId="10815"/>
    <cellStyle name="40% - Accent2 3 12 2" xfId="10816"/>
    <cellStyle name="40% - Accent2 3 12 2 2" xfId="10817"/>
    <cellStyle name="40% - Accent2 3 12 3" xfId="10818"/>
    <cellStyle name="40% - Accent2 3 12 3 2" xfId="10819"/>
    <cellStyle name="40% - Accent2 3 12 4" xfId="10820"/>
    <cellStyle name="40% - Accent2 3 13" xfId="10821"/>
    <cellStyle name="40% - Accent2 3 13 2" xfId="10822"/>
    <cellStyle name="40% - Accent2 3 13 2 2" xfId="10823"/>
    <cellStyle name="40% - Accent2 3 13 3" xfId="10824"/>
    <cellStyle name="40% - Accent2 3 13 3 2" xfId="10825"/>
    <cellStyle name="40% - Accent2 3 13 4" xfId="10826"/>
    <cellStyle name="40% - Accent2 3 14" xfId="10827"/>
    <cellStyle name="40% - Accent2 3 14 2" xfId="10828"/>
    <cellStyle name="40% - Accent2 3 15" xfId="10829"/>
    <cellStyle name="40% - Accent2 3 15 2" xfId="10830"/>
    <cellStyle name="40% - Accent2 3 16" xfId="10831"/>
    <cellStyle name="40% - Accent2 3 17" xfId="10798"/>
    <cellStyle name="40% - Accent2 3 2" xfId="1455"/>
    <cellStyle name="40% - Accent2 3 2 10" xfId="10833"/>
    <cellStyle name="40% - Accent2 3 2 10 2" xfId="10834"/>
    <cellStyle name="40% - Accent2 3 2 10 2 2" xfId="10835"/>
    <cellStyle name="40% - Accent2 3 2 10 3" xfId="10836"/>
    <cellStyle name="40% - Accent2 3 2 10 3 2" xfId="10837"/>
    <cellStyle name="40% - Accent2 3 2 10 4" xfId="10838"/>
    <cellStyle name="40% - Accent2 3 2 11" xfId="10839"/>
    <cellStyle name="40% - Accent2 3 2 11 2" xfId="10840"/>
    <cellStyle name="40% - Accent2 3 2 11 2 2" xfId="10841"/>
    <cellStyle name="40% - Accent2 3 2 11 3" xfId="10842"/>
    <cellStyle name="40% - Accent2 3 2 11 3 2" xfId="10843"/>
    <cellStyle name="40% - Accent2 3 2 11 4" xfId="10844"/>
    <cellStyle name="40% - Accent2 3 2 12" xfId="10845"/>
    <cellStyle name="40% - Accent2 3 2 12 2" xfId="10846"/>
    <cellStyle name="40% - Accent2 3 2 12 2 2" xfId="10847"/>
    <cellStyle name="40% - Accent2 3 2 12 3" xfId="10848"/>
    <cellStyle name="40% - Accent2 3 2 12 3 2" xfId="10849"/>
    <cellStyle name="40% - Accent2 3 2 12 4" xfId="10850"/>
    <cellStyle name="40% - Accent2 3 2 13" xfId="10851"/>
    <cellStyle name="40% - Accent2 3 2 13 2" xfId="10852"/>
    <cellStyle name="40% - Accent2 3 2 14" xfId="10853"/>
    <cellStyle name="40% - Accent2 3 2 14 2" xfId="10854"/>
    <cellStyle name="40% - Accent2 3 2 15" xfId="10855"/>
    <cellStyle name="40% - Accent2 3 2 15 2" xfId="10856"/>
    <cellStyle name="40% - Accent2 3 2 16" xfId="10857"/>
    <cellStyle name="40% - Accent2 3 2 17" xfId="10832"/>
    <cellStyle name="40% - Accent2 3 2 2" xfId="1828"/>
    <cellStyle name="40% - Accent2 3 2 2 2" xfId="10859"/>
    <cellStyle name="40% - Accent2 3 2 2 2 2" xfId="10860"/>
    <cellStyle name="40% - Accent2 3 2 2 3" xfId="10861"/>
    <cellStyle name="40% - Accent2 3 2 2 3 2" xfId="10862"/>
    <cellStyle name="40% - Accent2 3 2 2 4" xfId="10863"/>
    <cellStyle name="40% - Accent2 3 2 2 5" xfId="10858"/>
    <cellStyle name="40% - Accent2 3 2 3" xfId="2203"/>
    <cellStyle name="40% - Accent2 3 2 3 2" xfId="10865"/>
    <cellStyle name="40% - Accent2 3 2 3 2 2" xfId="10866"/>
    <cellStyle name="40% - Accent2 3 2 3 3" xfId="10867"/>
    <cellStyle name="40% - Accent2 3 2 3 3 2" xfId="10868"/>
    <cellStyle name="40% - Accent2 3 2 3 4" xfId="10869"/>
    <cellStyle name="40% - Accent2 3 2 3 5" xfId="10864"/>
    <cellStyle name="40% - Accent2 3 2 4" xfId="2577"/>
    <cellStyle name="40% - Accent2 3 2 4 2" xfId="10871"/>
    <cellStyle name="40% - Accent2 3 2 4 2 2" xfId="10872"/>
    <cellStyle name="40% - Accent2 3 2 4 3" xfId="10873"/>
    <cellStyle name="40% - Accent2 3 2 4 3 2" xfId="10874"/>
    <cellStyle name="40% - Accent2 3 2 4 4" xfId="10875"/>
    <cellStyle name="40% - Accent2 3 2 4 5" xfId="10870"/>
    <cellStyle name="40% - Accent2 3 2 5" xfId="2949"/>
    <cellStyle name="40% - Accent2 3 2 5 2" xfId="10877"/>
    <cellStyle name="40% - Accent2 3 2 5 2 2" xfId="10878"/>
    <cellStyle name="40% - Accent2 3 2 5 3" xfId="10879"/>
    <cellStyle name="40% - Accent2 3 2 5 3 2" xfId="10880"/>
    <cellStyle name="40% - Accent2 3 2 5 4" xfId="10881"/>
    <cellStyle name="40% - Accent2 3 2 5 5" xfId="10876"/>
    <cellStyle name="40% - Accent2 3 2 6" xfId="3321"/>
    <cellStyle name="40% - Accent2 3 2 6 2" xfId="10883"/>
    <cellStyle name="40% - Accent2 3 2 6 2 2" xfId="10884"/>
    <cellStyle name="40% - Accent2 3 2 6 3" xfId="10885"/>
    <cellStyle name="40% - Accent2 3 2 6 3 2" xfId="10886"/>
    <cellStyle name="40% - Accent2 3 2 6 4" xfId="10887"/>
    <cellStyle name="40% - Accent2 3 2 6 5" xfId="10882"/>
    <cellStyle name="40% - Accent2 3 2 7" xfId="4505"/>
    <cellStyle name="40% - Accent2 3 2 7 2" xfId="10889"/>
    <cellStyle name="40% - Accent2 3 2 7 2 2" xfId="10890"/>
    <cellStyle name="40% - Accent2 3 2 7 3" xfId="10891"/>
    <cellStyle name="40% - Accent2 3 2 7 3 2" xfId="10892"/>
    <cellStyle name="40% - Accent2 3 2 7 4" xfId="10893"/>
    <cellStyle name="40% - Accent2 3 2 7 5" xfId="10888"/>
    <cellStyle name="40% - Accent2 3 2 8" xfId="10894"/>
    <cellStyle name="40% - Accent2 3 2 8 2" xfId="10895"/>
    <cellStyle name="40% - Accent2 3 2 8 2 2" xfId="10896"/>
    <cellStyle name="40% - Accent2 3 2 8 3" xfId="10897"/>
    <cellStyle name="40% - Accent2 3 2 8 3 2" xfId="10898"/>
    <cellStyle name="40% - Accent2 3 2 8 4" xfId="10899"/>
    <cellStyle name="40% - Accent2 3 2 9" xfId="10900"/>
    <cellStyle name="40% - Accent2 3 2 9 2" xfId="10901"/>
    <cellStyle name="40% - Accent2 3 2 9 2 2" xfId="10902"/>
    <cellStyle name="40% - Accent2 3 2 9 3" xfId="10903"/>
    <cellStyle name="40% - Accent2 3 2 9 3 2" xfId="10904"/>
    <cellStyle name="40% - Accent2 3 2 9 4" xfId="10905"/>
    <cellStyle name="40% - Accent2 3 3" xfId="1582"/>
    <cellStyle name="40% - Accent2 3 3 2" xfId="1905"/>
    <cellStyle name="40% - Accent2 3 3 2 2" xfId="10908"/>
    <cellStyle name="40% - Accent2 3 3 2 3" xfId="10907"/>
    <cellStyle name="40% - Accent2 3 3 3" xfId="2280"/>
    <cellStyle name="40% - Accent2 3 3 3 2" xfId="10910"/>
    <cellStyle name="40% - Accent2 3 3 3 3" xfId="10909"/>
    <cellStyle name="40% - Accent2 3 3 4" xfId="2653"/>
    <cellStyle name="40% - Accent2 3 3 4 2" xfId="10912"/>
    <cellStyle name="40% - Accent2 3 3 4 3" xfId="10911"/>
    <cellStyle name="40% - Accent2 3 3 5" xfId="3026"/>
    <cellStyle name="40% - Accent2 3 3 5 2" xfId="10914"/>
    <cellStyle name="40% - Accent2 3 3 5 3" xfId="10913"/>
    <cellStyle name="40% - Accent2 3 3 6" xfId="3397"/>
    <cellStyle name="40% - Accent2 3 3 6 2" xfId="10916"/>
    <cellStyle name="40% - Accent2 3 3 6 3" xfId="10915"/>
    <cellStyle name="40% - Accent2 3 3 7" xfId="4506"/>
    <cellStyle name="40% - Accent2 3 3 7 2" xfId="10918"/>
    <cellStyle name="40% - Accent2 3 3 7 3" xfId="10917"/>
    <cellStyle name="40% - Accent2 3 3 8" xfId="10919"/>
    <cellStyle name="40% - Accent2 3 3 9" xfId="10906"/>
    <cellStyle name="40% - Accent2 3 4" xfId="1719"/>
    <cellStyle name="40% - Accent2 3 4 2" xfId="1949"/>
    <cellStyle name="40% - Accent2 3 4 2 2" xfId="10922"/>
    <cellStyle name="40% - Accent2 3 4 2 3" xfId="10921"/>
    <cellStyle name="40% - Accent2 3 4 3" xfId="2324"/>
    <cellStyle name="40% - Accent2 3 4 3 2" xfId="10924"/>
    <cellStyle name="40% - Accent2 3 4 3 3" xfId="10923"/>
    <cellStyle name="40% - Accent2 3 4 4" xfId="2697"/>
    <cellStyle name="40% - Accent2 3 4 4 2" xfId="10926"/>
    <cellStyle name="40% - Accent2 3 4 4 3" xfId="10925"/>
    <cellStyle name="40% - Accent2 3 4 5" xfId="3070"/>
    <cellStyle name="40% - Accent2 3 4 5 2" xfId="10928"/>
    <cellStyle name="40% - Accent2 3 4 5 3" xfId="10927"/>
    <cellStyle name="40% - Accent2 3 4 6" xfId="3441"/>
    <cellStyle name="40% - Accent2 3 4 6 2" xfId="10930"/>
    <cellStyle name="40% - Accent2 3 4 6 3" xfId="10929"/>
    <cellStyle name="40% - Accent2 3 4 7" xfId="10931"/>
    <cellStyle name="40% - Accent2 3 4 8" xfId="10920"/>
    <cellStyle name="40% - Accent2 3 5" xfId="2054"/>
    <cellStyle name="40% - Accent2 3 5 2" xfId="10933"/>
    <cellStyle name="40% - Accent2 3 5 2 2" xfId="10934"/>
    <cellStyle name="40% - Accent2 3 5 3" xfId="10935"/>
    <cellStyle name="40% - Accent2 3 5 3 2" xfId="10936"/>
    <cellStyle name="40% - Accent2 3 5 4" xfId="10937"/>
    <cellStyle name="40% - Accent2 3 5 4 2" xfId="10938"/>
    <cellStyle name="40% - Accent2 3 5 5" xfId="10939"/>
    <cellStyle name="40% - Accent2 3 5 6" xfId="10932"/>
    <cellStyle name="40% - Accent2 3 6" xfId="2428"/>
    <cellStyle name="40% - Accent2 3 6 2" xfId="10941"/>
    <cellStyle name="40% - Accent2 3 6 2 2" xfId="10942"/>
    <cellStyle name="40% - Accent2 3 6 3" xfId="10943"/>
    <cellStyle name="40% - Accent2 3 6 3 2" xfId="10944"/>
    <cellStyle name="40% - Accent2 3 6 4" xfId="10945"/>
    <cellStyle name="40% - Accent2 3 6 4 2" xfId="10946"/>
    <cellStyle name="40% - Accent2 3 6 5" xfId="10947"/>
    <cellStyle name="40% - Accent2 3 6 6" xfId="10940"/>
    <cellStyle name="40% - Accent2 3 7" xfId="2800"/>
    <cellStyle name="40% - Accent2 3 7 2" xfId="10949"/>
    <cellStyle name="40% - Accent2 3 7 2 2" xfId="10950"/>
    <cellStyle name="40% - Accent2 3 7 3" xfId="10951"/>
    <cellStyle name="40% - Accent2 3 7 3 2" xfId="10952"/>
    <cellStyle name="40% - Accent2 3 7 4" xfId="10953"/>
    <cellStyle name="40% - Accent2 3 7 4 2" xfId="10954"/>
    <cellStyle name="40% - Accent2 3 7 5" xfId="10955"/>
    <cellStyle name="40% - Accent2 3 7 6" xfId="10948"/>
    <cellStyle name="40% - Accent2 3 8" xfId="3171"/>
    <cellStyle name="40% - Accent2 3 8 2" xfId="10957"/>
    <cellStyle name="40% - Accent2 3 8 2 2" xfId="10958"/>
    <cellStyle name="40% - Accent2 3 8 3" xfId="10959"/>
    <cellStyle name="40% - Accent2 3 8 3 2" xfId="10960"/>
    <cellStyle name="40% - Accent2 3 8 4" xfId="10961"/>
    <cellStyle name="40% - Accent2 3 8 4 2" xfId="10962"/>
    <cellStyle name="40% - Accent2 3 8 5" xfId="10963"/>
    <cellStyle name="40% - Accent2 3 8 6" xfId="10956"/>
    <cellStyle name="40% - Accent2 3 9" xfId="3546"/>
    <cellStyle name="40% - Accent2 3 9 2" xfId="4507"/>
    <cellStyle name="40% - Accent2 3 9 2 2" xfId="10966"/>
    <cellStyle name="40% - Accent2 3 9 2 3" xfId="10965"/>
    <cellStyle name="40% - Accent2 3 9 3" xfId="10967"/>
    <cellStyle name="40% - Accent2 3 9 3 2" xfId="10968"/>
    <cellStyle name="40% - Accent2 3 9 4" xfId="10969"/>
    <cellStyle name="40% - Accent2 3 9 4 2" xfId="10970"/>
    <cellStyle name="40% - Accent2 3 9 5" xfId="10971"/>
    <cellStyle name="40% - Accent2 3 9 5 2" xfId="10972"/>
    <cellStyle name="40% - Accent2 3 9 6" xfId="10973"/>
    <cellStyle name="40% - Accent2 3 9 7" xfId="10964"/>
    <cellStyle name="40% - Accent2 30" xfId="28143"/>
    <cellStyle name="40% - Accent2 4" xfId="242"/>
    <cellStyle name="40% - Accent2 4 10" xfId="3726"/>
    <cellStyle name="40% - Accent2 4 10 2" xfId="4509"/>
    <cellStyle name="40% - Accent2 4 10 2 2" xfId="10977"/>
    <cellStyle name="40% - Accent2 4 10 2 3" xfId="10976"/>
    <cellStyle name="40% - Accent2 4 10 3" xfId="10978"/>
    <cellStyle name="40% - Accent2 4 10 3 2" xfId="10979"/>
    <cellStyle name="40% - Accent2 4 10 4" xfId="10980"/>
    <cellStyle name="40% - Accent2 4 10 4 2" xfId="10981"/>
    <cellStyle name="40% - Accent2 4 10 5" xfId="10982"/>
    <cellStyle name="40% - Accent2 4 10 5 2" xfId="10983"/>
    <cellStyle name="40% - Accent2 4 10 6" xfId="10984"/>
    <cellStyle name="40% - Accent2 4 10 7" xfId="10975"/>
    <cellStyle name="40% - Accent2 4 11" xfId="1299"/>
    <cellStyle name="40% - Accent2 4 11 10" xfId="24879"/>
    <cellStyle name="40% - Accent2 4 11 11" xfId="26281"/>
    <cellStyle name="40% - Accent2 4 11 2" xfId="4147"/>
    <cellStyle name="40% - Accent2 4 11 2 2" xfId="5390"/>
    <cellStyle name="40% - Accent2 4 11 2 2 2" xfId="6264"/>
    <cellStyle name="40% - Accent2 4 11 2 2 2 2" xfId="10988"/>
    <cellStyle name="40% - Accent2 4 11 2 2 2 3" xfId="26284"/>
    <cellStyle name="40% - Accent2 4 11 2 2 3" xfId="10987"/>
    <cellStyle name="40% - Accent2 4 11 2 2 4" xfId="26283"/>
    <cellStyle name="40% - Accent2 4 11 2 3" xfId="5700"/>
    <cellStyle name="40% - Accent2 4 11 2 3 2" xfId="6265"/>
    <cellStyle name="40% - Accent2 4 11 2 3 2 2" xfId="26286"/>
    <cellStyle name="40% - Accent2 4 11 2 3 3" xfId="10989"/>
    <cellStyle name="40% - Accent2 4 11 2 3 4" xfId="26285"/>
    <cellStyle name="40% - Accent2 4 11 2 4" xfId="4511"/>
    <cellStyle name="40% - Accent2 4 11 2 4 2" xfId="6266"/>
    <cellStyle name="40% - Accent2 4 11 2 4 2 2" xfId="26288"/>
    <cellStyle name="40% - Accent2 4 11 2 4 3" xfId="26287"/>
    <cellStyle name="40% - Accent2 4 11 2 5" xfId="6263"/>
    <cellStyle name="40% - Accent2 4 11 2 5 2" xfId="26289"/>
    <cellStyle name="40% - Accent2 4 11 2 6" xfId="10986"/>
    <cellStyle name="40% - Accent2 4 11 2 7" xfId="24999"/>
    <cellStyle name="40% - Accent2 4 11 2 8" xfId="26282"/>
    <cellStyle name="40% - Accent2 4 11 3" xfId="5389"/>
    <cellStyle name="40% - Accent2 4 11 3 2" xfId="6267"/>
    <cellStyle name="40% - Accent2 4 11 3 2 2" xfId="10991"/>
    <cellStyle name="40% - Accent2 4 11 3 2 3" xfId="26291"/>
    <cellStyle name="40% - Accent2 4 11 3 3" xfId="10990"/>
    <cellStyle name="40% - Accent2 4 11 3 4" xfId="26290"/>
    <cellStyle name="40% - Accent2 4 11 4" xfId="5699"/>
    <cellStyle name="40% - Accent2 4 11 4 2" xfId="6268"/>
    <cellStyle name="40% - Accent2 4 11 4 2 2" xfId="10993"/>
    <cellStyle name="40% - Accent2 4 11 4 2 3" xfId="26293"/>
    <cellStyle name="40% - Accent2 4 11 4 3" xfId="10992"/>
    <cellStyle name="40% - Accent2 4 11 4 4" xfId="26292"/>
    <cellStyle name="40% - Accent2 4 11 5" xfId="4510"/>
    <cellStyle name="40% - Accent2 4 11 5 2" xfId="6269"/>
    <cellStyle name="40% - Accent2 4 11 5 2 2" xfId="10996"/>
    <cellStyle name="40% - Accent2 4 11 5 2 3" xfId="10995"/>
    <cellStyle name="40% - Accent2 4 11 5 2 4" xfId="26295"/>
    <cellStyle name="40% - Accent2 4 11 5 3" xfId="10997"/>
    <cellStyle name="40% - Accent2 4 11 5 3 2" xfId="10998"/>
    <cellStyle name="40% - Accent2 4 11 5 4" xfId="10999"/>
    <cellStyle name="40% - Accent2 4 11 5 5" xfId="10994"/>
    <cellStyle name="40% - Accent2 4 11 5 6" xfId="26294"/>
    <cellStyle name="40% - Accent2 4 11 6" xfId="6262"/>
    <cellStyle name="40% - Accent2 4 11 6 2" xfId="11001"/>
    <cellStyle name="40% - Accent2 4 11 6 3" xfId="11000"/>
    <cellStyle name="40% - Accent2 4 11 6 4" xfId="26296"/>
    <cellStyle name="40% - Accent2 4 11 7" xfId="11002"/>
    <cellStyle name="40% - Accent2 4 11 7 2" xfId="11003"/>
    <cellStyle name="40% - Accent2 4 11 8" xfId="11004"/>
    <cellStyle name="40% - Accent2 4 11 9" xfId="10985"/>
    <cellStyle name="40% - Accent2 4 12" xfId="4512"/>
    <cellStyle name="40% - Accent2 4 12 2" xfId="5391"/>
    <cellStyle name="40% - Accent2 4 12 2 2" xfId="6271"/>
    <cellStyle name="40% - Accent2 4 12 2 2 2" xfId="11007"/>
    <cellStyle name="40% - Accent2 4 12 2 2 3" xfId="26299"/>
    <cellStyle name="40% - Accent2 4 12 2 3" xfId="11006"/>
    <cellStyle name="40% - Accent2 4 12 2 4" xfId="26298"/>
    <cellStyle name="40% - Accent2 4 12 3" xfId="5701"/>
    <cellStyle name="40% - Accent2 4 12 3 2" xfId="6272"/>
    <cellStyle name="40% - Accent2 4 12 3 2 2" xfId="11009"/>
    <cellStyle name="40% - Accent2 4 12 3 2 3" xfId="26301"/>
    <cellStyle name="40% - Accent2 4 12 3 3" xfId="11008"/>
    <cellStyle name="40% - Accent2 4 12 3 4" xfId="26300"/>
    <cellStyle name="40% - Accent2 4 12 4" xfId="6270"/>
    <cellStyle name="40% - Accent2 4 12 4 2" xfId="11011"/>
    <cellStyle name="40% - Accent2 4 12 4 3" xfId="11010"/>
    <cellStyle name="40% - Accent2 4 12 4 4" xfId="26302"/>
    <cellStyle name="40% - Accent2 4 12 5" xfId="11012"/>
    <cellStyle name="40% - Accent2 4 12 6" xfId="11005"/>
    <cellStyle name="40% - Accent2 4 12 7" xfId="26297"/>
    <cellStyle name="40% - Accent2 4 13" xfId="5388"/>
    <cellStyle name="40% - Accent2 4 13 2" xfId="6273"/>
    <cellStyle name="40% - Accent2 4 13 2 2" xfId="11015"/>
    <cellStyle name="40% - Accent2 4 13 2 3" xfId="11014"/>
    <cellStyle name="40% - Accent2 4 13 2 4" xfId="26304"/>
    <cellStyle name="40% - Accent2 4 13 3" xfId="11016"/>
    <cellStyle name="40% - Accent2 4 13 3 2" xfId="11017"/>
    <cellStyle name="40% - Accent2 4 13 4" xfId="11018"/>
    <cellStyle name="40% - Accent2 4 13 5" xfId="11013"/>
    <cellStyle name="40% - Accent2 4 13 6" xfId="26303"/>
    <cellStyle name="40% - Accent2 4 14" xfId="5698"/>
    <cellStyle name="40% - Accent2 4 14 2" xfId="6274"/>
    <cellStyle name="40% - Accent2 4 14 2 2" xfId="11020"/>
    <cellStyle name="40% - Accent2 4 14 2 3" xfId="26306"/>
    <cellStyle name="40% - Accent2 4 14 3" xfId="11019"/>
    <cellStyle name="40% - Accent2 4 14 4" xfId="26305"/>
    <cellStyle name="40% - Accent2 4 15" xfId="4508"/>
    <cellStyle name="40% - Accent2 4 15 2" xfId="6275"/>
    <cellStyle name="40% - Accent2 4 15 2 2" xfId="11022"/>
    <cellStyle name="40% - Accent2 4 15 2 3" xfId="26308"/>
    <cellStyle name="40% - Accent2 4 15 3" xfId="11021"/>
    <cellStyle name="40% - Accent2 4 15 4" xfId="26307"/>
    <cellStyle name="40% - Accent2 4 16" xfId="11023"/>
    <cellStyle name="40% - Accent2 4 16 2" xfId="11024"/>
    <cellStyle name="40% - Accent2 4 17" xfId="11025"/>
    <cellStyle name="40% - Accent2 4 17 2" xfId="11026"/>
    <cellStyle name="40% - Accent2 4 17 2 2" xfId="11027"/>
    <cellStyle name="40% - Accent2 4 17 3" xfId="11028"/>
    <cellStyle name="40% - Accent2 4 17 3 2" xfId="11029"/>
    <cellStyle name="40% - Accent2 4 17 4" xfId="11030"/>
    <cellStyle name="40% - Accent2 4 18" xfId="11031"/>
    <cellStyle name="40% - Accent2 4 18 2" xfId="11032"/>
    <cellStyle name="40% - Accent2 4 19" xfId="11033"/>
    <cellStyle name="40% - Accent2 4 19 2" xfId="11034"/>
    <cellStyle name="40% - Accent2 4 2" xfId="1500"/>
    <cellStyle name="40% - Accent2 4 2 10" xfId="11036"/>
    <cellStyle name="40% - Accent2 4 2 10 2" xfId="11037"/>
    <cellStyle name="40% - Accent2 4 2 10 2 2" xfId="11038"/>
    <cellStyle name="40% - Accent2 4 2 10 3" xfId="11039"/>
    <cellStyle name="40% - Accent2 4 2 10 3 2" xfId="11040"/>
    <cellStyle name="40% - Accent2 4 2 10 4" xfId="11041"/>
    <cellStyle name="40% - Accent2 4 2 11" xfId="11042"/>
    <cellStyle name="40% - Accent2 4 2 11 2" xfId="11043"/>
    <cellStyle name="40% - Accent2 4 2 11 2 2" xfId="11044"/>
    <cellStyle name="40% - Accent2 4 2 11 3" xfId="11045"/>
    <cellStyle name="40% - Accent2 4 2 11 3 2" xfId="11046"/>
    <cellStyle name="40% - Accent2 4 2 11 4" xfId="11047"/>
    <cellStyle name="40% - Accent2 4 2 12" xfId="11048"/>
    <cellStyle name="40% - Accent2 4 2 12 2" xfId="11049"/>
    <cellStyle name="40% - Accent2 4 2 12 2 2" xfId="11050"/>
    <cellStyle name="40% - Accent2 4 2 12 3" xfId="11051"/>
    <cellStyle name="40% - Accent2 4 2 12 3 2" xfId="11052"/>
    <cellStyle name="40% - Accent2 4 2 12 4" xfId="11053"/>
    <cellStyle name="40% - Accent2 4 2 13" xfId="11054"/>
    <cellStyle name="40% - Accent2 4 2 13 2" xfId="11055"/>
    <cellStyle name="40% - Accent2 4 2 14" xfId="11056"/>
    <cellStyle name="40% - Accent2 4 2 14 2" xfId="11057"/>
    <cellStyle name="40% - Accent2 4 2 15" xfId="11058"/>
    <cellStyle name="40% - Accent2 4 2 15 2" xfId="11059"/>
    <cellStyle name="40% - Accent2 4 2 16" xfId="11060"/>
    <cellStyle name="40% - Accent2 4 2 16 2" xfId="11061"/>
    <cellStyle name="40% - Accent2 4 2 17" xfId="11062"/>
    <cellStyle name="40% - Accent2 4 2 18" xfId="11035"/>
    <cellStyle name="40% - Accent2 4 2 2" xfId="4513"/>
    <cellStyle name="40% - Accent2 4 2 2 2" xfId="11064"/>
    <cellStyle name="40% - Accent2 4 2 2 2 2" xfId="11065"/>
    <cellStyle name="40% - Accent2 4 2 2 3" xfId="11066"/>
    <cellStyle name="40% - Accent2 4 2 2 3 2" xfId="11067"/>
    <cellStyle name="40% - Accent2 4 2 2 4" xfId="11068"/>
    <cellStyle name="40% - Accent2 4 2 2 5" xfId="11063"/>
    <cellStyle name="40% - Accent2 4 2 3" xfId="11069"/>
    <cellStyle name="40% - Accent2 4 2 3 2" xfId="11070"/>
    <cellStyle name="40% - Accent2 4 2 3 2 2" xfId="11071"/>
    <cellStyle name="40% - Accent2 4 2 3 3" xfId="11072"/>
    <cellStyle name="40% - Accent2 4 2 3 3 2" xfId="11073"/>
    <cellStyle name="40% - Accent2 4 2 3 4" xfId="11074"/>
    <cellStyle name="40% - Accent2 4 2 4" xfId="11075"/>
    <cellStyle name="40% - Accent2 4 2 4 2" xfId="11076"/>
    <cellStyle name="40% - Accent2 4 2 4 2 2" xfId="11077"/>
    <cellStyle name="40% - Accent2 4 2 4 3" xfId="11078"/>
    <cellStyle name="40% - Accent2 4 2 4 3 2" xfId="11079"/>
    <cellStyle name="40% - Accent2 4 2 4 4" xfId="11080"/>
    <cellStyle name="40% - Accent2 4 2 5" xfId="11081"/>
    <cellStyle name="40% - Accent2 4 2 5 2" xfId="11082"/>
    <cellStyle name="40% - Accent2 4 2 5 2 2" xfId="11083"/>
    <cellStyle name="40% - Accent2 4 2 5 3" xfId="11084"/>
    <cellStyle name="40% - Accent2 4 2 5 3 2" xfId="11085"/>
    <cellStyle name="40% - Accent2 4 2 5 4" xfId="11086"/>
    <cellStyle name="40% - Accent2 4 2 6" xfId="11087"/>
    <cellStyle name="40% - Accent2 4 2 6 2" xfId="11088"/>
    <cellStyle name="40% - Accent2 4 2 6 2 2" xfId="11089"/>
    <cellStyle name="40% - Accent2 4 2 6 3" xfId="11090"/>
    <cellStyle name="40% - Accent2 4 2 6 3 2" xfId="11091"/>
    <cellStyle name="40% - Accent2 4 2 6 4" xfId="11092"/>
    <cellStyle name="40% - Accent2 4 2 7" xfId="11093"/>
    <cellStyle name="40% - Accent2 4 2 7 2" xfId="11094"/>
    <cellStyle name="40% - Accent2 4 2 7 2 2" xfId="11095"/>
    <cellStyle name="40% - Accent2 4 2 7 3" xfId="11096"/>
    <cellStyle name="40% - Accent2 4 2 7 3 2" xfId="11097"/>
    <cellStyle name="40% - Accent2 4 2 7 4" xfId="11098"/>
    <cellStyle name="40% - Accent2 4 2 8" xfId="11099"/>
    <cellStyle name="40% - Accent2 4 2 8 2" xfId="11100"/>
    <cellStyle name="40% - Accent2 4 2 8 2 2" xfId="11101"/>
    <cellStyle name="40% - Accent2 4 2 8 3" xfId="11102"/>
    <cellStyle name="40% - Accent2 4 2 8 3 2" xfId="11103"/>
    <cellStyle name="40% - Accent2 4 2 8 4" xfId="11104"/>
    <cellStyle name="40% - Accent2 4 2 9" xfId="11105"/>
    <cellStyle name="40% - Accent2 4 2 9 2" xfId="11106"/>
    <cellStyle name="40% - Accent2 4 2 9 2 2" xfId="11107"/>
    <cellStyle name="40% - Accent2 4 2 9 3" xfId="11108"/>
    <cellStyle name="40% - Accent2 4 2 9 3 2" xfId="11109"/>
    <cellStyle name="40% - Accent2 4 2 9 4" xfId="11110"/>
    <cellStyle name="40% - Accent2 4 20" xfId="11111"/>
    <cellStyle name="40% - Accent2 4 21" xfId="10974"/>
    <cellStyle name="40% - Accent2 4 3" xfId="1625"/>
    <cellStyle name="40% - Accent2 4 3 2" xfId="4514"/>
    <cellStyle name="40% - Accent2 4 3 2 2" xfId="11114"/>
    <cellStyle name="40% - Accent2 4 3 2 3" xfId="11113"/>
    <cellStyle name="40% - Accent2 4 3 3" xfId="11115"/>
    <cellStyle name="40% - Accent2 4 3 3 2" xfId="11116"/>
    <cellStyle name="40% - Accent2 4 3 4" xfId="11117"/>
    <cellStyle name="40% - Accent2 4 3 4 2" xfId="11118"/>
    <cellStyle name="40% - Accent2 4 3 5" xfId="11119"/>
    <cellStyle name="40% - Accent2 4 3 5 2" xfId="11120"/>
    <cellStyle name="40% - Accent2 4 3 6" xfId="11121"/>
    <cellStyle name="40% - Accent2 4 3 7" xfId="11112"/>
    <cellStyle name="40% - Accent2 4 4" xfId="1755"/>
    <cellStyle name="40% - Accent2 4 4 2" xfId="11123"/>
    <cellStyle name="40% - Accent2 4 4 2 2" xfId="11124"/>
    <cellStyle name="40% - Accent2 4 4 3" xfId="11125"/>
    <cellStyle name="40% - Accent2 4 4 3 2" xfId="11126"/>
    <cellStyle name="40% - Accent2 4 4 4" xfId="11127"/>
    <cellStyle name="40% - Accent2 4 4 4 2" xfId="11128"/>
    <cellStyle name="40% - Accent2 4 4 5" xfId="11129"/>
    <cellStyle name="40% - Accent2 4 4 6" xfId="11122"/>
    <cellStyle name="40% - Accent2 4 5" xfId="2090"/>
    <cellStyle name="40% - Accent2 4 5 2" xfId="11131"/>
    <cellStyle name="40% - Accent2 4 5 2 2" xfId="11132"/>
    <cellStyle name="40% - Accent2 4 5 3" xfId="11133"/>
    <cellStyle name="40% - Accent2 4 5 3 2" xfId="11134"/>
    <cellStyle name="40% - Accent2 4 5 4" xfId="11135"/>
    <cellStyle name="40% - Accent2 4 5 4 2" xfId="11136"/>
    <cellStyle name="40% - Accent2 4 5 5" xfId="11137"/>
    <cellStyle name="40% - Accent2 4 5 6" xfId="11130"/>
    <cellStyle name="40% - Accent2 4 6" xfId="2464"/>
    <cellStyle name="40% - Accent2 4 6 2" xfId="11139"/>
    <cellStyle name="40% - Accent2 4 6 2 2" xfId="11140"/>
    <cellStyle name="40% - Accent2 4 6 3" xfId="11141"/>
    <cellStyle name="40% - Accent2 4 6 3 2" xfId="11142"/>
    <cellStyle name="40% - Accent2 4 6 4" xfId="11143"/>
    <cellStyle name="40% - Accent2 4 6 4 2" xfId="11144"/>
    <cellStyle name="40% - Accent2 4 6 5" xfId="11145"/>
    <cellStyle name="40% - Accent2 4 6 6" xfId="11138"/>
    <cellStyle name="40% - Accent2 4 7" xfId="2836"/>
    <cellStyle name="40% - Accent2 4 7 2" xfId="11147"/>
    <cellStyle name="40% - Accent2 4 7 2 2" xfId="11148"/>
    <cellStyle name="40% - Accent2 4 7 3" xfId="11149"/>
    <cellStyle name="40% - Accent2 4 7 3 2" xfId="11150"/>
    <cellStyle name="40% - Accent2 4 7 4" xfId="11151"/>
    <cellStyle name="40% - Accent2 4 7 4 2" xfId="11152"/>
    <cellStyle name="40% - Accent2 4 7 5" xfId="11153"/>
    <cellStyle name="40% - Accent2 4 7 6" xfId="11146"/>
    <cellStyle name="40% - Accent2 4 8" xfId="3207"/>
    <cellStyle name="40% - Accent2 4 8 2" xfId="11155"/>
    <cellStyle name="40% - Accent2 4 8 2 2" xfId="11156"/>
    <cellStyle name="40% - Accent2 4 8 3" xfId="11157"/>
    <cellStyle name="40% - Accent2 4 8 3 2" xfId="11158"/>
    <cellStyle name="40% - Accent2 4 8 4" xfId="11159"/>
    <cellStyle name="40% - Accent2 4 8 4 2" xfId="11160"/>
    <cellStyle name="40% - Accent2 4 8 5" xfId="11161"/>
    <cellStyle name="40% - Accent2 4 8 6" xfId="11154"/>
    <cellStyle name="40% - Accent2 4 9" xfId="3589"/>
    <cellStyle name="40% - Accent2 4 9 2" xfId="4515"/>
    <cellStyle name="40% - Accent2 4 9 2 2" xfId="11164"/>
    <cellStyle name="40% - Accent2 4 9 2 3" xfId="11163"/>
    <cellStyle name="40% - Accent2 4 9 3" xfId="11165"/>
    <cellStyle name="40% - Accent2 4 9 3 2" xfId="11166"/>
    <cellStyle name="40% - Accent2 4 9 4" xfId="11167"/>
    <cellStyle name="40% - Accent2 4 9 4 2" xfId="11168"/>
    <cellStyle name="40% - Accent2 4 9 5" xfId="11169"/>
    <cellStyle name="40% - Accent2 4 9 5 2" xfId="11170"/>
    <cellStyle name="40% - Accent2 4 9 6" xfId="11171"/>
    <cellStyle name="40% - Accent2 4 9 7" xfId="11162"/>
    <cellStyle name="40% - Accent2 5" xfId="387"/>
    <cellStyle name="40% - Accent2 5 10" xfId="11173"/>
    <cellStyle name="40% - Accent2 5 10 2" xfId="11174"/>
    <cellStyle name="40% - Accent2 5 10 2 2" xfId="11175"/>
    <cellStyle name="40% - Accent2 5 10 3" xfId="11176"/>
    <cellStyle name="40% - Accent2 5 10 3 2" xfId="11177"/>
    <cellStyle name="40% - Accent2 5 10 4" xfId="11178"/>
    <cellStyle name="40% - Accent2 5 11" xfId="11179"/>
    <cellStyle name="40% - Accent2 5 11 2" xfId="11180"/>
    <cellStyle name="40% - Accent2 5 11 2 2" xfId="11181"/>
    <cellStyle name="40% - Accent2 5 11 3" xfId="11182"/>
    <cellStyle name="40% - Accent2 5 11 3 2" xfId="11183"/>
    <cellStyle name="40% - Accent2 5 11 4" xfId="11184"/>
    <cellStyle name="40% - Accent2 5 12" xfId="11185"/>
    <cellStyle name="40% - Accent2 5 12 2" xfId="11186"/>
    <cellStyle name="40% - Accent2 5 12 2 2" xfId="11187"/>
    <cellStyle name="40% - Accent2 5 12 3" xfId="11188"/>
    <cellStyle name="40% - Accent2 5 12 3 2" xfId="11189"/>
    <cellStyle name="40% - Accent2 5 12 4" xfId="11190"/>
    <cellStyle name="40% - Accent2 5 13" xfId="11191"/>
    <cellStyle name="40% - Accent2 5 13 2" xfId="11192"/>
    <cellStyle name="40% - Accent2 5 13 2 2" xfId="11193"/>
    <cellStyle name="40% - Accent2 5 13 3" xfId="11194"/>
    <cellStyle name="40% - Accent2 5 13 3 2" xfId="11195"/>
    <cellStyle name="40% - Accent2 5 13 4" xfId="11196"/>
    <cellStyle name="40% - Accent2 5 14" xfId="11197"/>
    <cellStyle name="40% - Accent2 5 14 2" xfId="11198"/>
    <cellStyle name="40% - Accent2 5 15" xfId="11199"/>
    <cellStyle name="40% - Accent2 5 15 2" xfId="11200"/>
    <cellStyle name="40% - Accent2 5 16" xfId="11201"/>
    <cellStyle name="40% - Accent2 5 16 2" xfId="11202"/>
    <cellStyle name="40% - Accent2 5 17" xfId="11203"/>
    <cellStyle name="40% - Accent2 5 17 2" xfId="11204"/>
    <cellStyle name="40% - Accent2 5 18" xfId="11205"/>
    <cellStyle name="40% - Accent2 5 19" xfId="11172"/>
    <cellStyle name="40% - Accent2 5 2" xfId="1861"/>
    <cellStyle name="40% - Accent2 5 2 10" xfId="11207"/>
    <cellStyle name="40% - Accent2 5 2 10 2" xfId="11208"/>
    <cellStyle name="40% - Accent2 5 2 10 2 2" xfId="11209"/>
    <cellStyle name="40% - Accent2 5 2 10 3" xfId="11210"/>
    <cellStyle name="40% - Accent2 5 2 10 3 2" xfId="11211"/>
    <cellStyle name="40% - Accent2 5 2 10 4" xfId="11212"/>
    <cellStyle name="40% - Accent2 5 2 11" xfId="11213"/>
    <cellStyle name="40% - Accent2 5 2 11 2" xfId="11214"/>
    <cellStyle name="40% - Accent2 5 2 11 2 2" xfId="11215"/>
    <cellStyle name="40% - Accent2 5 2 11 3" xfId="11216"/>
    <cellStyle name="40% - Accent2 5 2 11 3 2" xfId="11217"/>
    <cellStyle name="40% - Accent2 5 2 11 4" xfId="11218"/>
    <cellStyle name="40% - Accent2 5 2 12" xfId="11219"/>
    <cellStyle name="40% - Accent2 5 2 12 2" xfId="11220"/>
    <cellStyle name="40% - Accent2 5 2 12 2 2" xfId="11221"/>
    <cellStyle name="40% - Accent2 5 2 12 3" xfId="11222"/>
    <cellStyle name="40% - Accent2 5 2 12 3 2" xfId="11223"/>
    <cellStyle name="40% - Accent2 5 2 12 4" xfId="11224"/>
    <cellStyle name="40% - Accent2 5 2 13" xfId="11225"/>
    <cellStyle name="40% - Accent2 5 2 13 2" xfId="11226"/>
    <cellStyle name="40% - Accent2 5 2 14" xfId="11227"/>
    <cellStyle name="40% - Accent2 5 2 14 2" xfId="11228"/>
    <cellStyle name="40% - Accent2 5 2 15" xfId="11229"/>
    <cellStyle name="40% - Accent2 5 2 15 2" xfId="11230"/>
    <cellStyle name="40% - Accent2 5 2 16" xfId="11231"/>
    <cellStyle name="40% - Accent2 5 2 17" xfId="11206"/>
    <cellStyle name="40% - Accent2 5 2 2" xfId="11232"/>
    <cellStyle name="40% - Accent2 5 2 2 2" xfId="11233"/>
    <cellStyle name="40% - Accent2 5 2 2 2 2" xfId="11234"/>
    <cellStyle name="40% - Accent2 5 2 2 3" xfId="11235"/>
    <cellStyle name="40% - Accent2 5 2 2 3 2" xfId="11236"/>
    <cellStyle name="40% - Accent2 5 2 2 4" xfId="11237"/>
    <cellStyle name="40% - Accent2 5 2 3" xfId="11238"/>
    <cellStyle name="40% - Accent2 5 2 3 2" xfId="11239"/>
    <cellStyle name="40% - Accent2 5 2 3 2 2" xfId="11240"/>
    <cellStyle name="40% - Accent2 5 2 3 3" xfId="11241"/>
    <cellStyle name="40% - Accent2 5 2 3 3 2" xfId="11242"/>
    <cellStyle name="40% - Accent2 5 2 3 4" xfId="11243"/>
    <cellStyle name="40% - Accent2 5 2 4" xfId="11244"/>
    <cellStyle name="40% - Accent2 5 2 4 2" xfId="11245"/>
    <cellStyle name="40% - Accent2 5 2 4 2 2" xfId="11246"/>
    <cellStyle name="40% - Accent2 5 2 4 3" xfId="11247"/>
    <cellStyle name="40% - Accent2 5 2 4 3 2" xfId="11248"/>
    <cellStyle name="40% - Accent2 5 2 4 4" xfId="11249"/>
    <cellStyle name="40% - Accent2 5 2 5" xfId="11250"/>
    <cellStyle name="40% - Accent2 5 2 5 2" xfId="11251"/>
    <cellStyle name="40% - Accent2 5 2 5 2 2" xfId="11252"/>
    <cellStyle name="40% - Accent2 5 2 5 3" xfId="11253"/>
    <cellStyle name="40% - Accent2 5 2 5 3 2" xfId="11254"/>
    <cellStyle name="40% - Accent2 5 2 5 4" xfId="11255"/>
    <cellStyle name="40% - Accent2 5 2 6" xfId="11256"/>
    <cellStyle name="40% - Accent2 5 2 6 2" xfId="11257"/>
    <cellStyle name="40% - Accent2 5 2 6 2 2" xfId="11258"/>
    <cellStyle name="40% - Accent2 5 2 6 3" xfId="11259"/>
    <cellStyle name="40% - Accent2 5 2 6 3 2" xfId="11260"/>
    <cellStyle name="40% - Accent2 5 2 6 4" xfId="11261"/>
    <cellStyle name="40% - Accent2 5 2 7" xfId="11262"/>
    <cellStyle name="40% - Accent2 5 2 7 2" xfId="11263"/>
    <cellStyle name="40% - Accent2 5 2 7 2 2" xfId="11264"/>
    <cellStyle name="40% - Accent2 5 2 7 3" xfId="11265"/>
    <cellStyle name="40% - Accent2 5 2 7 3 2" xfId="11266"/>
    <cellStyle name="40% - Accent2 5 2 7 4" xfId="11267"/>
    <cellStyle name="40% - Accent2 5 2 8" xfId="11268"/>
    <cellStyle name="40% - Accent2 5 2 8 2" xfId="11269"/>
    <cellStyle name="40% - Accent2 5 2 8 2 2" xfId="11270"/>
    <cellStyle name="40% - Accent2 5 2 8 3" xfId="11271"/>
    <cellStyle name="40% - Accent2 5 2 8 3 2" xfId="11272"/>
    <cellStyle name="40% - Accent2 5 2 8 4" xfId="11273"/>
    <cellStyle name="40% - Accent2 5 2 9" xfId="11274"/>
    <cellStyle name="40% - Accent2 5 2 9 2" xfId="11275"/>
    <cellStyle name="40% - Accent2 5 2 9 2 2" xfId="11276"/>
    <cellStyle name="40% - Accent2 5 2 9 3" xfId="11277"/>
    <cellStyle name="40% - Accent2 5 2 9 3 2" xfId="11278"/>
    <cellStyle name="40% - Accent2 5 2 9 4" xfId="11279"/>
    <cellStyle name="40% - Accent2 5 3" xfId="2236"/>
    <cellStyle name="40% - Accent2 5 3 2" xfId="11281"/>
    <cellStyle name="40% - Accent2 5 3 2 2" xfId="11282"/>
    <cellStyle name="40% - Accent2 5 3 3" xfId="11283"/>
    <cellStyle name="40% - Accent2 5 3 3 2" xfId="11284"/>
    <cellStyle name="40% - Accent2 5 3 4" xfId="11285"/>
    <cellStyle name="40% - Accent2 5 3 4 2" xfId="11286"/>
    <cellStyle name="40% - Accent2 5 3 5" xfId="11287"/>
    <cellStyle name="40% - Accent2 5 3 6" xfId="11280"/>
    <cellStyle name="40% - Accent2 5 4" xfId="2610"/>
    <cellStyle name="40% - Accent2 5 4 2" xfId="11289"/>
    <cellStyle name="40% - Accent2 5 4 2 2" xfId="11290"/>
    <cellStyle name="40% - Accent2 5 4 3" xfId="11291"/>
    <cellStyle name="40% - Accent2 5 4 3 2" xfId="11292"/>
    <cellStyle name="40% - Accent2 5 4 4" xfId="11293"/>
    <cellStyle name="40% - Accent2 5 4 4 2" xfId="11294"/>
    <cellStyle name="40% - Accent2 5 4 5" xfId="11295"/>
    <cellStyle name="40% - Accent2 5 4 6" xfId="11288"/>
    <cellStyle name="40% - Accent2 5 5" xfId="2982"/>
    <cellStyle name="40% - Accent2 5 5 2" xfId="11297"/>
    <cellStyle name="40% - Accent2 5 5 2 2" xfId="11298"/>
    <cellStyle name="40% - Accent2 5 5 3" xfId="11299"/>
    <cellStyle name="40% - Accent2 5 5 3 2" xfId="11300"/>
    <cellStyle name="40% - Accent2 5 5 4" xfId="11301"/>
    <cellStyle name="40% - Accent2 5 5 4 2" xfId="11302"/>
    <cellStyle name="40% - Accent2 5 5 5" xfId="11303"/>
    <cellStyle name="40% - Accent2 5 5 6" xfId="11296"/>
    <cellStyle name="40% - Accent2 5 6" xfId="3354"/>
    <cellStyle name="40% - Accent2 5 6 2" xfId="11305"/>
    <cellStyle name="40% - Accent2 5 6 2 2" xfId="11306"/>
    <cellStyle name="40% - Accent2 5 6 3" xfId="11307"/>
    <cellStyle name="40% - Accent2 5 6 3 2" xfId="11308"/>
    <cellStyle name="40% - Accent2 5 6 4" xfId="11309"/>
    <cellStyle name="40% - Accent2 5 6 4 2" xfId="11310"/>
    <cellStyle name="40% - Accent2 5 6 5" xfId="11311"/>
    <cellStyle name="40% - Accent2 5 6 6" xfId="11304"/>
    <cellStyle name="40% - Accent2 5 7" xfId="4516"/>
    <cellStyle name="40% - Accent2 5 7 2" xfId="11313"/>
    <cellStyle name="40% - Accent2 5 7 2 2" xfId="11314"/>
    <cellStyle name="40% - Accent2 5 7 3" xfId="11315"/>
    <cellStyle name="40% - Accent2 5 7 3 2" xfId="11316"/>
    <cellStyle name="40% - Accent2 5 7 4" xfId="11317"/>
    <cellStyle name="40% - Accent2 5 7 5" xfId="11312"/>
    <cellStyle name="40% - Accent2 5 8" xfId="11318"/>
    <cellStyle name="40% - Accent2 5 8 2" xfId="11319"/>
    <cellStyle name="40% - Accent2 5 8 2 2" xfId="11320"/>
    <cellStyle name="40% - Accent2 5 8 3" xfId="11321"/>
    <cellStyle name="40% - Accent2 5 8 3 2" xfId="11322"/>
    <cellStyle name="40% - Accent2 5 8 4" xfId="11323"/>
    <cellStyle name="40% - Accent2 5 9" xfId="11324"/>
    <cellStyle name="40% - Accent2 5 9 2" xfId="11325"/>
    <cellStyle name="40% - Accent2 5 9 2 2" xfId="11326"/>
    <cellStyle name="40% - Accent2 5 9 3" xfId="11327"/>
    <cellStyle name="40% - Accent2 5 9 3 2" xfId="11328"/>
    <cellStyle name="40% - Accent2 5 9 4" xfId="11329"/>
    <cellStyle name="40% - Accent2 6" xfId="388"/>
    <cellStyle name="40% - Accent2 6 10" xfId="5392"/>
    <cellStyle name="40% - Accent2 6 10 2" xfId="6277"/>
    <cellStyle name="40% - Accent2 6 10 2 2" xfId="11333"/>
    <cellStyle name="40% - Accent2 6 10 2 3" xfId="11332"/>
    <cellStyle name="40% - Accent2 6 10 2 4" xfId="26311"/>
    <cellStyle name="40% - Accent2 6 10 3" xfId="11334"/>
    <cellStyle name="40% - Accent2 6 10 3 2" xfId="11335"/>
    <cellStyle name="40% - Accent2 6 10 4" xfId="11336"/>
    <cellStyle name="40% - Accent2 6 10 5" xfId="11331"/>
    <cellStyle name="40% - Accent2 6 10 6" xfId="26310"/>
    <cellStyle name="40% - Accent2 6 11" xfId="5702"/>
    <cellStyle name="40% - Accent2 6 11 2" xfId="6278"/>
    <cellStyle name="40% - Accent2 6 11 2 2" xfId="11339"/>
    <cellStyle name="40% - Accent2 6 11 2 3" xfId="11338"/>
    <cellStyle name="40% - Accent2 6 11 2 4" xfId="26313"/>
    <cellStyle name="40% - Accent2 6 11 3" xfId="11340"/>
    <cellStyle name="40% - Accent2 6 11 3 2" xfId="11341"/>
    <cellStyle name="40% - Accent2 6 11 4" xfId="11342"/>
    <cellStyle name="40% - Accent2 6 11 5" xfId="11337"/>
    <cellStyle name="40% - Accent2 6 11 6" xfId="26312"/>
    <cellStyle name="40% - Accent2 6 12" xfId="4517"/>
    <cellStyle name="40% - Accent2 6 12 2" xfId="6279"/>
    <cellStyle name="40% - Accent2 6 12 2 2" xfId="11345"/>
    <cellStyle name="40% - Accent2 6 12 2 3" xfId="11344"/>
    <cellStyle name="40% - Accent2 6 12 2 4" xfId="26315"/>
    <cellStyle name="40% - Accent2 6 12 3" xfId="11346"/>
    <cellStyle name="40% - Accent2 6 12 3 2" xfId="11347"/>
    <cellStyle name="40% - Accent2 6 12 4" xfId="11348"/>
    <cellStyle name="40% - Accent2 6 12 5" xfId="11343"/>
    <cellStyle name="40% - Accent2 6 12 6" xfId="26314"/>
    <cellStyle name="40% - Accent2 6 13" xfId="6276"/>
    <cellStyle name="40% - Accent2 6 13 2" xfId="11350"/>
    <cellStyle name="40% - Accent2 6 13 3" xfId="11349"/>
    <cellStyle name="40% - Accent2 6 13 4" xfId="26316"/>
    <cellStyle name="40% - Accent2 6 14" xfId="11351"/>
    <cellStyle name="40% - Accent2 6 14 2" xfId="11352"/>
    <cellStyle name="40% - Accent2 6 15" xfId="11353"/>
    <cellStyle name="40% - Accent2 6 15 2" xfId="11354"/>
    <cellStyle name="40% - Accent2 6 16" xfId="11355"/>
    <cellStyle name="40% - Accent2 6 16 2" xfId="11356"/>
    <cellStyle name="40% - Accent2 6 16 2 2" xfId="11357"/>
    <cellStyle name="40% - Accent2 6 16 3" xfId="11358"/>
    <cellStyle name="40% - Accent2 6 16 3 2" xfId="11359"/>
    <cellStyle name="40% - Accent2 6 16 4" xfId="11360"/>
    <cellStyle name="40% - Accent2 6 17" xfId="11361"/>
    <cellStyle name="40% - Accent2 6 17 2" xfId="11362"/>
    <cellStyle name="40% - Accent2 6 18" xfId="11363"/>
    <cellStyle name="40% - Accent2 6 18 2" xfId="11364"/>
    <cellStyle name="40% - Accent2 6 19" xfId="11365"/>
    <cellStyle name="40% - Accent2 6 2" xfId="1976"/>
    <cellStyle name="40% - Accent2 6 2 2" xfId="4518"/>
    <cellStyle name="40% - Accent2 6 2 2 2" xfId="11368"/>
    <cellStyle name="40% - Accent2 6 2 2 3" xfId="11367"/>
    <cellStyle name="40% - Accent2 6 2 3" xfId="11369"/>
    <cellStyle name="40% - Accent2 6 2 3 2" xfId="11370"/>
    <cellStyle name="40% - Accent2 6 2 4" xfId="11371"/>
    <cellStyle name="40% - Accent2 6 2 4 2" xfId="11372"/>
    <cellStyle name="40% - Accent2 6 2 5" xfId="11373"/>
    <cellStyle name="40% - Accent2 6 2 5 2" xfId="11374"/>
    <cellStyle name="40% - Accent2 6 2 6" xfId="11375"/>
    <cellStyle name="40% - Accent2 6 2 7" xfId="11366"/>
    <cellStyle name="40% - Accent2 6 20" xfId="11330"/>
    <cellStyle name="40% - Accent2 6 21" xfId="24838"/>
    <cellStyle name="40% - Accent2 6 22" xfId="26309"/>
    <cellStyle name="40% - Accent2 6 3" xfId="2351"/>
    <cellStyle name="40% - Accent2 6 3 2" xfId="4519"/>
    <cellStyle name="40% - Accent2 6 3 2 2" xfId="11378"/>
    <cellStyle name="40% - Accent2 6 3 2 3" xfId="11377"/>
    <cellStyle name="40% - Accent2 6 3 3" xfId="11379"/>
    <cellStyle name="40% - Accent2 6 3 3 2" xfId="11380"/>
    <cellStyle name="40% - Accent2 6 3 4" xfId="11381"/>
    <cellStyle name="40% - Accent2 6 3 4 2" xfId="11382"/>
    <cellStyle name="40% - Accent2 6 3 5" xfId="11383"/>
    <cellStyle name="40% - Accent2 6 3 5 2" xfId="11384"/>
    <cellStyle name="40% - Accent2 6 3 6" xfId="11385"/>
    <cellStyle name="40% - Accent2 6 3 7" xfId="11376"/>
    <cellStyle name="40% - Accent2 6 4" xfId="2724"/>
    <cellStyle name="40% - Accent2 6 4 2" xfId="4520"/>
    <cellStyle name="40% - Accent2 6 4 2 2" xfId="11388"/>
    <cellStyle name="40% - Accent2 6 4 2 3" xfId="11387"/>
    <cellStyle name="40% - Accent2 6 4 3" xfId="11389"/>
    <cellStyle name="40% - Accent2 6 4 3 2" xfId="11390"/>
    <cellStyle name="40% - Accent2 6 4 4" xfId="11391"/>
    <cellStyle name="40% - Accent2 6 4 4 2" xfId="11392"/>
    <cellStyle name="40% - Accent2 6 4 5" xfId="11393"/>
    <cellStyle name="40% - Accent2 6 4 5 2" xfId="11394"/>
    <cellStyle name="40% - Accent2 6 4 6" xfId="11395"/>
    <cellStyle name="40% - Accent2 6 4 7" xfId="11386"/>
    <cellStyle name="40% - Accent2 6 5" xfId="3097"/>
    <cellStyle name="40% - Accent2 6 5 2" xfId="4521"/>
    <cellStyle name="40% - Accent2 6 5 2 2" xfId="11398"/>
    <cellStyle name="40% - Accent2 6 5 2 3" xfId="11397"/>
    <cellStyle name="40% - Accent2 6 5 3" xfId="11399"/>
    <cellStyle name="40% - Accent2 6 5 3 2" xfId="11400"/>
    <cellStyle name="40% - Accent2 6 5 4" xfId="11401"/>
    <cellStyle name="40% - Accent2 6 5 4 2" xfId="11402"/>
    <cellStyle name="40% - Accent2 6 5 5" xfId="11403"/>
    <cellStyle name="40% - Accent2 6 5 5 2" xfId="11404"/>
    <cellStyle name="40% - Accent2 6 5 6" xfId="11405"/>
    <cellStyle name="40% - Accent2 6 5 7" xfId="11396"/>
    <cellStyle name="40% - Accent2 6 6" xfId="3468"/>
    <cellStyle name="40% - Accent2 6 6 2" xfId="4522"/>
    <cellStyle name="40% - Accent2 6 6 2 2" xfId="11408"/>
    <cellStyle name="40% - Accent2 6 6 2 3" xfId="11407"/>
    <cellStyle name="40% - Accent2 6 6 3" xfId="11409"/>
    <cellStyle name="40% - Accent2 6 6 3 2" xfId="11410"/>
    <cellStyle name="40% - Accent2 6 6 4" xfId="11411"/>
    <cellStyle name="40% - Accent2 6 6 4 2" xfId="11412"/>
    <cellStyle name="40% - Accent2 6 6 5" xfId="11413"/>
    <cellStyle name="40% - Accent2 6 6 5 2" xfId="11414"/>
    <cellStyle name="40% - Accent2 6 6 6" xfId="11415"/>
    <cellStyle name="40% - Accent2 6 6 7" xfId="11406"/>
    <cellStyle name="40% - Accent2 6 7" xfId="3774"/>
    <cellStyle name="40% - Accent2 6 7 2" xfId="4523"/>
    <cellStyle name="40% - Accent2 6 7 2 2" xfId="11418"/>
    <cellStyle name="40% - Accent2 6 7 2 3" xfId="11417"/>
    <cellStyle name="40% - Accent2 6 7 3" xfId="11419"/>
    <cellStyle name="40% - Accent2 6 7 3 2" xfId="11420"/>
    <cellStyle name="40% - Accent2 6 7 4" xfId="11421"/>
    <cellStyle name="40% - Accent2 6 7 4 2" xfId="11422"/>
    <cellStyle name="40% - Accent2 6 7 5" xfId="11423"/>
    <cellStyle name="40% - Accent2 6 7 5 2" xfId="11424"/>
    <cellStyle name="40% - Accent2 6 7 6" xfId="11425"/>
    <cellStyle name="40% - Accent2 6 7 7" xfId="11416"/>
    <cellStyle name="40% - Accent2 6 8" xfId="1363"/>
    <cellStyle name="40% - Accent2 6 8 10" xfId="24895"/>
    <cellStyle name="40% - Accent2 6 8 11" xfId="26317"/>
    <cellStyle name="40% - Accent2 6 8 2" xfId="4163"/>
    <cellStyle name="40% - Accent2 6 8 2 2" xfId="5394"/>
    <cellStyle name="40% - Accent2 6 8 2 2 2" xfId="6282"/>
    <cellStyle name="40% - Accent2 6 8 2 2 2 2" xfId="11429"/>
    <cellStyle name="40% - Accent2 6 8 2 2 2 3" xfId="26320"/>
    <cellStyle name="40% - Accent2 6 8 2 2 3" xfId="11428"/>
    <cellStyle name="40% - Accent2 6 8 2 2 4" xfId="26319"/>
    <cellStyle name="40% - Accent2 6 8 2 3" xfId="5704"/>
    <cellStyle name="40% - Accent2 6 8 2 3 2" xfId="6283"/>
    <cellStyle name="40% - Accent2 6 8 2 3 2 2" xfId="26322"/>
    <cellStyle name="40% - Accent2 6 8 2 3 3" xfId="11430"/>
    <cellStyle name="40% - Accent2 6 8 2 3 4" xfId="26321"/>
    <cellStyle name="40% - Accent2 6 8 2 4" xfId="4525"/>
    <cellStyle name="40% - Accent2 6 8 2 4 2" xfId="6284"/>
    <cellStyle name="40% - Accent2 6 8 2 4 2 2" xfId="26324"/>
    <cellStyle name="40% - Accent2 6 8 2 4 3" xfId="26323"/>
    <cellStyle name="40% - Accent2 6 8 2 5" xfId="6281"/>
    <cellStyle name="40% - Accent2 6 8 2 5 2" xfId="26325"/>
    <cellStyle name="40% - Accent2 6 8 2 6" xfId="11427"/>
    <cellStyle name="40% - Accent2 6 8 2 7" xfId="25015"/>
    <cellStyle name="40% - Accent2 6 8 2 8" xfId="26318"/>
    <cellStyle name="40% - Accent2 6 8 3" xfId="5393"/>
    <cellStyle name="40% - Accent2 6 8 3 2" xfId="6285"/>
    <cellStyle name="40% - Accent2 6 8 3 2 2" xfId="11432"/>
    <cellStyle name="40% - Accent2 6 8 3 2 3" xfId="26327"/>
    <cellStyle name="40% - Accent2 6 8 3 3" xfId="11431"/>
    <cellStyle name="40% - Accent2 6 8 3 4" xfId="26326"/>
    <cellStyle name="40% - Accent2 6 8 4" xfId="5703"/>
    <cellStyle name="40% - Accent2 6 8 4 2" xfId="6286"/>
    <cellStyle name="40% - Accent2 6 8 4 2 2" xfId="11434"/>
    <cellStyle name="40% - Accent2 6 8 4 2 3" xfId="26329"/>
    <cellStyle name="40% - Accent2 6 8 4 3" xfId="11433"/>
    <cellStyle name="40% - Accent2 6 8 4 4" xfId="26328"/>
    <cellStyle name="40% - Accent2 6 8 5" xfId="4524"/>
    <cellStyle name="40% - Accent2 6 8 5 2" xfId="6287"/>
    <cellStyle name="40% - Accent2 6 8 5 2 2" xfId="11437"/>
    <cellStyle name="40% - Accent2 6 8 5 2 3" xfId="11436"/>
    <cellStyle name="40% - Accent2 6 8 5 2 4" xfId="26331"/>
    <cellStyle name="40% - Accent2 6 8 5 3" xfId="11438"/>
    <cellStyle name="40% - Accent2 6 8 5 3 2" xfId="11439"/>
    <cellStyle name="40% - Accent2 6 8 5 4" xfId="11440"/>
    <cellStyle name="40% - Accent2 6 8 5 5" xfId="11435"/>
    <cellStyle name="40% - Accent2 6 8 5 6" xfId="26330"/>
    <cellStyle name="40% - Accent2 6 8 6" xfId="6280"/>
    <cellStyle name="40% - Accent2 6 8 6 2" xfId="11442"/>
    <cellStyle name="40% - Accent2 6 8 6 3" xfId="11441"/>
    <cellStyle name="40% - Accent2 6 8 6 4" xfId="26332"/>
    <cellStyle name="40% - Accent2 6 8 7" xfId="11443"/>
    <cellStyle name="40% - Accent2 6 8 7 2" xfId="11444"/>
    <cellStyle name="40% - Accent2 6 8 8" xfId="11445"/>
    <cellStyle name="40% - Accent2 6 8 9" xfId="11426"/>
    <cellStyle name="40% - Accent2 6 9" xfId="3824"/>
    <cellStyle name="40% - Accent2 6 9 2" xfId="5395"/>
    <cellStyle name="40% - Accent2 6 9 2 2" xfId="6289"/>
    <cellStyle name="40% - Accent2 6 9 2 2 2" xfId="11448"/>
    <cellStyle name="40% - Accent2 6 9 2 2 3" xfId="26335"/>
    <cellStyle name="40% - Accent2 6 9 2 3" xfId="11447"/>
    <cellStyle name="40% - Accent2 6 9 2 4" xfId="26334"/>
    <cellStyle name="40% - Accent2 6 9 3" xfId="5705"/>
    <cellStyle name="40% - Accent2 6 9 3 2" xfId="6290"/>
    <cellStyle name="40% - Accent2 6 9 3 2 2" xfId="11450"/>
    <cellStyle name="40% - Accent2 6 9 3 2 3" xfId="26337"/>
    <cellStyle name="40% - Accent2 6 9 3 3" xfId="11449"/>
    <cellStyle name="40% - Accent2 6 9 3 4" xfId="26336"/>
    <cellStyle name="40% - Accent2 6 9 4" xfId="4526"/>
    <cellStyle name="40% - Accent2 6 9 4 2" xfId="6291"/>
    <cellStyle name="40% - Accent2 6 9 4 2 2" xfId="11452"/>
    <cellStyle name="40% - Accent2 6 9 4 2 3" xfId="26339"/>
    <cellStyle name="40% - Accent2 6 9 4 3" xfId="11451"/>
    <cellStyle name="40% - Accent2 6 9 4 4" xfId="26338"/>
    <cellStyle name="40% - Accent2 6 9 5" xfId="6288"/>
    <cellStyle name="40% - Accent2 6 9 5 2" xfId="11453"/>
    <cellStyle name="40% - Accent2 6 9 5 3" xfId="26340"/>
    <cellStyle name="40% - Accent2 6 9 6" xfId="11446"/>
    <cellStyle name="40% - Accent2 6 9 7" xfId="24960"/>
    <cellStyle name="40% - Accent2 6 9 8" xfId="26333"/>
    <cellStyle name="40% - Accent2 7" xfId="389"/>
    <cellStyle name="40% - Accent2 7 10" xfId="11455"/>
    <cellStyle name="40% - Accent2 7 10 2" xfId="11456"/>
    <cellStyle name="40% - Accent2 7 10 2 2" xfId="11457"/>
    <cellStyle name="40% - Accent2 7 10 3" xfId="11458"/>
    <cellStyle name="40% - Accent2 7 10 3 2" xfId="11459"/>
    <cellStyle name="40% - Accent2 7 10 4" xfId="11460"/>
    <cellStyle name="40% - Accent2 7 11" xfId="11461"/>
    <cellStyle name="40% - Accent2 7 11 2" xfId="11462"/>
    <cellStyle name="40% - Accent2 7 11 2 2" xfId="11463"/>
    <cellStyle name="40% - Accent2 7 11 3" xfId="11464"/>
    <cellStyle name="40% - Accent2 7 11 3 2" xfId="11465"/>
    <cellStyle name="40% - Accent2 7 11 4" xfId="11466"/>
    <cellStyle name="40% - Accent2 7 12" xfId="11467"/>
    <cellStyle name="40% - Accent2 7 12 2" xfId="11468"/>
    <cellStyle name="40% - Accent2 7 12 2 2" xfId="11469"/>
    <cellStyle name="40% - Accent2 7 12 3" xfId="11470"/>
    <cellStyle name="40% - Accent2 7 12 3 2" xfId="11471"/>
    <cellStyle name="40% - Accent2 7 12 4" xfId="11472"/>
    <cellStyle name="40% - Accent2 7 13" xfId="11473"/>
    <cellStyle name="40% - Accent2 7 13 2" xfId="11474"/>
    <cellStyle name="40% - Accent2 7 14" xfId="11475"/>
    <cellStyle name="40% - Accent2 7 14 2" xfId="11476"/>
    <cellStyle name="40% - Accent2 7 15" xfId="11477"/>
    <cellStyle name="40% - Accent2 7 15 2" xfId="11478"/>
    <cellStyle name="40% - Accent2 7 16" xfId="11479"/>
    <cellStyle name="40% - Accent2 7 16 2" xfId="11480"/>
    <cellStyle name="40% - Accent2 7 17" xfId="11481"/>
    <cellStyle name="40% - Accent2 7 18" xfId="11454"/>
    <cellStyle name="40% - Accent2 7 2" xfId="4527"/>
    <cellStyle name="40% - Accent2 7 2 2" xfId="11483"/>
    <cellStyle name="40% - Accent2 7 2 2 2" xfId="11484"/>
    <cellStyle name="40% - Accent2 7 2 3" xfId="11485"/>
    <cellStyle name="40% - Accent2 7 2 3 2" xfId="11486"/>
    <cellStyle name="40% - Accent2 7 2 4" xfId="11487"/>
    <cellStyle name="40% - Accent2 7 2 5" xfId="11482"/>
    <cellStyle name="40% - Accent2 7 3" xfId="11488"/>
    <cellStyle name="40% - Accent2 7 3 2" xfId="11489"/>
    <cellStyle name="40% - Accent2 7 3 2 2" xfId="11490"/>
    <cellStyle name="40% - Accent2 7 3 3" xfId="11491"/>
    <cellStyle name="40% - Accent2 7 3 3 2" xfId="11492"/>
    <cellStyle name="40% - Accent2 7 3 4" xfId="11493"/>
    <cellStyle name="40% - Accent2 7 4" xfId="11494"/>
    <cellStyle name="40% - Accent2 7 4 2" xfId="11495"/>
    <cellStyle name="40% - Accent2 7 4 2 2" xfId="11496"/>
    <cellStyle name="40% - Accent2 7 4 3" xfId="11497"/>
    <cellStyle name="40% - Accent2 7 4 3 2" xfId="11498"/>
    <cellStyle name="40% - Accent2 7 4 4" xfId="11499"/>
    <cellStyle name="40% - Accent2 7 5" xfId="11500"/>
    <cellStyle name="40% - Accent2 7 5 2" xfId="11501"/>
    <cellStyle name="40% - Accent2 7 5 2 2" xfId="11502"/>
    <cellStyle name="40% - Accent2 7 5 3" xfId="11503"/>
    <cellStyle name="40% - Accent2 7 5 3 2" xfId="11504"/>
    <cellStyle name="40% - Accent2 7 5 4" xfId="11505"/>
    <cellStyle name="40% - Accent2 7 6" xfId="11506"/>
    <cellStyle name="40% - Accent2 7 6 2" xfId="11507"/>
    <cellStyle name="40% - Accent2 7 6 2 2" xfId="11508"/>
    <cellStyle name="40% - Accent2 7 6 3" xfId="11509"/>
    <cellStyle name="40% - Accent2 7 6 3 2" xfId="11510"/>
    <cellStyle name="40% - Accent2 7 6 4" xfId="11511"/>
    <cellStyle name="40% - Accent2 7 7" xfId="11512"/>
    <cellStyle name="40% - Accent2 7 7 2" xfId="11513"/>
    <cellStyle name="40% - Accent2 7 7 2 2" xfId="11514"/>
    <cellStyle name="40% - Accent2 7 7 3" xfId="11515"/>
    <cellStyle name="40% - Accent2 7 7 3 2" xfId="11516"/>
    <cellStyle name="40% - Accent2 7 7 4" xfId="11517"/>
    <cellStyle name="40% - Accent2 7 8" xfId="11518"/>
    <cellStyle name="40% - Accent2 7 8 2" xfId="11519"/>
    <cellStyle name="40% - Accent2 7 8 2 2" xfId="11520"/>
    <cellStyle name="40% - Accent2 7 8 3" xfId="11521"/>
    <cellStyle name="40% - Accent2 7 8 3 2" xfId="11522"/>
    <cellStyle name="40% - Accent2 7 8 4" xfId="11523"/>
    <cellStyle name="40% - Accent2 7 9" xfId="11524"/>
    <cellStyle name="40% - Accent2 7 9 2" xfId="11525"/>
    <cellStyle name="40% - Accent2 7 9 2 2" xfId="11526"/>
    <cellStyle name="40% - Accent2 7 9 3" xfId="11527"/>
    <cellStyle name="40% - Accent2 7 9 3 2" xfId="11528"/>
    <cellStyle name="40% - Accent2 7 9 4" xfId="11529"/>
    <cellStyle name="40% - Accent2 8" xfId="541"/>
    <cellStyle name="40% - Accent2 8 10" xfId="11530"/>
    <cellStyle name="40% - Accent2 8 11" xfId="24852"/>
    <cellStyle name="40% - Accent2 8 12" xfId="26341"/>
    <cellStyle name="40% - Accent2 8 2" xfId="1375"/>
    <cellStyle name="40% - Accent2 8 2 10" xfId="24907"/>
    <cellStyle name="40% - Accent2 8 2 11" xfId="26342"/>
    <cellStyle name="40% - Accent2 8 2 2" xfId="4175"/>
    <cellStyle name="40% - Accent2 8 2 2 2" xfId="5398"/>
    <cellStyle name="40% - Accent2 8 2 2 2 2" xfId="6295"/>
    <cellStyle name="40% - Accent2 8 2 2 2 2 2" xfId="11534"/>
    <cellStyle name="40% - Accent2 8 2 2 2 2 3" xfId="26345"/>
    <cellStyle name="40% - Accent2 8 2 2 2 3" xfId="11533"/>
    <cellStyle name="40% - Accent2 8 2 2 2 4" xfId="26344"/>
    <cellStyle name="40% - Accent2 8 2 2 3" xfId="5708"/>
    <cellStyle name="40% - Accent2 8 2 2 3 2" xfId="6296"/>
    <cellStyle name="40% - Accent2 8 2 2 3 2 2" xfId="26347"/>
    <cellStyle name="40% - Accent2 8 2 2 3 3" xfId="11535"/>
    <cellStyle name="40% - Accent2 8 2 2 3 4" xfId="26346"/>
    <cellStyle name="40% - Accent2 8 2 2 4" xfId="4530"/>
    <cellStyle name="40% - Accent2 8 2 2 4 2" xfId="6297"/>
    <cellStyle name="40% - Accent2 8 2 2 4 2 2" xfId="26349"/>
    <cellStyle name="40% - Accent2 8 2 2 4 3" xfId="26348"/>
    <cellStyle name="40% - Accent2 8 2 2 5" xfId="6294"/>
    <cellStyle name="40% - Accent2 8 2 2 5 2" xfId="26350"/>
    <cellStyle name="40% - Accent2 8 2 2 6" xfId="11532"/>
    <cellStyle name="40% - Accent2 8 2 2 7" xfId="25027"/>
    <cellStyle name="40% - Accent2 8 2 2 8" xfId="26343"/>
    <cellStyle name="40% - Accent2 8 2 3" xfId="5397"/>
    <cellStyle name="40% - Accent2 8 2 3 2" xfId="6298"/>
    <cellStyle name="40% - Accent2 8 2 3 2 2" xfId="11537"/>
    <cellStyle name="40% - Accent2 8 2 3 2 3" xfId="26352"/>
    <cellStyle name="40% - Accent2 8 2 3 3" xfId="11536"/>
    <cellStyle name="40% - Accent2 8 2 3 4" xfId="26351"/>
    <cellStyle name="40% - Accent2 8 2 4" xfId="5707"/>
    <cellStyle name="40% - Accent2 8 2 4 2" xfId="6299"/>
    <cellStyle name="40% - Accent2 8 2 4 2 2" xfId="11539"/>
    <cellStyle name="40% - Accent2 8 2 4 2 3" xfId="26354"/>
    <cellStyle name="40% - Accent2 8 2 4 3" xfId="11538"/>
    <cellStyle name="40% - Accent2 8 2 4 4" xfId="26353"/>
    <cellStyle name="40% - Accent2 8 2 5" xfId="4529"/>
    <cellStyle name="40% - Accent2 8 2 5 2" xfId="6300"/>
    <cellStyle name="40% - Accent2 8 2 5 2 2" xfId="11542"/>
    <cellStyle name="40% - Accent2 8 2 5 2 3" xfId="11541"/>
    <cellStyle name="40% - Accent2 8 2 5 2 4" xfId="26356"/>
    <cellStyle name="40% - Accent2 8 2 5 3" xfId="11543"/>
    <cellStyle name="40% - Accent2 8 2 5 3 2" xfId="11544"/>
    <cellStyle name="40% - Accent2 8 2 5 4" xfId="11545"/>
    <cellStyle name="40% - Accent2 8 2 5 5" xfId="11540"/>
    <cellStyle name="40% - Accent2 8 2 5 6" xfId="26355"/>
    <cellStyle name="40% - Accent2 8 2 6" xfId="6293"/>
    <cellStyle name="40% - Accent2 8 2 6 2" xfId="11547"/>
    <cellStyle name="40% - Accent2 8 2 6 3" xfId="11546"/>
    <cellStyle name="40% - Accent2 8 2 6 4" xfId="26357"/>
    <cellStyle name="40% - Accent2 8 2 7" xfId="11548"/>
    <cellStyle name="40% - Accent2 8 2 7 2" xfId="11549"/>
    <cellStyle name="40% - Accent2 8 2 8" xfId="11550"/>
    <cellStyle name="40% - Accent2 8 2 9" xfId="11531"/>
    <cellStyle name="40% - Accent2 8 3" xfId="3838"/>
    <cellStyle name="40% - Accent2 8 3 2" xfId="5399"/>
    <cellStyle name="40% - Accent2 8 3 2 2" xfId="6302"/>
    <cellStyle name="40% - Accent2 8 3 2 2 2" xfId="11553"/>
    <cellStyle name="40% - Accent2 8 3 2 2 3" xfId="26360"/>
    <cellStyle name="40% - Accent2 8 3 2 3" xfId="11552"/>
    <cellStyle name="40% - Accent2 8 3 2 4" xfId="26359"/>
    <cellStyle name="40% - Accent2 8 3 3" xfId="5709"/>
    <cellStyle name="40% - Accent2 8 3 3 2" xfId="6303"/>
    <cellStyle name="40% - Accent2 8 3 3 2 2" xfId="26362"/>
    <cellStyle name="40% - Accent2 8 3 3 3" xfId="11554"/>
    <cellStyle name="40% - Accent2 8 3 3 4" xfId="26361"/>
    <cellStyle name="40% - Accent2 8 3 4" xfId="4531"/>
    <cellStyle name="40% - Accent2 8 3 4 2" xfId="6304"/>
    <cellStyle name="40% - Accent2 8 3 4 2 2" xfId="26364"/>
    <cellStyle name="40% - Accent2 8 3 4 3" xfId="26363"/>
    <cellStyle name="40% - Accent2 8 3 5" xfId="6301"/>
    <cellStyle name="40% - Accent2 8 3 5 2" xfId="26365"/>
    <cellStyle name="40% - Accent2 8 3 6" xfId="11551"/>
    <cellStyle name="40% - Accent2 8 3 7" xfId="24974"/>
    <cellStyle name="40% - Accent2 8 3 8" xfId="26358"/>
    <cellStyle name="40% - Accent2 8 4" xfId="5396"/>
    <cellStyle name="40% - Accent2 8 4 2" xfId="6305"/>
    <cellStyle name="40% - Accent2 8 4 2 2" xfId="11556"/>
    <cellStyle name="40% - Accent2 8 4 2 3" xfId="26367"/>
    <cellStyle name="40% - Accent2 8 4 3" xfId="11555"/>
    <cellStyle name="40% - Accent2 8 4 4" xfId="26366"/>
    <cellStyle name="40% - Accent2 8 5" xfId="5706"/>
    <cellStyle name="40% - Accent2 8 5 2" xfId="6306"/>
    <cellStyle name="40% - Accent2 8 5 2 2" xfId="11558"/>
    <cellStyle name="40% - Accent2 8 5 2 3" xfId="26369"/>
    <cellStyle name="40% - Accent2 8 5 3" xfId="11557"/>
    <cellStyle name="40% - Accent2 8 5 4" xfId="26368"/>
    <cellStyle name="40% - Accent2 8 6" xfId="4528"/>
    <cellStyle name="40% - Accent2 8 6 2" xfId="6307"/>
    <cellStyle name="40% - Accent2 8 6 2 2" xfId="11561"/>
    <cellStyle name="40% - Accent2 8 6 2 3" xfId="11560"/>
    <cellStyle name="40% - Accent2 8 6 2 4" xfId="26371"/>
    <cellStyle name="40% - Accent2 8 6 3" xfId="11562"/>
    <cellStyle name="40% - Accent2 8 6 3 2" xfId="11563"/>
    <cellStyle name="40% - Accent2 8 6 4" xfId="11564"/>
    <cellStyle name="40% - Accent2 8 6 5" xfId="11559"/>
    <cellStyle name="40% - Accent2 8 6 6" xfId="26370"/>
    <cellStyle name="40% - Accent2 8 7" xfId="6292"/>
    <cellStyle name="40% - Accent2 8 7 2" xfId="11566"/>
    <cellStyle name="40% - Accent2 8 7 3" xfId="11565"/>
    <cellStyle name="40% - Accent2 8 7 4" xfId="26372"/>
    <cellStyle name="40% - Accent2 8 8" xfId="11567"/>
    <cellStyle name="40% - Accent2 8 8 2" xfId="11568"/>
    <cellStyle name="40% - Accent2 8 9" xfId="11569"/>
    <cellStyle name="40% - Accent2 9" xfId="542"/>
    <cellStyle name="40% - Accent2 9 2" xfId="4532"/>
    <cellStyle name="40% - Accent2 9 2 2" xfId="11572"/>
    <cellStyle name="40% - Accent2 9 2 2 2" xfId="11573"/>
    <cellStyle name="40% - Accent2 9 2 3" xfId="11574"/>
    <cellStyle name="40% - Accent2 9 2 3 2" xfId="11575"/>
    <cellStyle name="40% - Accent2 9 2 4" xfId="11576"/>
    <cellStyle name="40% - Accent2 9 2 5" xfId="11571"/>
    <cellStyle name="40% - Accent2 9 3" xfId="11577"/>
    <cellStyle name="40% - Accent2 9 3 2" xfId="11578"/>
    <cellStyle name="40% - Accent2 9 4" xfId="11579"/>
    <cellStyle name="40% - Accent2 9 4 2" xfId="11580"/>
    <cellStyle name="40% - Accent2 9 5" xfId="11581"/>
    <cellStyle name="40% - Accent2 9 5 2" xfId="11582"/>
    <cellStyle name="40% - Accent2 9 6" xfId="11583"/>
    <cellStyle name="40% - Accent2 9 6 2" xfId="11584"/>
    <cellStyle name="40% - Accent2 9 7" xfId="11585"/>
    <cellStyle name="40% - Accent2 9 8" xfId="11570"/>
    <cellStyle name="40% - Accent3 10" xfId="672"/>
    <cellStyle name="40% - Accent3 10 2" xfId="4533"/>
    <cellStyle name="40% - Accent3 10 2 2" xfId="11589"/>
    <cellStyle name="40% - Accent3 10 2 3" xfId="11588"/>
    <cellStyle name="40% - Accent3 10 3" xfId="11590"/>
    <cellStyle name="40% - Accent3 10 3 2" xfId="11591"/>
    <cellStyle name="40% - Accent3 10 4" xfId="11592"/>
    <cellStyle name="40% - Accent3 10 4 2" xfId="11593"/>
    <cellStyle name="40% - Accent3 10 5" xfId="11594"/>
    <cellStyle name="40% - Accent3 10 5 2" xfId="11595"/>
    <cellStyle name="40% - Accent3 10 6" xfId="11596"/>
    <cellStyle name="40% - Accent3 10 7" xfId="11587"/>
    <cellStyle name="40% - Accent3 11" xfId="673"/>
    <cellStyle name="40% - Accent3 11 2" xfId="4534"/>
    <cellStyle name="40% - Accent3 11 2 2" xfId="11599"/>
    <cellStyle name="40% - Accent3 11 2 3" xfId="11598"/>
    <cellStyle name="40% - Accent3 11 3" xfId="11600"/>
    <cellStyle name="40% - Accent3 11 3 2" xfId="11601"/>
    <cellStyle name="40% - Accent3 11 4" xfId="11602"/>
    <cellStyle name="40% - Accent3 11 4 2" xfId="11603"/>
    <cellStyle name="40% - Accent3 11 5" xfId="11604"/>
    <cellStyle name="40% - Accent3 11 5 2" xfId="11605"/>
    <cellStyle name="40% - Accent3 11 6" xfId="11606"/>
    <cellStyle name="40% - Accent3 11 7" xfId="11597"/>
    <cellStyle name="40% - Accent3 12" xfId="822"/>
    <cellStyle name="40% - Accent3 12 2" xfId="11608"/>
    <cellStyle name="40% - Accent3 12 2 2" xfId="11609"/>
    <cellStyle name="40% - Accent3 12 3" xfId="11610"/>
    <cellStyle name="40% - Accent3 12 3 2" xfId="11611"/>
    <cellStyle name="40% - Accent3 12 4" xfId="11612"/>
    <cellStyle name="40% - Accent3 12 5" xfId="11607"/>
    <cellStyle name="40% - Accent3 13" xfId="823"/>
    <cellStyle name="40% - Accent3 13 2" xfId="3853"/>
    <cellStyle name="40% - Accent3 13 2 2" xfId="6309"/>
    <cellStyle name="40% - Accent3 13 2 2 2" xfId="11615"/>
    <cellStyle name="40% - Accent3 13 2 2 3" xfId="26375"/>
    <cellStyle name="40% - Accent3 13 2 3" xfId="11614"/>
    <cellStyle name="40% - Accent3 13 2 4" xfId="24989"/>
    <cellStyle name="40% - Accent3 13 2 5" xfId="26374"/>
    <cellStyle name="40% - Accent3 13 3" xfId="6308"/>
    <cellStyle name="40% - Accent3 13 3 2" xfId="11617"/>
    <cellStyle name="40% - Accent3 13 3 3" xfId="11616"/>
    <cellStyle name="40% - Accent3 13 3 4" xfId="26376"/>
    <cellStyle name="40% - Accent3 13 4" xfId="11618"/>
    <cellStyle name="40% - Accent3 13 5" xfId="11613"/>
    <cellStyle name="40% - Accent3 13 6" xfId="24868"/>
    <cellStyle name="40% - Accent3 13 7" xfId="26373"/>
    <cellStyle name="40% - Accent3 14" xfId="937"/>
    <cellStyle name="40% - Accent3 14 2" xfId="11620"/>
    <cellStyle name="40% - Accent3 14 2 2" xfId="11621"/>
    <cellStyle name="40% - Accent3 14 3" xfId="11622"/>
    <cellStyle name="40% - Accent3 14 3 2" xfId="11623"/>
    <cellStyle name="40% - Accent3 14 4" xfId="11624"/>
    <cellStyle name="40% - Accent3 14 5" xfId="11619"/>
    <cellStyle name="40% - Accent3 15" xfId="11625"/>
    <cellStyle name="40% - Accent3 15 2" xfId="11626"/>
    <cellStyle name="40% - Accent3 15 2 2" xfId="11627"/>
    <cellStyle name="40% - Accent3 15 3" xfId="11628"/>
    <cellStyle name="40% - Accent3 15 3 2" xfId="11629"/>
    <cellStyle name="40% - Accent3 15 4" xfId="11630"/>
    <cellStyle name="40% - Accent3 16" xfId="11631"/>
    <cellStyle name="40% - Accent3 16 2" xfId="11632"/>
    <cellStyle name="40% - Accent3 16 2 2" xfId="11633"/>
    <cellStyle name="40% - Accent3 16 3" xfId="11634"/>
    <cellStyle name="40% - Accent3 16 3 2" xfId="11635"/>
    <cellStyle name="40% - Accent3 16 4" xfId="11636"/>
    <cellStyle name="40% - Accent3 17" xfId="11637"/>
    <cellStyle name="40% - Accent3 17 2" xfId="11638"/>
    <cellStyle name="40% - Accent3 17 2 2" xfId="11639"/>
    <cellStyle name="40% - Accent3 17 3" xfId="11640"/>
    <cellStyle name="40% - Accent3 17 3 2" xfId="11641"/>
    <cellStyle name="40% - Accent3 17 4" xfId="11642"/>
    <cellStyle name="40% - Accent3 18" xfId="11643"/>
    <cellStyle name="40% - Accent3 18 2" xfId="11644"/>
    <cellStyle name="40% - Accent3 18 2 2" xfId="11645"/>
    <cellStyle name="40% - Accent3 18 3" xfId="11646"/>
    <cellStyle name="40% - Accent3 18 3 2" xfId="11647"/>
    <cellStyle name="40% - Accent3 18 4" xfId="11648"/>
    <cellStyle name="40% - Accent3 19" xfId="11649"/>
    <cellStyle name="40% - Accent3 19 2" xfId="11650"/>
    <cellStyle name="40% - Accent3 19 2 2" xfId="11651"/>
    <cellStyle name="40% - Accent3 19 3" xfId="11652"/>
    <cellStyle name="40% - Accent3 2" xfId="76"/>
    <cellStyle name="40% - Accent3 2 10" xfId="1675"/>
    <cellStyle name="40% - Accent3 2 10 2" xfId="4535"/>
    <cellStyle name="40% - Accent3 2 10 2 2" xfId="11656"/>
    <cellStyle name="40% - Accent3 2 10 2 3" xfId="11655"/>
    <cellStyle name="40% - Accent3 2 10 3" xfId="11657"/>
    <cellStyle name="40% - Accent3 2 10 3 2" xfId="11658"/>
    <cellStyle name="40% - Accent3 2 10 4" xfId="11659"/>
    <cellStyle name="40% - Accent3 2 10 4 2" xfId="11660"/>
    <cellStyle name="40% - Accent3 2 10 5" xfId="11661"/>
    <cellStyle name="40% - Accent3 2 10 5 2" xfId="11662"/>
    <cellStyle name="40% - Accent3 2 10 6" xfId="11663"/>
    <cellStyle name="40% - Accent3 2 10 7" xfId="11654"/>
    <cellStyle name="40% - Accent3 2 11" xfId="2010"/>
    <cellStyle name="40% - Accent3 2 11 2" xfId="4536"/>
    <cellStyle name="40% - Accent3 2 11 2 2" xfId="11666"/>
    <cellStyle name="40% - Accent3 2 11 2 3" xfId="11665"/>
    <cellStyle name="40% - Accent3 2 11 3" xfId="11667"/>
    <cellStyle name="40% - Accent3 2 11 3 2" xfId="11668"/>
    <cellStyle name="40% - Accent3 2 11 4" xfId="11669"/>
    <cellStyle name="40% - Accent3 2 11 4 2" xfId="11670"/>
    <cellStyle name="40% - Accent3 2 11 5" xfId="11671"/>
    <cellStyle name="40% - Accent3 2 11 5 2" xfId="11672"/>
    <cellStyle name="40% - Accent3 2 11 6" xfId="11673"/>
    <cellStyle name="40% - Accent3 2 11 7" xfId="11664"/>
    <cellStyle name="40% - Accent3 2 12" xfId="1708"/>
    <cellStyle name="40% - Accent3 2 12 2" xfId="4537"/>
    <cellStyle name="40% - Accent3 2 12 2 2" xfId="11676"/>
    <cellStyle name="40% - Accent3 2 12 2 3" xfId="11675"/>
    <cellStyle name="40% - Accent3 2 12 3" xfId="11677"/>
    <cellStyle name="40% - Accent3 2 12 3 2" xfId="11678"/>
    <cellStyle name="40% - Accent3 2 12 4" xfId="11679"/>
    <cellStyle name="40% - Accent3 2 12 4 2" xfId="11680"/>
    <cellStyle name="40% - Accent3 2 12 5" xfId="11681"/>
    <cellStyle name="40% - Accent3 2 12 5 2" xfId="11682"/>
    <cellStyle name="40% - Accent3 2 12 6" xfId="11683"/>
    <cellStyle name="40% - Accent3 2 12 7" xfId="11674"/>
    <cellStyle name="40% - Accent3 2 13" xfId="2043"/>
    <cellStyle name="40% - Accent3 2 13 2" xfId="4538"/>
    <cellStyle name="40% - Accent3 2 13 2 2" xfId="11686"/>
    <cellStyle name="40% - Accent3 2 13 2 3" xfId="11685"/>
    <cellStyle name="40% - Accent3 2 13 3" xfId="11687"/>
    <cellStyle name="40% - Accent3 2 13 3 2" xfId="11688"/>
    <cellStyle name="40% - Accent3 2 13 4" xfId="11689"/>
    <cellStyle name="40% - Accent3 2 13 4 2" xfId="11690"/>
    <cellStyle name="40% - Accent3 2 13 5" xfId="11691"/>
    <cellStyle name="40% - Accent3 2 13 5 2" xfId="11692"/>
    <cellStyle name="40% - Accent3 2 13 6" xfId="11693"/>
    <cellStyle name="40% - Accent3 2 13 7" xfId="11684"/>
    <cellStyle name="40% - Accent3 2 14" xfId="3131"/>
    <cellStyle name="40% - Accent3 2 14 2" xfId="4539"/>
    <cellStyle name="40% - Accent3 2 14 2 2" xfId="11696"/>
    <cellStyle name="40% - Accent3 2 14 2 3" xfId="11695"/>
    <cellStyle name="40% - Accent3 2 14 3" xfId="11697"/>
    <cellStyle name="40% - Accent3 2 14 3 2" xfId="11698"/>
    <cellStyle name="40% - Accent3 2 14 4" xfId="11699"/>
    <cellStyle name="40% - Accent3 2 14 4 2" xfId="11700"/>
    <cellStyle name="40% - Accent3 2 14 5" xfId="11701"/>
    <cellStyle name="40% - Accent3 2 14 5 2" xfId="11702"/>
    <cellStyle name="40% - Accent3 2 14 6" xfId="11703"/>
    <cellStyle name="40% - Accent3 2 14 7" xfId="11694"/>
    <cellStyle name="40% - Accent3 2 15" xfId="3502"/>
    <cellStyle name="40% - Accent3 2 15 2" xfId="4540"/>
    <cellStyle name="40% - Accent3 2 15 2 2" xfId="11706"/>
    <cellStyle name="40% - Accent3 2 15 2 3" xfId="11705"/>
    <cellStyle name="40% - Accent3 2 15 3" xfId="11707"/>
    <cellStyle name="40% - Accent3 2 15 3 2" xfId="11708"/>
    <cellStyle name="40% - Accent3 2 15 4" xfId="11709"/>
    <cellStyle name="40% - Accent3 2 15 5" xfId="11704"/>
    <cellStyle name="40% - Accent3 2 16" xfId="3640"/>
    <cellStyle name="40% - Accent3 2 16 2" xfId="4541"/>
    <cellStyle name="40% - Accent3 2 16 2 2" xfId="11712"/>
    <cellStyle name="40% - Accent3 2 16 2 3" xfId="11711"/>
    <cellStyle name="40% - Accent3 2 16 3" xfId="11713"/>
    <cellStyle name="40% - Accent3 2 16 3 2" xfId="11714"/>
    <cellStyle name="40% - Accent3 2 16 4" xfId="11715"/>
    <cellStyle name="40% - Accent3 2 16 5" xfId="11710"/>
    <cellStyle name="40% - Accent3 2 17" xfId="11716"/>
    <cellStyle name="40% - Accent3 2 18" xfId="11653"/>
    <cellStyle name="40% - Accent3 2 19" xfId="24475"/>
    <cellStyle name="40% - Accent3 2 2" xfId="120"/>
    <cellStyle name="40% - Accent3 2 2 10" xfId="11718"/>
    <cellStyle name="40% - Accent3 2 2 10 2" xfId="11719"/>
    <cellStyle name="40% - Accent3 2 2 10 2 2" xfId="11720"/>
    <cellStyle name="40% - Accent3 2 2 10 3" xfId="11721"/>
    <cellStyle name="40% - Accent3 2 2 10 3 2" xfId="11722"/>
    <cellStyle name="40% - Accent3 2 2 10 4" xfId="11723"/>
    <cellStyle name="40% - Accent3 2 2 11" xfId="11724"/>
    <cellStyle name="40% - Accent3 2 2 11 2" xfId="11725"/>
    <cellStyle name="40% - Accent3 2 2 11 2 2" xfId="11726"/>
    <cellStyle name="40% - Accent3 2 2 11 3" xfId="11727"/>
    <cellStyle name="40% - Accent3 2 2 11 3 2" xfId="11728"/>
    <cellStyle name="40% - Accent3 2 2 11 4" xfId="11729"/>
    <cellStyle name="40% - Accent3 2 2 12" xfId="11730"/>
    <cellStyle name="40% - Accent3 2 2 12 2" xfId="11731"/>
    <cellStyle name="40% - Accent3 2 2 12 2 2" xfId="11732"/>
    <cellStyle name="40% - Accent3 2 2 12 3" xfId="11733"/>
    <cellStyle name="40% - Accent3 2 2 12 3 2" xfId="11734"/>
    <cellStyle name="40% - Accent3 2 2 12 4" xfId="11735"/>
    <cellStyle name="40% - Accent3 2 2 13" xfId="11736"/>
    <cellStyle name="40% - Accent3 2 2 13 2" xfId="11737"/>
    <cellStyle name="40% - Accent3 2 2 14" xfId="11738"/>
    <cellStyle name="40% - Accent3 2 2 14 2" xfId="11739"/>
    <cellStyle name="40% - Accent3 2 2 15" xfId="11740"/>
    <cellStyle name="40% - Accent3 2 2 15 2" xfId="11741"/>
    <cellStyle name="40% - Accent3 2 2 16" xfId="11742"/>
    <cellStyle name="40% - Accent3 2 2 17" xfId="11717"/>
    <cellStyle name="40% - Accent3 2 2 2" xfId="180"/>
    <cellStyle name="40% - Accent3 2 2 2 2" xfId="11744"/>
    <cellStyle name="40% - Accent3 2 2 2 2 2" xfId="11745"/>
    <cellStyle name="40% - Accent3 2 2 2 3" xfId="11746"/>
    <cellStyle name="40% - Accent3 2 2 2 3 2" xfId="11747"/>
    <cellStyle name="40% - Accent3 2 2 2 4" xfId="11748"/>
    <cellStyle name="40% - Accent3 2 2 2 5" xfId="11743"/>
    <cellStyle name="40% - Accent3 2 2 3" xfId="344"/>
    <cellStyle name="40% - Accent3 2 2 3 2" xfId="11750"/>
    <cellStyle name="40% - Accent3 2 2 3 2 2" xfId="11751"/>
    <cellStyle name="40% - Accent3 2 2 3 3" xfId="11752"/>
    <cellStyle name="40% - Accent3 2 2 3 3 2" xfId="11753"/>
    <cellStyle name="40% - Accent3 2 2 3 4" xfId="11754"/>
    <cellStyle name="40% - Accent3 2 2 3 5" xfId="11749"/>
    <cellStyle name="40% - Accent3 2 2 4" xfId="2166"/>
    <cellStyle name="40% - Accent3 2 2 4 2" xfId="11756"/>
    <cellStyle name="40% - Accent3 2 2 4 2 2" xfId="11757"/>
    <cellStyle name="40% - Accent3 2 2 4 3" xfId="11758"/>
    <cellStyle name="40% - Accent3 2 2 4 3 2" xfId="11759"/>
    <cellStyle name="40% - Accent3 2 2 4 4" xfId="11760"/>
    <cellStyle name="40% - Accent3 2 2 4 5" xfId="11755"/>
    <cellStyle name="40% - Accent3 2 2 5" xfId="2540"/>
    <cellStyle name="40% - Accent3 2 2 5 2" xfId="11762"/>
    <cellStyle name="40% - Accent3 2 2 5 2 2" xfId="11763"/>
    <cellStyle name="40% - Accent3 2 2 5 3" xfId="11764"/>
    <cellStyle name="40% - Accent3 2 2 5 3 2" xfId="11765"/>
    <cellStyle name="40% - Accent3 2 2 5 4" xfId="11766"/>
    <cellStyle name="40% - Accent3 2 2 5 5" xfId="11761"/>
    <cellStyle name="40% - Accent3 2 2 6" xfId="2912"/>
    <cellStyle name="40% - Accent3 2 2 6 2" xfId="11768"/>
    <cellStyle name="40% - Accent3 2 2 6 2 2" xfId="11769"/>
    <cellStyle name="40% - Accent3 2 2 6 3" xfId="11770"/>
    <cellStyle name="40% - Accent3 2 2 6 3 2" xfId="11771"/>
    <cellStyle name="40% - Accent3 2 2 6 4" xfId="11772"/>
    <cellStyle name="40% - Accent3 2 2 6 5" xfId="11767"/>
    <cellStyle name="40% - Accent3 2 2 7" xfId="3284"/>
    <cellStyle name="40% - Accent3 2 2 7 2" xfId="11774"/>
    <cellStyle name="40% - Accent3 2 2 7 2 2" xfId="11775"/>
    <cellStyle name="40% - Accent3 2 2 7 3" xfId="11776"/>
    <cellStyle name="40% - Accent3 2 2 7 3 2" xfId="11777"/>
    <cellStyle name="40% - Accent3 2 2 7 4" xfId="11778"/>
    <cellStyle name="40% - Accent3 2 2 7 5" xfId="11773"/>
    <cellStyle name="40% - Accent3 2 2 8" xfId="4542"/>
    <cellStyle name="40% - Accent3 2 2 8 2" xfId="11780"/>
    <cellStyle name="40% - Accent3 2 2 8 2 2" xfId="11781"/>
    <cellStyle name="40% - Accent3 2 2 8 3" xfId="11782"/>
    <cellStyle name="40% - Accent3 2 2 8 3 2" xfId="11783"/>
    <cellStyle name="40% - Accent3 2 2 8 4" xfId="11784"/>
    <cellStyle name="40% - Accent3 2 2 8 5" xfId="11779"/>
    <cellStyle name="40% - Accent3 2 2 9" xfId="11785"/>
    <cellStyle name="40% - Accent3 2 2 9 2" xfId="11786"/>
    <cellStyle name="40% - Accent3 2 2 9 2 2" xfId="11787"/>
    <cellStyle name="40% - Accent3 2 2 9 3" xfId="11788"/>
    <cellStyle name="40% - Accent3 2 2 9 3 2" xfId="11789"/>
    <cellStyle name="40% - Accent3 2 2 9 4" xfId="11790"/>
    <cellStyle name="40% - Accent3 2 3" xfId="285"/>
    <cellStyle name="40% - Accent3 2 3 2" xfId="1342"/>
    <cellStyle name="40% - Accent3 2 3 2 2" xfId="11793"/>
    <cellStyle name="40% - Accent3 2 3 2 2 2" xfId="11794"/>
    <cellStyle name="40% - Accent3 2 3 2 3" xfId="11795"/>
    <cellStyle name="40% - Accent3 2 3 2 3 2" xfId="11796"/>
    <cellStyle name="40% - Accent3 2 3 2 4" xfId="11797"/>
    <cellStyle name="40% - Accent3 2 3 2 5" xfId="11792"/>
    <cellStyle name="40% - Accent3 2 3 3" xfId="11798"/>
    <cellStyle name="40% - Accent3 2 3 3 2" xfId="11799"/>
    <cellStyle name="40% - Accent3 2 3 4" xfId="11800"/>
    <cellStyle name="40% - Accent3 2 3 4 2" xfId="11801"/>
    <cellStyle name="40% - Accent3 2 3 5" xfId="11802"/>
    <cellStyle name="40% - Accent3 2 3 6" xfId="11791"/>
    <cellStyle name="40% - Accent3 2 4" xfId="390"/>
    <cellStyle name="40% - Accent3 2 4 2" xfId="11804"/>
    <cellStyle name="40% - Accent3 2 4 2 2" xfId="11805"/>
    <cellStyle name="40% - Accent3 2 4 2 2 2" xfId="11806"/>
    <cellStyle name="40% - Accent3 2 4 2 3" xfId="11807"/>
    <cellStyle name="40% - Accent3 2 4 2 3 2" xfId="11808"/>
    <cellStyle name="40% - Accent3 2 4 2 4" xfId="11809"/>
    <cellStyle name="40% - Accent3 2 4 3" xfId="11810"/>
    <cellStyle name="40% - Accent3 2 4 3 2" xfId="11811"/>
    <cellStyle name="40% - Accent3 2 4 4" xfId="11812"/>
    <cellStyle name="40% - Accent3 2 4 4 2" xfId="11813"/>
    <cellStyle name="40% - Accent3 2 4 5" xfId="11814"/>
    <cellStyle name="40% - Accent3 2 4 6" xfId="11803"/>
    <cellStyle name="40% - Accent3 2 5" xfId="543"/>
    <cellStyle name="40% - Accent3 2 5 2" xfId="11816"/>
    <cellStyle name="40% - Accent3 2 5 2 2" xfId="11817"/>
    <cellStyle name="40% - Accent3 2 5 3" xfId="11818"/>
    <cellStyle name="40% - Accent3 2 5 3 2" xfId="11819"/>
    <cellStyle name="40% - Accent3 2 5 4" xfId="11820"/>
    <cellStyle name="40% - Accent3 2 5 5" xfId="11815"/>
    <cellStyle name="40% - Accent3 2 6" xfId="674"/>
    <cellStyle name="40% - Accent3 2 6 2" xfId="11822"/>
    <cellStyle name="40% - Accent3 2 6 2 2" xfId="11823"/>
    <cellStyle name="40% - Accent3 2 6 3" xfId="11824"/>
    <cellStyle name="40% - Accent3 2 6 3 2" xfId="11825"/>
    <cellStyle name="40% - Accent3 2 6 4" xfId="11826"/>
    <cellStyle name="40% - Accent3 2 6 5" xfId="11821"/>
    <cellStyle name="40% - Accent3 2 7" xfId="675"/>
    <cellStyle name="40% - Accent3 2 7 2" xfId="11828"/>
    <cellStyle name="40% - Accent3 2 7 2 2" xfId="11829"/>
    <cellStyle name="40% - Accent3 2 7 3" xfId="11830"/>
    <cellStyle name="40% - Accent3 2 7 3 2" xfId="11831"/>
    <cellStyle name="40% - Accent3 2 7 4" xfId="11832"/>
    <cellStyle name="40% - Accent3 2 7 5" xfId="11827"/>
    <cellStyle name="40% - Accent3 2 8" xfId="824"/>
    <cellStyle name="40% - Accent3 2 8 2" xfId="1404"/>
    <cellStyle name="40% - Accent3 2 8 2 2" xfId="11835"/>
    <cellStyle name="40% - Accent3 2 8 2 3" xfId="11834"/>
    <cellStyle name="40% - Accent3 2 8 3" xfId="11836"/>
    <cellStyle name="40% - Accent3 2 8 3 2" xfId="11837"/>
    <cellStyle name="40% - Accent3 2 8 4" xfId="11838"/>
    <cellStyle name="40% - Accent3 2 8 4 2" xfId="11839"/>
    <cellStyle name="40% - Accent3 2 8 5" xfId="11840"/>
    <cellStyle name="40% - Accent3 2 8 5 2" xfId="11841"/>
    <cellStyle name="40% - Accent3 2 8 6" xfId="11842"/>
    <cellStyle name="40% - Accent3 2 8 7" xfId="11833"/>
    <cellStyle name="40% - Accent3 2 9" xfId="938"/>
    <cellStyle name="40% - Accent3 2 9 2" xfId="1444"/>
    <cellStyle name="40% - Accent3 2 9 2 2" xfId="11845"/>
    <cellStyle name="40% - Accent3 2 9 2 3" xfId="11844"/>
    <cellStyle name="40% - Accent3 2 9 3" xfId="11846"/>
    <cellStyle name="40% - Accent3 2 9 3 2" xfId="11847"/>
    <cellStyle name="40% - Accent3 2 9 4" xfId="11848"/>
    <cellStyle name="40% - Accent3 2 9 4 2" xfId="11849"/>
    <cellStyle name="40% - Accent3 2 9 5" xfId="11850"/>
    <cellStyle name="40% - Accent3 2 9 5 2" xfId="11851"/>
    <cellStyle name="40% - Accent3 2 9 6" xfId="11852"/>
    <cellStyle name="40% - Accent3 2 9 7" xfId="11843"/>
    <cellStyle name="40% - Accent3 20" xfId="11853"/>
    <cellStyle name="40% - Accent3 20 2" xfId="11854"/>
    <cellStyle name="40% - Accent3 21" xfId="11855"/>
    <cellStyle name="40% - Accent3 21 2" xfId="11856"/>
    <cellStyle name="40% - Accent3 21 2 2" xfId="11857"/>
    <cellStyle name="40% - Accent3 21 2 2 2" xfId="11858"/>
    <cellStyle name="40% - Accent3 21 2 3" xfId="11859"/>
    <cellStyle name="40% - Accent3 21 2 3 2" xfId="11860"/>
    <cellStyle name="40% - Accent3 21 2 4" xfId="11861"/>
    <cellStyle name="40% - Accent3 21 3" xfId="11862"/>
    <cellStyle name="40% - Accent3 21 3 2" xfId="11863"/>
    <cellStyle name="40% - Accent3 21 4" xfId="11864"/>
    <cellStyle name="40% - Accent3 21 4 2" xfId="11865"/>
    <cellStyle name="40% - Accent3 21 5" xfId="11866"/>
    <cellStyle name="40% - Accent3 22" xfId="11867"/>
    <cellStyle name="40% - Accent3 22 2" xfId="11868"/>
    <cellStyle name="40% - Accent3 22 2 2" xfId="11869"/>
    <cellStyle name="40% - Accent3 22 2 2 2" xfId="11870"/>
    <cellStyle name="40% - Accent3 22 2 3" xfId="11871"/>
    <cellStyle name="40% - Accent3 22 2 3 2" xfId="11872"/>
    <cellStyle name="40% - Accent3 22 2 4" xfId="11873"/>
    <cellStyle name="40% - Accent3 22 3" xfId="11874"/>
    <cellStyle name="40% - Accent3 22 3 2" xfId="11875"/>
    <cellStyle name="40% - Accent3 22 4" xfId="11876"/>
    <cellStyle name="40% - Accent3 22 4 2" xfId="11877"/>
    <cellStyle name="40% - Accent3 22 5" xfId="11878"/>
    <cellStyle name="40% - Accent3 23" xfId="11879"/>
    <cellStyle name="40% - Accent3 23 2" xfId="11880"/>
    <cellStyle name="40% - Accent3 24" xfId="11881"/>
    <cellStyle name="40% - Accent3 24 2" xfId="11882"/>
    <cellStyle name="40% - Accent3 24 2 2" xfId="11883"/>
    <cellStyle name="40% - Accent3 24 2 2 2" xfId="11884"/>
    <cellStyle name="40% - Accent3 24 2 3" xfId="11885"/>
    <cellStyle name="40% - Accent3 24 2 3 2" xfId="11886"/>
    <cellStyle name="40% - Accent3 24 2 4" xfId="11887"/>
    <cellStyle name="40% - Accent3 24 3" xfId="11888"/>
    <cellStyle name="40% - Accent3 24 3 2" xfId="11889"/>
    <cellStyle name="40% - Accent3 24 4" xfId="11890"/>
    <cellStyle name="40% - Accent3 24 4 2" xfId="11891"/>
    <cellStyle name="40% - Accent3 24 5" xfId="11892"/>
    <cellStyle name="40% - Accent3 25" xfId="11893"/>
    <cellStyle name="40% - Accent3 25 2" xfId="11894"/>
    <cellStyle name="40% - Accent3 25 2 2" xfId="11895"/>
    <cellStyle name="40% - Accent3 25 2 2 2" xfId="11896"/>
    <cellStyle name="40% - Accent3 25 2 3" xfId="11897"/>
    <cellStyle name="40% - Accent3 25 2 3 2" xfId="11898"/>
    <cellStyle name="40% - Accent3 25 2 4" xfId="11899"/>
    <cellStyle name="40% - Accent3 25 3" xfId="11900"/>
    <cellStyle name="40% - Accent3 25 3 2" xfId="11901"/>
    <cellStyle name="40% - Accent3 25 4" xfId="11902"/>
    <cellStyle name="40% - Accent3 25 4 2" xfId="11903"/>
    <cellStyle name="40% - Accent3 25 5" xfId="11904"/>
    <cellStyle name="40% - Accent3 26" xfId="11905"/>
    <cellStyle name="40% - Accent3 26 2" xfId="11906"/>
    <cellStyle name="40% - Accent3 27" xfId="11907"/>
    <cellStyle name="40% - Accent3 27 2" xfId="11908"/>
    <cellStyle name="40% - Accent3 27 2 2" xfId="11909"/>
    <cellStyle name="40% - Accent3 27 2 2 2" xfId="11910"/>
    <cellStyle name="40% - Accent3 27 2 3" xfId="11911"/>
    <cellStyle name="40% - Accent3 27 2 3 2" xfId="11912"/>
    <cellStyle name="40% - Accent3 27 2 4" xfId="11913"/>
    <cellStyle name="40% - Accent3 27 3" xfId="11914"/>
    <cellStyle name="40% - Accent3 27 3 2" xfId="11915"/>
    <cellStyle name="40% - Accent3 27 4" xfId="11916"/>
    <cellStyle name="40% - Accent3 27 4 2" xfId="11917"/>
    <cellStyle name="40% - Accent3 27 5" xfId="11918"/>
    <cellStyle name="40% - Accent3 28" xfId="11919"/>
    <cellStyle name="40% - Accent3 28 2" xfId="11920"/>
    <cellStyle name="40% - Accent3 28 2 2" xfId="11921"/>
    <cellStyle name="40% - Accent3 28 3" xfId="11922"/>
    <cellStyle name="40% - Accent3 28 3 2" xfId="11923"/>
    <cellStyle name="40% - Accent3 28 4" xfId="11924"/>
    <cellStyle name="40% - Accent3 29" xfId="11925"/>
    <cellStyle name="40% - Accent3 29 2" xfId="11926"/>
    <cellStyle name="40% - Accent3 3" xfId="221"/>
    <cellStyle name="40% - Accent3 3 10" xfId="3683"/>
    <cellStyle name="40% - Accent3 3 10 2" xfId="4543"/>
    <cellStyle name="40% - Accent3 3 10 2 2" xfId="11930"/>
    <cellStyle name="40% - Accent3 3 10 2 3" xfId="11929"/>
    <cellStyle name="40% - Accent3 3 10 3" xfId="11931"/>
    <cellStyle name="40% - Accent3 3 10 3 2" xfId="11932"/>
    <cellStyle name="40% - Accent3 3 10 4" xfId="11933"/>
    <cellStyle name="40% - Accent3 3 10 4 2" xfId="11934"/>
    <cellStyle name="40% - Accent3 3 10 5" xfId="11935"/>
    <cellStyle name="40% - Accent3 3 10 5 2" xfId="11936"/>
    <cellStyle name="40% - Accent3 3 10 6" xfId="11937"/>
    <cellStyle name="40% - Accent3 3 10 7" xfId="11928"/>
    <cellStyle name="40% - Accent3 3 11" xfId="11938"/>
    <cellStyle name="40% - Accent3 3 11 2" xfId="11939"/>
    <cellStyle name="40% - Accent3 3 11 2 2" xfId="11940"/>
    <cellStyle name="40% - Accent3 3 11 3" xfId="11941"/>
    <cellStyle name="40% - Accent3 3 11 3 2" xfId="11942"/>
    <cellStyle name="40% - Accent3 3 11 4" xfId="11943"/>
    <cellStyle name="40% - Accent3 3 12" xfId="11944"/>
    <cellStyle name="40% - Accent3 3 12 2" xfId="11945"/>
    <cellStyle name="40% - Accent3 3 12 2 2" xfId="11946"/>
    <cellStyle name="40% - Accent3 3 12 3" xfId="11947"/>
    <cellStyle name="40% - Accent3 3 12 3 2" xfId="11948"/>
    <cellStyle name="40% - Accent3 3 12 4" xfId="11949"/>
    <cellStyle name="40% - Accent3 3 13" xfId="11950"/>
    <cellStyle name="40% - Accent3 3 13 2" xfId="11951"/>
    <cellStyle name="40% - Accent3 3 13 2 2" xfId="11952"/>
    <cellStyle name="40% - Accent3 3 13 3" xfId="11953"/>
    <cellStyle name="40% - Accent3 3 13 3 2" xfId="11954"/>
    <cellStyle name="40% - Accent3 3 13 4" xfId="11955"/>
    <cellStyle name="40% - Accent3 3 14" xfId="11956"/>
    <cellStyle name="40% - Accent3 3 14 2" xfId="11957"/>
    <cellStyle name="40% - Accent3 3 15" xfId="11958"/>
    <cellStyle name="40% - Accent3 3 15 2" xfId="11959"/>
    <cellStyle name="40% - Accent3 3 16" xfId="11960"/>
    <cellStyle name="40% - Accent3 3 17" xfId="11927"/>
    <cellStyle name="40% - Accent3 3 2" xfId="1456"/>
    <cellStyle name="40% - Accent3 3 2 10" xfId="11962"/>
    <cellStyle name="40% - Accent3 3 2 10 2" xfId="11963"/>
    <cellStyle name="40% - Accent3 3 2 10 2 2" xfId="11964"/>
    <cellStyle name="40% - Accent3 3 2 10 3" xfId="11965"/>
    <cellStyle name="40% - Accent3 3 2 10 3 2" xfId="11966"/>
    <cellStyle name="40% - Accent3 3 2 10 4" xfId="11967"/>
    <cellStyle name="40% - Accent3 3 2 11" xfId="11968"/>
    <cellStyle name="40% - Accent3 3 2 11 2" xfId="11969"/>
    <cellStyle name="40% - Accent3 3 2 11 2 2" xfId="11970"/>
    <cellStyle name="40% - Accent3 3 2 11 3" xfId="11971"/>
    <cellStyle name="40% - Accent3 3 2 11 3 2" xfId="11972"/>
    <cellStyle name="40% - Accent3 3 2 11 4" xfId="11973"/>
    <cellStyle name="40% - Accent3 3 2 12" xfId="11974"/>
    <cellStyle name="40% - Accent3 3 2 12 2" xfId="11975"/>
    <cellStyle name="40% - Accent3 3 2 12 2 2" xfId="11976"/>
    <cellStyle name="40% - Accent3 3 2 12 3" xfId="11977"/>
    <cellStyle name="40% - Accent3 3 2 12 3 2" xfId="11978"/>
    <cellStyle name="40% - Accent3 3 2 12 4" xfId="11979"/>
    <cellStyle name="40% - Accent3 3 2 13" xfId="11980"/>
    <cellStyle name="40% - Accent3 3 2 13 2" xfId="11981"/>
    <cellStyle name="40% - Accent3 3 2 14" xfId="11982"/>
    <cellStyle name="40% - Accent3 3 2 14 2" xfId="11983"/>
    <cellStyle name="40% - Accent3 3 2 15" xfId="11984"/>
    <cellStyle name="40% - Accent3 3 2 15 2" xfId="11985"/>
    <cellStyle name="40% - Accent3 3 2 16" xfId="11986"/>
    <cellStyle name="40% - Accent3 3 2 17" xfId="11961"/>
    <cellStyle name="40% - Accent3 3 2 2" xfId="1832"/>
    <cellStyle name="40% - Accent3 3 2 2 2" xfId="11988"/>
    <cellStyle name="40% - Accent3 3 2 2 2 2" xfId="11989"/>
    <cellStyle name="40% - Accent3 3 2 2 3" xfId="11990"/>
    <cellStyle name="40% - Accent3 3 2 2 3 2" xfId="11991"/>
    <cellStyle name="40% - Accent3 3 2 2 4" xfId="11992"/>
    <cellStyle name="40% - Accent3 3 2 2 5" xfId="11987"/>
    <cellStyle name="40% - Accent3 3 2 3" xfId="2207"/>
    <cellStyle name="40% - Accent3 3 2 3 2" xfId="11994"/>
    <cellStyle name="40% - Accent3 3 2 3 2 2" xfId="11995"/>
    <cellStyle name="40% - Accent3 3 2 3 3" xfId="11996"/>
    <cellStyle name="40% - Accent3 3 2 3 3 2" xfId="11997"/>
    <cellStyle name="40% - Accent3 3 2 3 4" xfId="11998"/>
    <cellStyle name="40% - Accent3 3 2 3 5" xfId="11993"/>
    <cellStyle name="40% - Accent3 3 2 4" xfId="2581"/>
    <cellStyle name="40% - Accent3 3 2 4 2" xfId="12000"/>
    <cellStyle name="40% - Accent3 3 2 4 2 2" xfId="12001"/>
    <cellStyle name="40% - Accent3 3 2 4 3" xfId="12002"/>
    <cellStyle name="40% - Accent3 3 2 4 3 2" xfId="12003"/>
    <cellStyle name="40% - Accent3 3 2 4 4" xfId="12004"/>
    <cellStyle name="40% - Accent3 3 2 4 5" xfId="11999"/>
    <cellStyle name="40% - Accent3 3 2 5" xfId="2953"/>
    <cellStyle name="40% - Accent3 3 2 5 2" xfId="12006"/>
    <cellStyle name="40% - Accent3 3 2 5 2 2" xfId="12007"/>
    <cellStyle name="40% - Accent3 3 2 5 3" xfId="12008"/>
    <cellStyle name="40% - Accent3 3 2 5 3 2" xfId="12009"/>
    <cellStyle name="40% - Accent3 3 2 5 4" xfId="12010"/>
    <cellStyle name="40% - Accent3 3 2 5 5" xfId="12005"/>
    <cellStyle name="40% - Accent3 3 2 6" xfId="3325"/>
    <cellStyle name="40% - Accent3 3 2 6 2" xfId="12012"/>
    <cellStyle name="40% - Accent3 3 2 6 2 2" xfId="12013"/>
    <cellStyle name="40% - Accent3 3 2 6 3" xfId="12014"/>
    <cellStyle name="40% - Accent3 3 2 6 3 2" xfId="12015"/>
    <cellStyle name="40% - Accent3 3 2 6 4" xfId="12016"/>
    <cellStyle name="40% - Accent3 3 2 6 5" xfId="12011"/>
    <cellStyle name="40% - Accent3 3 2 7" xfId="4544"/>
    <cellStyle name="40% - Accent3 3 2 7 2" xfId="12018"/>
    <cellStyle name="40% - Accent3 3 2 7 2 2" xfId="12019"/>
    <cellStyle name="40% - Accent3 3 2 7 3" xfId="12020"/>
    <cellStyle name="40% - Accent3 3 2 7 3 2" xfId="12021"/>
    <cellStyle name="40% - Accent3 3 2 7 4" xfId="12022"/>
    <cellStyle name="40% - Accent3 3 2 7 5" xfId="12017"/>
    <cellStyle name="40% - Accent3 3 2 8" xfId="12023"/>
    <cellStyle name="40% - Accent3 3 2 8 2" xfId="12024"/>
    <cellStyle name="40% - Accent3 3 2 8 2 2" xfId="12025"/>
    <cellStyle name="40% - Accent3 3 2 8 3" xfId="12026"/>
    <cellStyle name="40% - Accent3 3 2 8 3 2" xfId="12027"/>
    <cellStyle name="40% - Accent3 3 2 8 4" xfId="12028"/>
    <cellStyle name="40% - Accent3 3 2 9" xfId="12029"/>
    <cellStyle name="40% - Accent3 3 2 9 2" xfId="12030"/>
    <cellStyle name="40% - Accent3 3 2 9 2 2" xfId="12031"/>
    <cellStyle name="40% - Accent3 3 2 9 3" xfId="12032"/>
    <cellStyle name="40% - Accent3 3 2 9 3 2" xfId="12033"/>
    <cellStyle name="40% - Accent3 3 2 9 4" xfId="12034"/>
    <cellStyle name="40% - Accent3 3 3" xfId="1583"/>
    <cellStyle name="40% - Accent3 3 3 2" xfId="1909"/>
    <cellStyle name="40% - Accent3 3 3 2 2" xfId="12037"/>
    <cellStyle name="40% - Accent3 3 3 2 3" xfId="12036"/>
    <cellStyle name="40% - Accent3 3 3 3" xfId="2284"/>
    <cellStyle name="40% - Accent3 3 3 3 2" xfId="12039"/>
    <cellStyle name="40% - Accent3 3 3 3 3" xfId="12038"/>
    <cellStyle name="40% - Accent3 3 3 4" xfId="2657"/>
    <cellStyle name="40% - Accent3 3 3 4 2" xfId="12041"/>
    <cellStyle name="40% - Accent3 3 3 4 3" xfId="12040"/>
    <cellStyle name="40% - Accent3 3 3 5" xfId="3030"/>
    <cellStyle name="40% - Accent3 3 3 5 2" xfId="12043"/>
    <cellStyle name="40% - Accent3 3 3 5 3" xfId="12042"/>
    <cellStyle name="40% - Accent3 3 3 6" xfId="3401"/>
    <cellStyle name="40% - Accent3 3 3 6 2" xfId="12045"/>
    <cellStyle name="40% - Accent3 3 3 6 3" xfId="12044"/>
    <cellStyle name="40% - Accent3 3 3 7" xfId="4545"/>
    <cellStyle name="40% - Accent3 3 3 7 2" xfId="12047"/>
    <cellStyle name="40% - Accent3 3 3 7 3" xfId="12046"/>
    <cellStyle name="40% - Accent3 3 3 8" xfId="12048"/>
    <cellStyle name="40% - Accent3 3 3 9" xfId="12035"/>
    <cellStyle name="40% - Accent3 3 4" xfId="1720"/>
    <cellStyle name="40% - Accent3 3 4 2" xfId="1953"/>
    <cellStyle name="40% - Accent3 3 4 2 2" xfId="12051"/>
    <cellStyle name="40% - Accent3 3 4 2 3" xfId="12050"/>
    <cellStyle name="40% - Accent3 3 4 3" xfId="2328"/>
    <cellStyle name="40% - Accent3 3 4 3 2" xfId="12053"/>
    <cellStyle name="40% - Accent3 3 4 3 3" xfId="12052"/>
    <cellStyle name="40% - Accent3 3 4 4" xfId="2701"/>
    <cellStyle name="40% - Accent3 3 4 4 2" xfId="12055"/>
    <cellStyle name="40% - Accent3 3 4 4 3" xfId="12054"/>
    <cellStyle name="40% - Accent3 3 4 5" xfId="3074"/>
    <cellStyle name="40% - Accent3 3 4 5 2" xfId="12057"/>
    <cellStyle name="40% - Accent3 3 4 5 3" xfId="12056"/>
    <cellStyle name="40% - Accent3 3 4 6" xfId="3445"/>
    <cellStyle name="40% - Accent3 3 4 6 2" xfId="12059"/>
    <cellStyle name="40% - Accent3 3 4 6 3" xfId="12058"/>
    <cellStyle name="40% - Accent3 3 4 7" xfId="12060"/>
    <cellStyle name="40% - Accent3 3 4 8" xfId="12049"/>
    <cellStyle name="40% - Accent3 3 5" xfId="2055"/>
    <cellStyle name="40% - Accent3 3 5 2" xfId="12062"/>
    <cellStyle name="40% - Accent3 3 5 2 2" xfId="12063"/>
    <cellStyle name="40% - Accent3 3 5 3" xfId="12064"/>
    <cellStyle name="40% - Accent3 3 5 3 2" xfId="12065"/>
    <cellStyle name="40% - Accent3 3 5 4" xfId="12066"/>
    <cellStyle name="40% - Accent3 3 5 4 2" xfId="12067"/>
    <cellStyle name="40% - Accent3 3 5 5" xfId="12068"/>
    <cellStyle name="40% - Accent3 3 5 6" xfId="12061"/>
    <cellStyle name="40% - Accent3 3 6" xfId="2429"/>
    <cellStyle name="40% - Accent3 3 6 2" xfId="12070"/>
    <cellStyle name="40% - Accent3 3 6 2 2" xfId="12071"/>
    <cellStyle name="40% - Accent3 3 6 3" xfId="12072"/>
    <cellStyle name="40% - Accent3 3 6 3 2" xfId="12073"/>
    <cellStyle name="40% - Accent3 3 6 4" xfId="12074"/>
    <cellStyle name="40% - Accent3 3 6 4 2" xfId="12075"/>
    <cellStyle name="40% - Accent3 3 6 5" xfId="12076"/>
    <cellStyle name="40% - Accent3 3 6 6" xfId="12069"/>
    <cellStyle name="40% - Accent3 3 7" xfId="2801"/>
    <cellStyle name="40% - Accent3 3 7 2" xfId="12078"/>
    <cellStyle name="40% - Accent3 3 7 2 2" xfId="12079"/>
    <cellStyle name="40% - Accent3 3 7 3" xfId="12080"/>
    <cellStyle name="40% - Accent3 3 7 3 2" xfId="12081"/>
    <cellStyle name="40% - Accent3 3 7 4" xfId="12082"/>
    <cellStyle name="40% - Accent3 3 7 4 2" xfId="12083"/>
    <cellStyle name="40% - Accent3 3 7 5" xfId="12084"/>
    <cellStyle name="40% - Accent3 3 7 6" xfId="12077"/>
    <cellStyle name="40% - Accent3 3 8" xfId="3172"/>
    <cellStyle name="40% - Accent3 3 8 2" xfId="12086"/>
    <cellStyle name="40% - Accent3 3 8 2 2" xfId="12087"/>
    <cellStyle name="40% - Accent3 3 8 3" xfId="12088"/>
    <cellStyle name="40% - Accent3 3 8 3 2" xfId="12089"/>
    <cellStyle name="40% - Accent3 3 8 4" xfId="12090"/>
    <cellStyle name="40% - Accent3 3 8 4 2" xfId="12091"/>
    <cellStyle name="40% - Accent3 3 8 5" xfId="12092"/>
    <cellStyle name="40% - Accent3 3 8 6" xfId="12085"/>
    <cellStyle name="40% - Accent3 3 9" xfId="3547"/>
    <cellStyle name="40% - Accent3 3 9 2" xfId="4546"/>
    <cellStyle name="40% - Accent3 3 9 2 2" xfId="12095"/>
    <cellStyle name="40% - Accent3 3 9 2 3" xfId="12094"/>
    <cellStyle name="40% - Accent3 3 9 3" xfId="12096"/>
    <cellStyle name="40% - Accent3 3 9 3 2" xfId="12097"/>
    <cellStyle name="40% - Accent3 3 9 4" xfId="12098"/>
    <cellStyle name="40% - Accent3 3 9 4 2" xfId="12099"/>
    <cellStyle name="40% - Accent3 3 9 5" xfId="12100"/>
    <cellStyle name="40% - Accent3 3 9 5 2" xfId="12101"/>
    <cellStyle name="40% - Accent3 3 9 6" xfId="12102"/>
    <cellStyle name="40% - Accent3 3 9 7" xfId="12093"/>
    <cellStyle name="40% - Accent3 30" xfId="12103"/>
    <cellStyle name="40% - Accent3 31" xfId="11586"/>
    <cellStyle name="40% - Accent3 4" xfId="243"/>
    <cellStyle name="40% - Accent3 4 10" xfId="3727"/>
    <cellStyle name="40% - Accent3 4 10 2" xfId="4548"/>
    <cellStyle name="40% - Accent3 4 10 2 2" xfId="12107"/>
    <cellStyle name="40% - Accent3 4 10 2 3" xfId="12106"/>
    <cellStyle name="40% - Accent3 4 10 3" xfId="12108"/>
    <cellStyle name="40% - Accent3 4 10 3 2" xfId="12109"/>
    <cellStyle name="40% - Accent3 4 10 4" xfId="12110"/>
    <cellStyle name="40% - Accent3 4 10 4 2" xfId="12111"/>
    <cellStyle name="40% - Accent3 4 10 5" xfId="12112"/>
    <cellStyle name="40% - Accent3 4 10 5 2" xfId="12113"/>
    <cellStyle name="40% - Accent3 4 10 6" xfId="12114"/>
    <cellStyle name="40% - Accent3 4 10 7" xfId="12105"/>
    <cellStyle name="40% - Accent3 4 11" xfId="1303"/>
    <cellStyle name="40% - Accent3 4 11 10" xfId="24881"/>
    <cellStyle name="40% - Accent3 4 11 11" xfId="26377"/>
    <cellStyle name="40% - Accent3 4 11 2" xfId="4149"/>
    <cellStyle name="40% - Accent3 4 11 2 2" xfId="5402"/>
    <cellStyle name="40% - Accent3 4 11 2 2 2" xfId="6312"/>
    <cellStyle name="40% - Accent3 4 11 2 2 2 2" xfId="12118"/>
    <cellStyle name="40% - Accent3 4 11 2 2 2 3" xfId="26380"/>
    <cellStyle name="40% - Accent3 4 11 2 2 3" xfId="12117"/>
    <cellStyle name="40% - Accent3 4 11 2 2 4" xfId="26379"/>
    <cellStyle name="40% - Accent3 4 11 2 3" xfId="5712"/>
    <cellStyle name="40% - Accent3 4 11 2 3 2" xfId="6313"/>
    <cellStyle name="40% - Accent3 4 11 2 3 2 2" xfId="26382"/>
    <cellStyle name="40% - Accent3 4 11 2 3 3" xfId="12119"/>
    <cellStyle name="40% - Accent3 4 11 2 3 4" xfId="26381"/>
    <cellStyle name="40% - Accent3 4 11 2 4" xfId="4550"/>
    <cellStyle name="40% - Accent3 4 11 2 4 2" xfId="6314"/>
    <cellStyle name="40% - Accent3 4 11 2 4 2 2" xfId="26384"/>
    <cellStyle name="40% - Accent3 4 11 2 4 3" xfId="26383"/>
    <cellStyle name="40% - Accent3 4 11 2 5" xfId="6311"/>
    <cellStyle name="40% - Accent3 4 11 2 5 2" xfId="26385"/>
    <cellStyle name="40% - Accent3 4 11 2 6" xfId="12116"/>
    <cellStyle name="40% - Accent3 4 11 2 7" xfId="25001"/>
    <cellStyle name="40% - Accent3 4 11 2 8" xfId="26378"/>
    <cellStyle name="40% - Accent3 4 11 3" xfId="5401"/>
    <cellStyle name="40% - Accent3 4 11 3 2" xfId="6315"/>
    <cellStyle name="40% - Accent3 4 11 3 2 2" xfId="12121"/>
    <cellStyle name="40% - Accent3 4 11 3 2 3" xfId="26387"/>
    <cellStyle name="40% - Accent3 4 11 3 3" xfId="12120"/>
    <cellStyle name="40% - Accent3 4 11 3 4" xfId="26386"/>
    <cellStyle name="40% - Accent3 4 11 4" xfId="5711"/>
    <cellStyle name="40% - Accent3 4 11 4 2" xfId="6316"/>
    <cellStyle name="40% - Accent3 4 11 4 2 2" xfId="12123"/>
    <cellStyle name="40% - Accent3 4 11 4 2 3" xfId="26389"/>
    <cellStyle name="40% - Accent3 4 11 4 3" xfId="12122"/>
    <cellStyle name="40% - Accent3 4 11 4 4" xfId="26388"/>
    <cellStyle name="40% - Accent3 4 11 5" xfId="4549"/>
    <cellStyle name="40% - Accent3 4 11 5 2" xfId="6317"/>
    <cellStyle name="40% - Accent3 4 11 5 2 2" xfId="12126"/>
    <cellStyle name="40% - Accent3 4 11 5 2 3" xfId="12125"/>
    <cellStyle name="40% - Accent3 4 11 5 2 4" xfId="26391"/>
    <cellStyle name="40% - Accent3 4 11 5 3" xfId="12127"/>
    <cellStyle name="40% - Accent3 4 11 5 3 2" xfId="12128"/>
    <cellStyle name="40% - Accent3 4 11 5 4" xfId="12129"/>
    <cellStyle name="40% - Accent3 4 11 5 5" xfId="12124"/>
    <cellStyle name="40% - Accent3 4 11 5 6" xfId="26390"/>
    <cellStyle name="40% - Accent3 4 11 6" xfId="6310"/>
    <cellStyle name="40% - Accent3 4 11 6 2" xfId="12131"/>
    <cellStyle name="40% - Accent3 4 11 6 3" xfId="12130"/>
    <cellStyle name="40% - Accent3 4 11 6 4" xfId="26392"/>
    <cellStyle name="40% - Accent3 4 11 7" xfId="12132"/>
    <cellStyle name="40% - Accent3 4 11 7 2" xfId="12133"/>
    <cellStyle name="40% - Accent3 4 11 8" xfId="12134"/>
    <cellStyle name="40% - Accent3 4 11 9" xfId="12115"/>
    <cellStyle name="40% - Accent3 4 12" xfId="4551"/>
    <cellStyle name="40% - Accent3 4 12 2" xfId="5403"/>
    <cellStyle name="40% - Accent3 4 12 2 2" xfId="6319"/>
    <cellStyle name="40% - Accent3 4 12 2 2 2" xfId="12137"/>
    <cellStyle name="40% - Accent3 4 12 2 2 3" xfId="26395"/>
    <cellStyle name="40% - Accent3 4 12 2 3" xfId="12136"/>
    <cellStyle name="40% - Accent3 4 12 2 4" xfId="26394"/>
    <cellStyle name="40% - Accent3 4 12 3" xfId="5713"/>
    <cellStyle name="40% - Accent3 4 12 3 2" xfId="6320"/>
    <cellStyle name="40% - Accent3 4 12 3 2 2" xfId="12139"/>
    <cellStyle name="40% - Accent3 4 12 3 2 3" xfId="26397"/>
    <cellStyle name="40% - Accent3 4 12 3 3" xfId="12138"/>
    <cellStyle name="40% - Accent3 4 12 3 4" xfId="26396"/>
    <cellStyle name="40% - Accent3 4 12 4" xfId="6318"/>
    <cellStyle name="40% - Accent3 4 12 4 2" xfId="12141"/>
    <cellStyle name="40% - Accent3 4 12 4 3" xfId="12140"/>
    <cellStyle name="40% - Accent3 4 12 4 4" xfId="26398"/>
    <cellStyle name="40% - Accent3 4 12 5" xfId="12142"/>
    <cellStyle name="40% - Accent3 4 12 6" xfId="12135"/>
    <cellStyle name="40% - Accent3 4 12 7" xfId="26393"/>
    <cellStyle name="40% - Accent3 4 13" xfId="5400"/>
    <cellStyle name="40% - Accent3 4 13 2" xfId="6321"/>
    <cellStyle name="40% - Accent3 4 13 2 2" xfId="12145"/>
    <cellStyle name="40% - Accent3 4 13 2 3" xfId="12144"/>
    <cellStyle name="40% - Accent3 4 13 2 4" xfId="26400"/>
    <cellStyle name="40% - Accent3 4 13 3" xfId="12146"/>
    <cellStyle name="40% - Accent3 4 13 3 2" xfId="12147"/>
    <cellStyle name="40% - Accent3 4 13 4" xfId="12148"/>
    <cellStyle name="40% - Accent3 4 13 5" xfId="12143"/>
    <cellStyle name="40% - Accent3 4 13 6" xfId="26399"/>
    <cellStyle name="40% - Accent3 4 14" xfId="5710"/>
    <cellStyle name="40% - Accent3 4 14 2" xfId="6322"/>
    <cellStyle name="40% - Accent3 4 14 2 2" xfId="12150"/>
    <cellStyle name="40% - Accent3 4 14 2 3" xfId="26402"/>
    <cellStyle name="40% - Accent3 4 14 3" xfId="12149"/>
    <cellStyle name="40% - Accent3 4 14 4" xfId="26401"/>
    <cellStyle name="40% - Accent3 4 15" xfId="4547"/>
    <cellStyle name="40% - Accent3 4 15 2" xfId="6323"/>
    <cellStyle name="40% - Accent3 4 15 2 2" xfId="12152"/>
    <cellStyle name="40% - Accent3 4 15 2 3" xfId="26404"/>
    <cellStyle name="40% - Accent3 4 15 3" xfId="12151"/>
    <cellStyle name="40% - Accent3 4 15 4" xfId="26403"/>
    <cellStyle name="40% - Accent3 4 16" xfId="12153"/>
    <cellStyle name="40% - Accent3 4 16 2" xfId="12154"/>
    <cellStyle name="40% - Accent3 4 17" xfId="12155"/>
    <cellStyle name="40% - Accent3 4 17 2" xfId="12156"/>
    <cellStyle name="40% - Accent3 4 17 2 2" xfId="12157"/>
    <cellStyle name="40% - Accent3 4 17 3" xfId="12158"/>
    <cellStyle name="40% - Accent3 4 17 3 2" xfId="12159"/>
    <cellStyle name="40% - Accent3 4 17 4" xfId="12160"/>
    <cellStyle name="40% - Accent3 4 18" xfId="12161"/>
    <cellStyle name="40% - Accent3 4 18 2" xfId="12162"/>
    <cellStyle name="40% - Accent3 4 19" xfId="12163"/>
    <cellStyle name="40% - Accent3 4 19 2" xfId="12164"/>
    <cellStyle name="40% - Accent3 4 2" xfId="1501"/>
    <cellStyle name="40% - Accent3 4 2 10" xfId="12166"/>
    <cellStyle name="40% - Accent3 4 2 10 2" xfId="12167"/>
    <cellStyle name="40% - Accent3 4 2 10 2 2" xfId="12168"/>
    <cellStyle name="40% - Accent3 4 2 10 3" xfId="12169"/>
    <cellStyle name="40% - Accent3 4 2 10 3 2" xfId="12170"/>
    <cellStyle name="40% - Accent3 4 2 10 4" xfId="12171"/>
    <cellStyle name="40% - Accent3 4 2 11" xfId="12172"/>
    <cellStyle name="40% - Accent3 4 2 11 2" xfId="12173"/>
    <cellStyle name="40% - Accent3 4 2 11 2 2" xfId="12174"/>
    <cellStyle name="40% - Accent3 4 2 11 3" xfId="12175"/>
    <cellStyle name="40% - Accent3 4 2 11 3 2" xfId="12176"/>
    <cellStyle name="40% - Accent3 4 2 11 4" xfId="12177"/>
    <cellStyle name="40% - Accent3 4 2 12" xfId="12178"/>
    <cellStyle name="40% - Accent3 4 2 12 2" xfId="12179"/>
    <cellStyle name="40% - Accent3 4 2 12 2 2" xfId="12180"/>
    <cellStyle name="40% - Accent3 4 2 12 3" xfId="12181"/>
    <cellStyle name="40% - Accent3 4 2 12 3 2" xfId="12182"/>
    <cellStyle name="40% - Accent3 4 2 12 4" xfId="12183"/>
    <cellStyle name="40% - Accent3 4 2 13" xfId="12184"/>
    <cellStyle name="40% - Accent3 4 2 13 2" xfId="12185"/>
    <cellStyle name="40% - Accent3 4 2 14" xfId="12186"/>
    <cellStyle name="40% - Accent3 4 2 14 2" xfId="12187"/>
    <cellStyle name="40% - Accent3 4 2 15" xfId="12188"/>
    <cellStyle name="40% - Accent3 4 2 15 2" xfId="12189"/>
    <cellStyle name="40% - Accent3 4 2 16" xfId="12190"/>
    <cellStyle name="40% - Accent3 4 2 16 2" xfId="12191"/>
    <cellStyle name="40% - Accent3 4 2 17" xfId="12192"/>
    <cellStyle name="40% - Accent3 4 2 18" xfId="12165"/>
    <cellStyle name="40% - Accent3 4 2 2" xfId="4552"/>
    <cellStyle name="40% - Accent3 4 2 2 2" xfId="12194"/>
    <cellStyle name="40% - Accent3 4 2 2 2 2" xfId="12195"/>
    <cellStyle name="40% - Accent3 4 2 2 3" xfId="12196"/>
    <cellStyle name="40% - Accent3 4 2 2 3 2" xfId="12197"/>
    <cellStyle name="40% - Accent3 4 2 2 4" xfId="12198"/>
    <cellStyle name="40% - Accent3 4 2 2 5" xfId="12193"/>
    <cellStyle name="40% - Accent3 4 2 3" xfId="12199"/>
    <cellStyle name="40% - Accent3 4 2 3 2" xfId="12200"/>
    <cellStyle name="40% - Accent3 4 2 3 2 2" xfId="12201"/>
    <cellStyle name="40% - Accent3 4 2 3 3" xfId="12202"/>
    <cellStyle name="40% - Accent3 4 2 3 3 2" xfId="12203"/>
    <cellStyle name="40% - Accent3 4 2 3 4" xfId="12204"/>
    <cellStyle name="40% - Accent3 4 2 4" xfId="12205"/>
    <cellStyle name="40% - Accent3 4 2 4 2" xfId="12206"/>
    <cellStyle name="40% - Accent3 4 2 4 2 2" xfId="12207"/>
    <cellStyle name="40% - Accent3 4 2 4 3" xfId="12208"/>
    <cellStyle name="40% - Accent3 4 2 4 3 2" xfId="12209"/>
    <cellStyle name="40% - Accent3 4 2 4 4" xfId="12210"/>
    <cellStyle name="40% - Accent3 4 2 5" xfId="12211"/>
    <cellStyle name="40% - Accent3 4 2 5 2" xfId="12212"/>
    <cellStyle name="40% - Accent3 4 2 5 2 2" xfId="12213"/>
    <cellStyle name="40% - Accent3 4 2 5 3" xfId="12214"/>
    <cellStyle name="40% - Accent3 4 2 5 3 2" xfId="12215"/>
    <cellStyle name="40% - Accent3 4 2 5 4" xfId="12216"/>
    <cellStyle name="40% - Accent3 4 2 6" xfId="12217"/>
    <cellStyle name="40% - Accent3 4 2 6 2" xfId="12218"/>
    <cellStyle name="40% - Accent3 4 2 6 2 2" xfId="12219"/>
    <cellStyle name="40% - Accent3 4 2 6 3" xfId="12220"/>
    <cellStyle name="40% - Accent3 4 2 6 3 2" xfId="12221"/>
    <cellStyle name="40% - Accent3 4 2 6 4" xfId="12222"/>
    <cellStyle name="40% - Accent3 4 2 7" xfId="12223"/>
    <cellStyle name="40% - Accent3 4 2 7 2" xfId="12224"/>
    <cellStyle name="40% - Accent3 4 2 7 2 2" xfId="12225"/>
    <cellStyle name="40% - Accent3 4 2 7 3" xfId="12226"/>
    <cellStyle name="40% - Accent3 4 2 7 3 2" xfId="12227"/>
    <cellStyle name="40% - Accent3 4 2 7 4" xfId="12228"/>
    <cellStyle name="40% - Accent3 4 2 8" xfId="12229"/>
    <cellStyle name="40% - Accent3 4 2 8 2" xfId="12230"/>
    <cellStyle name="40% - Accent3 4 2 8 2 2" xfId="12231"/>
    <cellStyle name="40% - Accent3 4 2 8 3" xfId="12232"/>
    <cellStyle name="40% - Accent3 4 2 8 3 2" xfId="12233"/>
    <cellStyle name="40% - Accent3 4 2 8 4" xfId="12234"/>
    <cellStyle name="40% - Accent3 4 2 9" xfId="12235"/>
    <cellStyle name="40% - Accent3 4 2 9 2" xfId="12236"/>
    <cellStyle name="40% - Accent3 4 2 9 2 2" xfId="12237"/>
    <cellStyle name="40% - Accent3 4 2 9 3" xfId="12238"/>
    <cellStyle name="40% - Accent3 4 2 9 3 2" xfId="12239"/>
    <cellStyle name="40% - Accent3 4 2 9 4" xfId="12240"/>
    <cellStyle name="40% - Accent3 4 20" xfId="12241"/>
    <cellStyle name="40% - Accent3 4 21" xfId="12104"/>
    <cellStyle name="40% - Accent3 4 3" xfId="1626"/>
    <cellStyle name="40% - Accent3 4 3 2" xfId="4553"/>
    <cellStyle name="40% - Accent3 4 3 2 2" xfId="12244"/>
    <cellStyle name="40% - Accent3 4 3 2 3" xfId="12243"/>
    <cellStyle name="40% - Accent3 4 3 3" xfId="12245"/>
    <cellStyle name="40% - Accent3 4 3 3 2" xfId="12246"/>
    <cellStyle name="40% - Accent3 4 3 4" xfId="12247"/>
    <cellStyle name="40% - Accent3 4 3 4 2" xfId="12248"/>
    <cellStyle name="40% - Accent3 4 3 5" xfId="12249"/>
    <cellStyle name="40% - Accent3 4 3 5 2" xfId="12250"/>
    <cellStyle name="40% - Accent3 4 3 6" xfId="12251"/>
    <cellStyle name="40% - Accent3 4 3 7" xfId="12242"/>
    <cellStyle name="40% - Accent3 4 4" xfId="1797"/>
    <cellStyle name="40% - Accent3 4 4 2" xfId="12253"/>
    <cellStyle name="40% - Accent3 4 4 2 2" xfId="12254"/>
    <cellStyle name="40% - Accent3 4 4 3" xfId="12255"/>
    <cellStyle name="40% - Accent3 4 4 3 2" xfId="12256"/>
    <cellStyle name="40% - Accent3 4 4 4" xfId="12257"/>
    <cellStyle name="40% - Accent3 4 4 4 2" xfId="12258"/>
    <cellStyle name="40% - Accent3 4 4 5" xfId="12259"/>
    <cellStyle name="40% - Accent3 4 4 6" xfId="12252"/>
    <cellStyle name="40% - Accent3 4 5" xfId="2133"/>
    <cellStyle name="40% - Accent3 4 5 2" xfId="12261"/>
    <cellStyle name="40% - Accent3 4 5 2 2" xfId="12262"/>
    <cellStyle name="40% - Accent3 4 5 3" xfId="12263"/>
    <cellStyle name="40% - Accent3 4 5 3 2" xfId="12264"/>
    <cellStyle name="40% - Accent3 4 5 4" xfId="12265"/>
    <cellStyle name="40% - Accent3 4 5 4 2" xfId="12266"/>
    <cellStyle name="40% - Accent3 4 5 5" xfId="12267"/>
    <cellStyle name="40% - Accent3 4 5 6" xfId="12260"/>
    <cellStyle name="40% - Accent3 4 6" xfId="2507"/>
    <cellStyle name="40% - Accent3 4 6 2" xfId="12269"/>
    <cellStyle name="40% - Accent3 4 6 2 2" xfId="12270"/>
    <cellStyle name="40% - Accent3 4 6 3" xfId="12271"/>
    <cellStyle name="40% - Accent3 4 6 3 2" xfId="12272"/>
    <cellStyle name="40% - Accent3 4 6 4" xfId="12273"/>
    <cellStyle name="40% - Accent3 4 6 4 2" xfId="12274"/>
    <cellStyle name="40% - Accent3 4 6 5" xfId="12275"/>
    <cellStyle name="40% - Accent3 4 6 6" xfId="12268"/>
    <cellStyle name="40% - Accent3 4 7" xfId="2879"/>
    <cellStyle name="40% - Accent3 4 7 2" xfId="12277"/>
    <cellStyle name="40% - Accent3 4 7 2 2" xfId="12278"/>
    <cellStyle name="40% - Accent3 4 7 3" xfId="12279"/>
    <cellStyle name="40% - Accent3 4 7 3 2" xfId="12280"/>
    <cellStyle name="40% - Accent3 4 7 4" xfId="12281"/>
    <cellStyle name="40% - Accent3 4 7 4 2" xfId="12282"/>
    <cellStyle name="40% - Accent3 4 7 5" xfId="12283"/>
    <cellStyle name="40% - Accent3 4 7 6" xfId="12276"/>
    <cellStyle name="40% - Accent3 4 8" xfId="3250"/>
    <cellStyle name="40% - Accent3 4 8 2" xfId="12285"/>
    <cellStyle name="40% - Accent3 4 8 2 2" xfId="12286"/>
    <cellStyle name="40% - Accent3 4 8 3" xfId="12287"/>
    <cellStyle name="40% - Accent3 4 8 3 2" xfId="12288"/>
    <cellStyle name="40% - Accent3 4 8 4" xfId="12289"/>
    <cellStyle name="40% - Accent3 4 8 4 2" xfId="12290"/>
    <cellStyle name="40% - Accent3 4 8 5" xfId="12291"/>
    <cellStyle name="40% - Accent3 4 8 6" xfId="12284"/>
    <cellStyle name="40% - Accent3 4 9" xfId="3590"/>
    <cellStyle name="40% - Accent3 4 9 2" xfId="4554"/>
    <cellStyle name="40% - Accent3 4 9 2 2" xfId="12294"/>
    <cellStyle name="40% - Accent3 4 9 2 3" xfId="12293"/>
    <cellStyle name="40% - Accent3 4 9 3" xfId="12295"/>
    <cellStyle name="40% - Accent3 4 9 3 2" xfId="12296"/>
    <cellStyle name="40% - Accent3 4 9 4" xfId="12297"/>
    <cellStyle name="40% - Accent3 4 9 4 2" xfId="12298"/>
    <cellStyle name="40% - Accent3 4 9 5" xfId="12299"/>
    <cellStyle name="40% - Accent3 4 9 5 2" xfId="12300"/>
    <cellStyle name="40% - Accent3 4 9 6" xfId="12301"/>
    <cellStyle name="40% - Accent3 4 9 7" xfId="12292"/>
    <cellStyle name="40% - Accent3 5" xfId="391"/>
    <cellStyle name="40% - Accent3 5 10" xfId="12303"/>
    <cellStyle name="40% - Accent3 5 10 2" xfId="12304"/>
    <cellStyle name="40% - Accent3 5 10 2 2" xfId="12305"/>
    <cellStyle name="40% - Accent3 5 10 3" xfId="12306"/>
    <cellStyle name="40% - Accent3 5 10 3 2" xfId="12307"/>
    <cellStyle name="40% - Accent3 5 10 4" xfId="12308"/>
    <cellStyle name="40% - Accent3 5 11" xfId="12309"/>
    <cellStyle name="40% - Accent3 5 11 2" xfId="12310"/>
    <cellStyle name="40% - Accent3 5 11 2 2" xfId="12311"/>
    <cellStyle name="40% - Accent3 5 11 3" xfId="12312"/>
    <cellStyle name="40% - Accent3 5 11 3 2" xfId="12313"/>
    <cellStyle name="40% - Accent3 5 11 4" xfId="12314"/>
    <cellStyle name="40% - Accent3 5 12" xfId="12315"/>
    <cellStyle name="40% - Accent3 5 12 2" xfId="12316"/>
    <cellStyle name="40% - Accent3 5 12 2 2" xfId="12317"/>
    <cellStyle name="40% - Accent3 5 12 3" xfId="12318"/>
    <cellStyle name="40% - Accent3 5 12 3 2" xfId="12319"/>
    <cellStyle name="40% - Accent3 5 12 4" xfId="12320"/>
    <cellStyle name="40% - Accent3 5 13" xfId="12321"/>
    <cellStyle name="40% - Accent3 5 13 2" xfId="12322"/>
    <cellStyle name="40% - Accent3 5 13 2 2" xfId="12323"/>
    <cellStyle name="40% - Accent3 5 13 3" xfId="12324"/>
    <cellStyle name="40% - Accent3 5 13 3 2" xfId="12325"/>
    <cellStyle name="40% - Accent3 5 13 4" xfId="12326"/>
    <cellStyle name="40% - Accent3 5 14" xfId="12327"/>
    <cellStyle name="40% - Accent3 5 14 2" xfId="12328"/>
    <cellStyle name="40% - Accent3 5 15" xfId="12329"/>
    <cellStyle name="40% - Accent3 5 15 2" xfId="12330"/>
    <cellStyle name="40% - Accent3 5 16" xfId="12331"/>
    <cellStyle name="40% - Accent3 5 16 2" xfId="12332"/>
    <cellStyle name="40% - Accent3 5 17" xfId="12333"/>
    <cellStyle name="40% - Accent3 5 17 2" xfId="12334"/>
    <cellStyle name="40% - Accent3 5 18" xfId="12335"/>
    <cellStyle name="40% - Accent3 5 19" xfId="12302"/>
    <cellStyle name="40% - Accent3 5 2" xfId="1860"/>
    <cellStyle name="40% - Accent3 5 2 10" xfId="12337"/>
    <cellStyle name="40% - Accent3 5 2 10 2" xfId="12338"/>
    <cellStyle name="40% - Accent3 5 2 10 2 2" xfId="12339"/>
    <cellStyle name="40% - Accent3 5 2 10 3" xfId="12340"/>
    <cellStyle name="40% - Accent3 5 2 10 3 2" xfId="12341"/>
    <cellStyle name="40% - Accent3 5 2 10 4" xfId="12342"/>
    <cellStyle name="40% - Accent3 5 2 11" xfId="12343"/>
    <cellStyle name="40% - Accent3 5 2 11 2" xfId="12344"/>
    <cellStyle name="40% - Accent3 5 2 11 2 2" xfId="12345"/>
    <cellStyle name="40% - Accent3 5 2 11 3" xfId="12346"/>
    <cellStyle name="40% - Accent3 5 2 11 3 2" xfId="12347"/>
    <cellStyle name="40% - Accent3 5 2 11 4" xfId="12348"/>
    <cellStyle name="40% - Accent3 5 2 12" xfId="12349"/>
    <cellStyle name="40% - Accent3 5 2 12 2" xfId="12350"/>
    <cellStyle name="40% - Accent3 5 2 12 2 2" xfId="12351"/>
    <cellStyle name="40% - Accent3 5 2 12 3" xfId="12352"/>
    <cellStyle name="40% - Accent3 5 2 12 3 2" xfId="12353"/>
    <cellStyle name="40% - Accent3 5 2 12 4" xfId="12354"/>
    <cellStyle name="40% - Accent3 5 2 13" xfId="12355"/>
    <cellStyle name="40% - Accent3 5 2 13 2" xfId="12356"/>
    <cellStyle name="40% - Accent3 5 2 14" xfId="12357"/>
    <cellStyle name="40% - Accent3 5 2 14 2" xfId="12358"/>
    <cellStyle name="40% - Accent3 5 2 15" xfId="12359"/>
    <cellStyle name="40% - Accent3 5 2 15 2" xfId="12360"/>
    <cellStyle name="40% - Accent3 5 2 16" xfId="12361"/>
    <cellStyle name="40% - Accent3 5 2 17" xfId="12336"/>
    <cellStyle name="40% - Accent3 5 2 2" xfId="12362"/>
    <cellStyle name="40% - Accent3 5 2 2 2" xfId="12363"/>
    <cellStyle name="40% - Accent3 5 2 2 2 2" xfId="12364"/>
    <cellStyle name="40% - Accent3 5 2 2 3" xfId="12365"/>
    <cellStyle name="40% - Accent3 5 2 2 3 2" xfId="12366"/>
    <cellStyle name="40% - Accent3 5 2 2 4" xfId="12367"/>
    <cellStyle name="40% - Accent3 5 2 3" xfId="12368"/>
    <cellStyle name="40% - Accent3 5 2 3 2" xfId="12369"/>
    <cellStyle name="40% - Accent3 5 2 3 2 2" xfId="12370"/>
    <cellStyle name="40% - Accent3 5 2 3 3" xfId="12371"/>
    <cellStyle name="40% - Accent3 5 2 3 3 2" xfId="12372"/>
    <cellStyle name="40% - Accent3 5 2 3 4" xfId="12373"/>
    <cellStyle name="40% - Accent3 5 2 4" xfId="12374"/>
    <cellStyle name="40% - Accent3 5 2 4 2" xfId="12375"/>
    <cellStyle name="40% - Accent3 5 2 4 2 2" xfId="12376"/>
    <cellStyle name="40% - Accent3 5 2 4 3" xfId="12377"/>
    <cellStyle name="40% - Accent3 5 2 4 3 2" xfId="12378"/>
    <cellStyle name="40% - Accent3 5 2 4 4" xfId="12379"/>
    <cellStyle name="40% - Accent3 5 2 5" xfId="12380"/>
    <cellStyle name="40% - Accent3 5 2 5 2" xfId="12381"/>
    <cellStyle name="40% - Accent3 5 2 5 2 2" xfId="12382"/>
    <cellStyle name="40% - Accent3 5 2 5 3" xfId="12383"/>
    <cellStyle name="40% - Accent3 5 2 5 3 2" xfId="12384"/>
    <cellStyle name="40% - Accent3 5 2 5 4" xfId="12385"/>
    <cellStyle name="40% - Accent3 5 2 6" xfId="12386"/>
    <cellStyle name="40% - Accent3 5 2 6 2" xfId="12387"/>
    <cellStyle name="40% - Accent3 5 2 6 2 2" xfId="12388"/>
    <cellStyle name="40% - Accent3 5 2 6 3" xfId="12389"/>
    <cellStyle name="40% - Accent3 5 2 6 3 2" xfId="12390"/>
    <cellStyle name="40% - Accent3 5 2 6 4" xfId="12391"/>
    <cellStyle name="40% - Accent3 5 2 7" xfId="12392"/>
    <cellStyle name="40% - Accent3 5 2 7 2" xfId="12393"/>
    <cellStyle name="40% - Accent3 5 2 7 2 2" xfId="12394"/>
    <cellStyle name="40% - Accent3 5 2 7 3" xfId="12395"/>
    <cellStyle name="40% - Accent3 5 2 7 3 2" xfId="12396"/>
    <cellStyle name="40% - Accent3 5 2 7 4" xfId="12397"/>
    <cellStyle name="40% - Accent3 5 2 8" xfId="12398"/>
    <cellStyle name="40% - Accent3 5 2 8 2" xfId="12399"/>
    <cellStyle name="40% - Accent3 5 2 8 2 2" xfId="12400"/>
    <cellStyle name="40% - Accent3 5 2 8 3" xfId="12401"/>
    <cellStyle name="40% - Accent3 5 2 8 3 2" xfId="12402"/>
    <cellStyle name="40% - Accent3 5 2 8 4" xfId="12403"/>
    <cellStyle name="40% - Accent3 5 2 9" xfId="12404"/>
    <cellStyle name="40% - Accent3 5 2 9 2" xfId="12405"/>
    <cellStyle name="40% - Accent3 5 2 9 2 2" xfId="12406"/>
    <cellStyle name="40% - Accent3 5 2 9 3" xfId="12407"/>
    <cellStyle name="40% - Accent3 5 2 9 3 2" xfId="12408"/>
    <cellStyle name="40% - Accent3 5 2 9 4" xfId="12409"/>
    <cellStyle name="40% - Accent3 5 3" xfId="2235"/>
    <cellStyle name="40% - Accent3 5 3 2" xfId="12411"/>
    <cellStyle name="40% - Accent3 5 3 2 2" xfId="12412"/>
    <cellStyle name="40% - Accent3 5 3 3" xfId="12413"/>
    <cellStyle name="40% - Accent3 5 3 3 2" xfId="12414"/>
    <cellStyle name="40% - Accent3 5 3 4" xfId="12415"/>
    <cellStyle name="40% - Accent3 5 3 4 2" xfId="12416"/>
    <cellStyle name="40% - Accent3 5 3 5" xfId="12417"/>
    <cellStyle name="40% - Accent3 5 3 6" xfId="12410"/>
    <cellStyle name="40% - Accent3 5 4" xfId="2609"/>
    <cellStyle name="40% - Accent3 5 4 2" xfId="12419"/>
    <cellStyle name="40% - Accent3 5 4 2 2" xfId="12420"/>
    <cellStyle name="40% - Accent3 5 4 3" xfId="12421"/>
    <cellStyle name="40% - Accent3 5 4 3 2" xfId="12422"/>
    <cellStyle name="40% - Accent3 5 4 4" xfId="12423"/>
    <cellStyle name="40% - Accent3 5 4 4 2" xfId="12424"/>
    <cellStyle name="40% - Accent3 5 4 5" xfId="12425"/>
    <cellStyle name="40% - Accent3 5 4 6" xfId="12418"/>
    <cellStyle name="40% - Accent3 5 5" xfId="2981"/>
    <cellStyle name="40% - Accent3 5 5 2" xfId="12427"/>
    <cellStyle name="40% - Accent3 5 5 2 2" xfId="12428"/>
    <cellStyle name="40% - Accent3 5 5 3" xfId="12429"/>
    <cellStyle name="40% - Accent3 5 5 3 2" xfId="12430"/>
    <cellStyle name="40% - Accent3 5 5 4" xfId="12431"/>
    <cellStyle name="40% - Accent3 5 5 4 2" xfId="12432"/>
    <cellStyle name="40% - Accent3 5 5 5" xfId="12433"/>
    <cellStyle name="40% - Accent3 5 5 6" xfId="12426"/>
    <cellStyle name="40% - Accent3 5 6" xfId="3353"/>
    <cellStyle name="40% - Accent3 5 6 2" xfId="12435"/>
    <cellStyle name="40% - Accent3 5 6 2 2" xfId="12436"/>
    <cellStyle name="40% - Accent3 5 6 3" xfId="12437"/>
    <cellStyle name="40% - Accent3 5 6 3 2" xfId="12438"/>
    <cellStyle name="40% - Accent3 5 6 4" xfId="12439"/>
    <cellStyle name="40% - Accent3 5 6 4 2" xfId="12440"/>
    <cellStyle name="40% - Accent3 5 6 5" xfId="12441"/>
    <cellStyle name="40% - Accent3 5 6 6" xfId="12434"/>
    <cellStyle name="40% - Accent3 5 7" xfId="4555"/>
    <cellStyle name="40% - Accent3 5 7 2" xfId="12443"/>
    <cellStyle name="40% - Accent3 5 7 2 2" xfId="12444"/>
    <cellStyle name="40% - Accent3 5 7 3" xfId="12445"/>
    <cellStyle name="40% - Accent3 5 7 3 2" xfId="12446"/>
    <cellStyle name="40% - Accent3 5 7 4" xfId="12447"/>
    <cellStyle name="40% - Accent3 5 7 5" xfId="12442"/>
    <cellStyle name="40% - Accent3 5 8" xfId="12448"/>
    <cellStyle name="40% - Accent3 5 8 2" xfId="12449"/>
    <cellStyle name="40% - Accent3 5 8 2 2" xfId="12450"/>
    <cellStyle name="40% - Accent3 5 8 3" xfId="12451"/>
    <cellStyle name="40% - Accent3 5 8 3 2" xfId="12452"/>
    <cellStyle name="40% - Accent3 5 8 4" xfId="12453"/>
    <cellStyle name="40% - Accent3 5 9" xfId="12454"/>
    <cellStyle name="40% - Accent3 5 9 2" xfId="12455"/>
    <cellStyle name="40% - Accent3 5 9 2 2" xfId="12456"/>
    <cellStyle name="40% - Accent3 5 9 3" xfId="12457"/>
    <cellStyle name="40% - Accent3 5 9 3 2" xfId="12458"/>
    <cellStyle name="40% - Accent3 5 9 4" xfId="12459"/>
    <cellStyle name="40% - Accent3 6" xfId="392"/>
    <cellStyle name="40% - Accent3 6 10" xfId="5404"/>
    <cellStyle name="40% - Accent3 6 10 2" xfId="6325"/>
    <cellStyle name="40% - Accent3 6 10 2 2" xfId="12463"/>
    <cellStyle name="40% - Accent3 6 10 2 3" xfId="12462"/>
    <cellStyle name="40% - Accent3 6 10 2 4" xfId="26407"/>
    <cellStyle name="40% - Accent3 6 10 3" xfId="12464"/>
    <cellStyle name="40% - Accent3 6 10 3 2" xfId="12465"/>
    <cellStyle name="40% - Accent3 6 10 4" xfId="12466"/>
    <cellStyle name="40% - Accent3 6 10 5" xfId="12461"/>
    <cellStyle name="40% - Accent3 6 10 6" xfId="26406"/>
    <cellStyle name="40% - Accent3 6 11" xfId="5714"/>
    <cellStyle name="40% - Accent3 6 11 2" xfId="6326"/>
    <cellStyle name="40% - Accent3 6 11 2 2" xfId="12469"/>
    <cellStyle name="40% - Accent3 6 11 2 3" xfId="12468"/>
    <cellStyle name="40% - Accent3 6 11 2 4" xfId="26409"/>
    <cellStyle name="40% - Accent3 6 11 3" xfId="12470"/>
    <cellStyle name="40% - Accent3 6 11 3 2" xfId="12471"/>
    <cellStyle name="40% - Accent3 6 11 4" xfId="12472"/>
    <cellStyle name="40% - Accent3 6 11 5" xfId="12467"/>
    <cellStyle name="40% - Accent3 6 11 6" xfId="26408"/>
    <cellStyle name="40% - Accent3 6 12" xfId="4556"/>
    <cellStyle name="40% - Accent3 6 12 2" xfId="6327"/>
    <cellStyle name="40% - Accent3 6 12 2 2" xfId="12475"/>
    <cellStyle name="40% - Accent3 6 12 2 3" xfId="12474"/>
    <cellStyle name="40% - Accent3 6 12 2 4" xfId="26411"/>
    <cellStyle name="40% - Accent3 6 12 3" xfId="12476"/>
    <cellStyle name="40% - Accent3 6 12 3 2" xfId="12477"/>
    <cellStyle name="40% - Accent3 6 12 4" xfId="12478"/>
    <cellStyle name="40% - Accent3 6 12 5" xfId="12473"/>
    <cellStyle name="40% - Accent3 6 12 6" xfId="26410"/>
    <cellStyle name="40% - Accent3 6 13" xfId="6324"/>
    <cellStyle name="40% - Accent3 6 13 2" xfId="12480"/>
    <cellStyle name="40% - Accent3 6 13 3" xfId="12479"/>
    <cellStyle name="40% - Accent3 6 13 4" xfId="26412"/>
    <cellStyle name="40% - Accent3 6 14" xfId="12481"/>
    <cellStyle name="40% - Accent3 6 14 2" xfId="12482"/>
    <cellStyle name="40% - Accent3 6 15" xfId="12483"/>
    <cellStyle name="40% - Accent3 6 15 2" xfId="12484"/>
    <cellStyle name="40% - Accent3 6 16" xfId="12485"/>
    <cellStyle name="40% - Accent3 6 16 2" xfId="12486"/>
    <cellStyle name="40% - Accent3 6 16 2 2" xfId="12487"/>
    <cellStyle name="40% - Accent3 6 16 3" xfId="12488"/>
    <cellStyle name="40% - Accent3 6 16 3 2" xfId="12489"/>
    <cellStyle name="40% - Accent3 6 16 4" xfId="12490"/>
    <cellStyle name="40% - Accent3 6 17" xfId="12491"/>
    <cellStyle name="40% - Accent3 6 17 2" xfId="12492"/>
    <cellStyle name="40% - Accent3 6 18" xfId="12493"/>
    <cellStyle name="40% - Accent3 6 18 2" xfId="12494"/>
    <cellStyle name="40% - Accent3 6 19" xfId="12495"/>
    <cellStyle name="40% - Accent3 6 2" xfId="1977"/>
    <cellStyle name="40% - Accent3 6 2 2" xfId="4557"/>
    <cellStyle name="40% - Accent3 6 2 2 2" xfId="12498"/>
    <cellStyle name="40% - Accent3 6 2 2 3" xfId="12497"/>
    <cellStyle name="40% - Accent3 6 2 3" xfId="12499"/>
    <cellStyle name="40% - Accent3 6 2 3 2" xfId="12500"/>
    <cellStyle name="40% - Accent3 6 2 4" xfId="12501"/>
    <cellStyle name="40% - Accent3 6 2 4 2" xfId="12502"/>
    <cellStyle name="40% - Accent3 6 2 5" xfId="12503"/>
    <cellStyle name="40% - Accent3 6 2 5 2" xfId="12504"/>
    <cellStyle name="40% - Accent3 6 2 6" xfId="12505"/>
    <cellStyle name="40% - Accent3 6 2 7" xfId="12496"/>
    <cellStyle name="40% - Accent3 6 20" xfId="12460"/>
    <cellStyle name="40% - Accent3 6 21" xfId="24839"/>
    <cellStyle name="40% - Accent3 6 22" xfId="26405"/>
    <cellStyle name="40% - Accent3 6 3" xfId="2352"/>
    <cellStyle name="40% - Accent3 6 3 2" xfId="4558"/>
    <cellStyle name="40% - Accent3 6 3 2 2" xfId="12508"/>
    <cellStyle name="40% - Accent3 6 3 2 3" xfId="12507"/>
    <cellStyle name="40% - Accent3 6 3 3" xfId="12509"/>
    <cellStyle name="40% - Accent3 6 3 3 2" xfId="12510"/>
    <cellStyle name="40% - Accent3 6 3 4" xfId="12511"/>
    <cellStyle name="40% - Accent3 6 3 4 2" xfId="12512"/>
    <cellStyle name="40% - Accent3 6 3 5" xfId="12513"/>
    <cellStyle name="40% - Accent3 6 3 5 2" xfId="12514"/>
    <cellStyle name="40% - Accent3 6 3 6" xfId="12515"/>
    <cellStyle name="40% - Accent3 6 3 7" xfId="12506"/>
    <cellStyle name="40% - Accent3 6 4" xfId="2725"/>
    <cellStyle name="40% - Accent3 6 4 2" xfId="4559"/>
    <cellStyle name="40% - Accent3 6 4 2 2" xfId="12518"/>
    <cellStyle name="40% - Accent3 6 4 2 3" xfId="12517"/>
    <cellStyle name="40% - Accent3 6 4 3" xfId="12519"/>
    <cellStyle name="40% - Accent3 6 4 3 2" xfId="12520"/>
    <cellStyle name="40% - Accent3 6 4 4" xfId="12521"/>
    <cellStyle name="40% - Accent3 6 4 4 2" xfId="12522"/>
    <cellStyle name="40% - Accent3 6 4 5" xfId="12523"/>
    <cellStyle name="40% - Accent3 6 4 5 2" xfId="12524"/>
    <cellStyle name="40% - Accent3 6 4 6" xfId="12525"/>
    <cellStyle name="40% - Accent3 6 4 7" xfId="12516"/>
    <cellStyle name="40% - Accent3 6 5" xfId="3098"/>
    <cellStyle name="40% - Accent3 6 5 2" xfId="4560"/>
    <cellStyle name="40% - Accent3 6 5 2 2" xfId="12528"/>
    <cellStyle name="40% - Accent3 6 5 2 3" xfId="12527"/>
    <cellStyle name="40% - Accent3 6 5 3" xfId="12529"/>
    <cellStyle name="40% - Accent3 6 5 3 2" xfId="12530"/>
    <cellStyle name="40% - Accent3 6 5 4" xfId="12531"/>
    <cellStyle name="40% - Accent3 6 5 4 2" xfId="12532"/>
    <cellStyle name="40% - Accent3 6 5 5" xfId="12533"/>
    <cellStyle name="40% - Accent3 6 5 5 2" xfId="12534"/>
    <cellStyle name="40% - Accent3 6 5 6" xfId="12535"/>
    <cellStyle name="40% - Accent3 6 5 7" xfId="12526"/>
    <cellStyle name="40% - Accent3 6 6" xfId="3469"/>
    <cellStyle name="40% - Accent3 6 6 2" xfId="4561"/>
    <cellStyle name="40% - Accent3 6 6 2 2" xfId="12538"/>
    <cellStyle name="40% - Accent3 6 6 2 3" xfId="12537"/>
    <cellStyle name="40% - Accent3 6 6 3" xfId="12539"/>
    <cellStyle name="40% - Accent3 6 6 3 2" xfId="12540"/>
    <cellStyle name="40% - Accent3 6 6 4" xfId="12541"/>
    <cellStyle name="40% - Accent3 6 6 4 2" xfId="12542"/>
    <cellStyle name="40% - Accent3 6 6 5" xfId="12543"/>
    <cellStyle name="40% - Accent3 6 6 5 2" xfId="12544"/>
    <cellStyle name="40% - Accent3 6 6 6" xfId="12545"/>
    <cellStyle name="40% - Accent3 6 6 7" xfId="12536"/>
    <cellStyle name="40% - Accent3 6 7" xfId="3775"/>
    <cellStyle name="40% - Accent3 6 7 2" xfId="4562"/>
    <cellStyle name="40% - Accent3 6 7 2 2" xfId="12548"/>
    <cellStyle name="40% - Accent3 6 7 2 3" xfId="12547"/>
    <cellStyle name="40% - Accent3 6 7 3" xfId="12549"/>
    <cellStyle name="40% - Accent3 6 7 3 2" xfId="12550"/>
    <cellStyle name="40% - Accent3 6 7 4" xfId="12551"/>
    <cellStyle name="40% - Accent3 6 7 4 2" xfId="12552"/>
    <cellStyle name="40% - Accent3 6 7 5" xfId="12553"/>
    <cellStyle name="40% - Accent3 6 7 5 2" xfId="12554"/>
    <cellStyle name="40% - Accent3 6 7 6" xfId="12555"/>
    <cellStyle name="40% - Accent3 6 7 7" xfId="12546"/>
    <cellStyle name="40% - Accent3 6 8" xfId="1359"/>
    <cellStyle name="40% - Accent3 6 8 10" xfId="24891"/>
    <cellStyle name="40% - Accent3 6 8 11" xfId="26413"/>
    <cellStyle name="40% - Accent3 6 8 2" xfId="4159"/>
    <cellStyle name="40% - Accent3 6 8 2 2" xfId="5406"/>
    <cellStyle name="40% - Accent3 6 8 2 2 2" xfId="6330"/>
    <cellStyle name="40% - Accent3 6 8 2 2 2 2" xfId="12559"/>
    <cellStyle name="40% - Accent3 6 8 2 2 2 3" xfId="26416"/>
    <cellStyle name="40% - Accent3 6 8 2 2 3" xfId="12558"/>
    <cellStyle name="40% - Accent3 6 8 2 2 4" xfId="26415"/>
    <cellStyle name="40% - Accent3 6 8 2 3" xfId="5716"/>
    <cellStyle name="40% - Accent3 6 8 2 3 2" xfId="6331"/>
    <cellStyle name="40% - Accent3 6 8 2 3 2 2" xfId="26418"/>
    <cellStyle name="40% - Accent3 6 8 2 3 3" xfId="12560"/>
    <cellStyle name="40% - Accent3 6 8 2 3 4" xfId="26417"/>
    <cellStyle name="40% - Accent3 6 8 2 4" xfId="4564"/>
    <cellStyle name="40% - Accent3 6 8 2 4 2" xfId="6332"/>
    <cellStyle name="40% - Accent3 6 8 2 4 2 2" xfId="26420"/>
    <cellStyle name="40% - Accent3 6 8 2 4 3" xfId="26419"/>
    <cellStyle name="40% - Accent3 6 8 2 5" xfId="6329"/>
    <cellStyle name="40% - Accent3 6 8 2 5 2" xfId="26421"/>
    <cellStyle name="40% - Accent3 6 8 2 6" xfId="12557"/>
    <cellStyle name="40% - Accent3 6 8 2 7" xfId="25011"/>
    <cellStyle name="40% - Accent3 6 8 2 8" xfId="26414"/>
    <cellStyle name="40% - Accent3 6 8 3" xfId="5405"/>
    <cellStyle name="40% - Accent3 6 8 3 2" xfId="6333"/>
    <cellStyle name="40% - Accent3 6 8 3 2 2" xfId="12562"/>
    <cellStyle name="40% - Accent3 6 8 3 2 3" xfId="26423"/>
    <cellStyle name="40% - Accent3 6 8 3 3" xfId="12561"/>
    <cellStyle name="40% - Accent3 6 8 3 4" xfId="26422"/>
    <cellStyle name="40% - Accent3 6 8 4" xfId="5715"/>
    <cellStyle name="40% - Accent3 6 8 4 2" xfId="6334"/>
    <cellStyle name="40% - Accent3 6 8 4 2 2" xfId="12564"/>
    <cellStyle name="40% - Accent3 6 8 4 2 3" xfId="26425"/>
    <cellStyle name="40% - Accent3 6 8 4 3" xfId="12563"/>
    <cellStyle name="40% - Accent3 6 8 4 4" xfId="26424"/>
    <cellStyle name="40% - Accent3 6 8 5" xfId="4563"/>
    <cellStyle name="40% - Accent3 6 8 5 2" xfId="6335"/>
    <cellStyle name="40% - Accent3 6 8 5 2 2" xfId="12567"/>
    <cellStyle name="40% - Accent3 6 8 5 2 3" xfId="12566"/>
    <cellStyle name="40% - Accent3 6 8 5 2 4" xfId="26427"/>
    <cellStyle name="40% - Accent3 6 8 5 3" xfId="12568"/>
    <cellStyle name="40% - Accent3 6 8 5 3 2" xfId="12569"/>
    <cellStyle name="40% - Accent3 6 8 5 4" xfId="12570"/>
    <cellStyle name="40% - Accent3 6 8 5 5" xfId="12565"/>
    <cellStyle name="40% - Accent3 6 8 5 6" xfId="26426"/>
    <cellStyle name="40% - Accent3 6 8 6" xfId="6328"/>
    <cellStyle name="40% - Accent3 6 8 6 2" xfId="12572"/>
    <cellStyle name="40% - Accent3 6 8 6 3" xfId="12571"/>
    <cellStyle name="40% - Accent3 6 8 6 4" xfId="26428"/>
    <cellStyle name="40% - Accent3 6 8 7" xfId="12573"/>
    <cellStyle name="40% - Accent3 6 8 7 2" xfId="12574"/>
    <cellStyle name="40% - Accent3 6 8 8" xfId="12575"/>
    <cellStyle name="40% - Accent3 6 8 9" xfId="12556"/>
    <cellStyle name="40% - Accent3 6 9" xfId="3825"/>
    <cellStyle name="40% - Accent3 6 9 2" xfId="5407"/>
    <cellStyle name="40% - Accent3 6 9 2 2" xfId="6337"/>
    <cellStyle name="40% - Accent3 6 9 2 2 2" xfId="12578"/>
    <cellStyle name="40% - Accent3 6 9 2 2 3" xfId="26431"/>
    <cellStyle name="40% - Accent3 6 9 2 3" xfId="12577"/>
    <cellStyle name="40% - Accent3 6 9 2 4" xfId="26430"/>
    <cellStyle name="40% - Accent3 6 9 3" xfId="5717"/>
    <cellStyle name="40% - Accent3 6 9 3 2" xfId="6338"/>
    <cellStyle name="40% - Accent3 6 9 3 2 2" xfId="12580"/>
    <cellStyle name="40% - Accent3 6 9 3 2 3" xfId="26433"/>
    <cellStyle name="40% - Accent3 6 9 3 3" xfId="12579"/>
    <cellStyle name="40% - Accent3 6 9 3 4" xfId="26432"/>
    <cellStyle name="40% - Accent3 6 9 4" xfId="4565"/>
    <cellStyle name="40% - Accent3 6 9 4 2" xfId="6339"/>
    <cellStyle name="40% - Accent3 6 9 4 2 2" xfId="12582"/>
    <cellStyle name="40% - Accent3 6 9 4 2 3" xfId="26435"/>
    <cellStyle name="40% - Accent3 6 9 4 3" xfId="12581"/>
    <cellStyle name="40% - Accent3 6 9 4 4" xfId="26434"/>
    <cellStyle name="40% - Accent3 6 9 5" xfId="6336"/>
    <cellStyle name="40% - Accent3 6 9 5 2" xfId="12583"/>
    <cellStyle name="40% - Accent3 6 9 5 3" xfId="26436"/>
    <cellStyle name="40% - Accent3 6 9 6" xfId="12576"/>
    <cellStyle name="40% - Accent3 6 9 7" xfId="24961"/>
    <cellStyle name="40% - Accent3 6 9 8" xfId="26429"/>
    <cellStyle name="40% - Accent3 7" xfId="393"/>
    <cellStyle name="40% - Accent3 7 10" xfId="12585"/>
    <cellStyle name="40% - Accent3 7 10 2" xfId="12586"/>
    <cellStyle name="40% - Accent3 7 10 2 2" xfId="12587"/>
    <cellStyle name="40% - Accent3 7 10 3" xfId="12588"/>
    <cellStyle name="40% - Accent3 7 10 3 2" xfId="12589"/>
    <cellStyle name="40% - Accent3 7 10 4" xfId="12590"/>
    <cellStyle name="40% - Accent3 7 11" xfId="12591"/>
    <cellStyle name="40% - Accent3 7 11 2" xfId="12592"/>
    <cellStyle name="40% - Accent3 7 11 2 2" xfId="12593"/>
    <cellStyle name="40% - Accent3 7 11 3" xfId="12594"/>
    <cellStyle name="40% - Accent3 7 11 3 2" xfId="12595"/>
    <cellStyle name="40% - Accent3 7 11 4" xfId="12596"/>
    <cellStyle name="40% - Accent3 7 12" xfId="12597"/>
    <cellStyle name="40% - Accent3 7 12 2" xfId="12598"/>
    <cellStyle name="40% - Accent3 7 12 2 2" xfId="12599"/>
    <cellStyle name="40% - Accent3 7 12 3" xfId="12600"/>
    <cellStyle name="40% - Accent3 7 12 3 2" xfId="12601"/>
    <cellStyle name="40% - Accent3 7 12 4" xfId="12602"/>
    <cellStyle name="40% - Accent3 7 13" xfId="12603"/>
    <cellStyle name="40% - Accent3 7 13 2" xfId="12604"/>
    <cellStyle name="40% - Accent3 7 14" xfId="12605"/>
    <cellStyle name="40% - Accent3 7 14 2" xfId="12606"/>
    <cellStyle name="40% - Accent3 7 15" xfId="12607"/>
    <cellStyle name="40% - Accent3 7 15 2" xfId="12608"/>
    <cellStyle name="40% - Accent3 7 16" xfId="12609"/>
    <cellStyle name="40% - Accent3 7 16 2" xfId="12610"/>
    <cellStyle name="40% - Accent3 7 17" xfId="12611"/>
    <cellStyle name="40% - Accent3 7 18" xfId="12584"/>
    <cellStyle name="40% - Accent3 7 2" xfId="4566"/>
    <cellStyle name="40% - Accent3 7 2 2" xfId="12613"/>
    <cellStyle name="40% - Accent3 7 2 2 2" xfId="12614"/>
    <cellStyle name="40% - Accent3 7 2 3" xfId="12615"/>
    <cellStyle name="40% - Accent3 7 2 3 2" xfId="12616"/>
    <cellStyle name="40% - Accent3 7 2 4" xfId="12617"/>
    <cellStyle name="40% - Accent3 7 2 5" xfId="12612"/>
    <cellStyle name="40% - Accent3 7 3" xfId="12618"/>
    <cellStyle name="40% - Accent3 7 3 2" xfId="12619"/>
    <cellStyle name="40% - Accent3 7 3 2 2" xfId="12620"/>
    <cellStyle name="40% - Accent3 7 3 3" xfId="12621"/>
    <cellStyle name="40% - Accent3 7 3 3 2" xfId="12622"/>
    <cellStyle name="40% - Accent3 7 3 4" xfId="12623"/>
    <cellStyle name="40% - Accent3 7 4" xfId="12624"/>
    <cellStyle name="40% - Accent3 7 4 2" xfId="12625"/>
    <cellStyle name="40% - Accent3 7 4 2 2" xfId="12626"/>
    <cellStyle name="40% - Accent3 7 4 3" xfId="12627"/>
    <cellStyle name="40% - Accent3 7 4 3 2" xfId="12628"/>
    <cellStyle name="40% - Accent3 7 4 4" xfId="12629"/>
    <cellStyle name="40% - Accent3 7 5" xfId="12630"/>
    <cellStyle name="40% - Accent3 7 5 2" xfId="12631"/>
    <cellStyle name="40% - Accent3 7 5 2 2" xfId="12632"/>
    <cellStyle name="40% - Accent3 7 5 3" xfId="12633"/>
    <cellStyle name="40% - Accent3 7 5 3 2" xfId="12634"/>
    <cellStyle name="40% - Accent3 7 5 4" xfId="12635"/>
    <cellStyle name="40% - Accent3 7 6" xfId="12636"/>
    <cellStyle name="40% - Accent3 7 6 2" xfId="12637"/>
    <cellStyle name="40% - Accent3 7 6 2 2" xfId="12638"/>
    <cellStyle name="40% - Accent3 7 6 3" xfId="12639"/>
    <cellStyle name="40% - Accent3 7 6 3 2" xfId="12640"/>
    <cellStyle name="40% - Accent3 7 6 4" xfId="12641"/>
    <cellStyle name="40% - Accent3 7 7" xfId="12642"/>
    <cellStyle name="40% - Accent3 7 7 2" xfId="12643"/>
    <cellStyle name="40% - Accent3 7 7 2 2" xfId="12644"/>
    <cellStyle name="40% - Accent3 7 7 3" xfId="12645"/>
    <cellStyle name="40% - Accent3 7 7 3 2" xfId="12646"/>
    <cellStyle name="40% - Accent3 7 7 4" xfId="12647"/>
    <cellStyle name="40% - Accent3 7 8" xfId="12648"/>
    <cellStyle name="40% - Accent3 7 8 2" xfId="12649"/>
    <cellStyle name="40% - Accent3 7 8 2 2" xfId="12650"/>
    <cellStyle name="40% - Accent3 7 8 3" xfId="12651"/>
    <cellStyle name="40% - Accent3 7 8 3 2" xfId="12652"/>
    <cellStyle name="40% - Accent3 7 8 4" xfId="12653"/>
    <cellStyle name="40% - Accent3 7 9" xfId="12654"/>
    <cellStyle name="40% - Accent3 7 9 2" xfId="12655"/>
    <cellStyle name="40% - Accent3 7 9 2 2" xfId="12656"/>
    <cellStyle name="40% - Accent3 7 9 3" xfId="12657"/>
    <cellStyle name="40% - Accent3 7 9 3 2" xfId="12658"/>
    <cellStyle name="40% - Accent3 7 9 4" xfId="12659"/>
    <cellStyle name="40% - Accent3 8" xfId="544"/>
    <cellStyle name="40% - Accent3 8 10" xfId="12660"/>
    <cellStyle name="40% - Accent3 8 11" xfId="24853"/>
    <cellStyle name="40% - Accent3 8 12" xfId="26437"/>
    <cellStyle name="40% - Accent3 8 2" xfId="1377"/>
    <cellStyle name="40% - Accent3 8 2 10" xfId="24909"/>
    <cellStyle name="40% - Accent3 8 2 11" xfId="26438"/>
    <cellStyle name="40% - Accent3 8 2 2" xfId="4177"/>
    <cellStyle name="40% - Accent3 8 2 2 2" xfId="5410"/>
    <cellStyle name="40% - Accent3 8 2 2 2 2" xfId="6343"/>
    <cellStyle name="40% - Accent3 8 2 2 2 2 2" xfId="12664"/>
    <cellStyle name="40% - Accent3 8 2 2 2 2 3" xfId="26441"/>
    <cellStyle name="40% - Accent3 8 2 2 2 3" xfId="12663"/>
    <cellStyle name="40% - Accent3 8 2 2 2 4" xfId="26440"/>
    <cellStyle name="40% - Accent3 8 2 2 3" xfId="5720"/>
    <cellStyle name="40% - Accent3 8 2 2 3 2" xfId="6344"/>
    <cellStyle name="40% - Accent3 8 2 2 3 2 2" xfId="26443"/>
    <cellStyle name="40% - Accent3 8 2 2 3 3" xfId="12665"/>
    <cellStyle name="40% - Accent3 8 2 2 3 4" xfId="26442"/>
    <cellStyle name="40% - Accent3 8 2 2 4" xfId="4569"/>
    <cellStyle name="40% - Accent3 8 2 2 4 2" xfId="6345"/>
    <cellStyle name="40% - Accent3 8 2 2 4 2 2" xfId="26445"/>
    <cellStyle name="40% - Accent3 8 2 2 4 3" xfId="26444"/>
    <cellStyle name="40% - Accent3 8 2 2 5" xfId="6342"/>
    <cellStyle name="40% - Accent3 8 2 2 5 2" xfId="26446"/>
    <cellStyle name="40% - Accent3 8 2 2 6" xfId="12662"/>
    <cellStyle name="40% - Accent3 8 2 2 7" xfId="25029"/>
    <cellStyle name="40% - Accent3 8 2 2 8" xfId="26439"/>
    <cellStyle name="40% - Accent3 8 2 3" xfId="5409"/>
    <cellStyle name="40% - Accent3 8 2 3 2" xfId="6346"/>
    <cellStyle name="40% - Accent3 8 2 3 2 2" xfId="12667"/>
    <cellStyle name="40% - Accent3 8 2 3 2 3" xfId="26448"/>
    <cellStyle name="40% - Accent3 8 2 3 3" xfId="12666"/>
    <cellStyle name="40% - Accent3 8 2 3 4" xfId="26447"/>
    <cellStyle name="40% - Accent3 8 2 4" xfId="5719"/>
    <cellStyle name="40% - Accent3 8 2 4 2" xfId="6347"/>
    <cellStyle name="40% - Accent3 8 2 4 2 2" xfId="12669"/>
    <cellStyle name="40% - Accent3 8 2 4 2 3" xfId="26450"/>
    <cellStyle name="40% - Accent3 8 2 4 3" xfId="12668"/>
    <cellStyle name="40% - Accent3 8 2 4 4" xfId="26449"/>
    <cellStyle name="40% - Accent3 8 2 5" xfId="4568"/>
    <cellStyle name="40% - Accent3 8 2 5 2" xfId="6348"/>
    <cellStyle name="40% - Accent3 8 2 5 2 2" xfId="12672"/>
    <cellStyle name="40% - Accent3 8 2 5 2 3" xfId="12671"/>
    <cellStyle name="40% - Accent3 8 2 5 2 4" xfId="26452"/>
    <cellStyle name="40% - Accent3 8 2 5 3" xfId="12673"/>
    <cellStyle name="40% - Accent3 8 2 5 3 2" xfId="12674"/>
    <cellStyle name="40% - Accent3 8 2 5 4" xfId="12675"/>
    <cellStyle name="40% - Accent3 8 2 5 5" xfId="12670"/>
    <cellStyle name="40% - Accent3 8 2 5 6" xfId="26451"/>
    <cellStyle name="40% - Accent3 8 2 6" xfId="6341"/>
    <cellStyle name="40% - Accent3 8 2 6 2" xfId="12677"/>
    <cellStyle name="40% - Accent3 8 2 6 3" xfId="12676"/>
    <cellStyle name="40% - Accent3 8 2 6 4" xfId="26453"/>
    <cellStyle name="40% - Accent3 8 2 7" xfId="12678"/>
    <cellStyle name="40% - Accent3 8 2 7 2" xfId="12679"/>
    <cellStyle name="40% - Accent3 8 2 8" xfId="12680"/>
    <cellStyle name="40% - Accent3 8 2 9" xfId="12661"/>
    <cellStyle name="40% - Accent3 8 3" xfId="3839"/>
    <cellStyle name="40% - Accent3 8 3 2" xfId="5411"/>
    <cellStyle name="40% - Accent3 8 3 2 2" xfId="6350"/>
    <cellStyle name="40% - Accent3 8 3 2 2 2" xfId="12683"/>
    <cellStyle name="40% - Accent3 8 3 2 2 3" xfId="26456"/>
    <cellStyle name="40% - Accent3 8 3 2 3" xfId="12682"/>
    <cellStyle name="40% - Accent3 8 3 2 4" xfId="26455"/>
    <cellStyle name="40% - Accent3 8 3 3" xfId="5721"/>
    <cellStyle name="40% - Accent3 8 3 3 2" xfId="6351"/>
    <cellStyle name="40% - Accent3 8 3 3 2 2" xfId="26458"/>
    <cellStyle name="40% - Accent3 8 3 3 3" xfId="12684"/>
    <cellStyle name="40% - Accent3 8 3 3 4" xfId="26457"/>
    <cellStyle name="40% - Accent3 8 3 4" xfId="4570"/>
    <cellStyle name="40% - Accent3 8 3 4 2" xfId="6352"/>
    <cellStyle name="40% - Accent3 8 3 4 2 2" xfId="26460"/>
    <cellStyle name="40% - Accent3 8 3 4 3" xfId="26459"/>
    <cellStyle name="40% - Accent3 8 3 5" xfId="6349"/>
    <cellStyle name="40% - Accent3 8 3 5 2" xfId="26461"/>
    <cellStyle name="40% - Accent3 8 3 6" xfId="12681"/>
    <cellStyle name="40% - Accent3 8 3 7" xfId="24975"/>
    <cellStyle name="40% - Accent3 8 3 8" xfId="26454"/>
    <cellStyle name="40% - Accent3 8 4" xfId="5408"/>
    <cellStyle name="40% - Accent3 8 4 2" xfId="6353"/>
    <cellStyle name="40% - Accent3 8 4 2 2" xfId="12686"/>
    <cellStyle name="40% - Accent3 8 4 2 3" xfId="26463"/>
    <cellStyle name="40% - Accent3 8 4 3" xfId="12685"/>
    <cellStyle name="40% - Accent3 8 4 4" xfId="26462"/>
    <cellStyle name="40% - Accent3 8 5" xfId="5718"/>
    <cellStyle name="40% - Accent3 8 5 2" xfId="6354"/>
    <cellStyle name="40% - Accent3 8 5 2 2" xfId="12688"/>
    <cellStyle name="40% - Accent3 8 5 2 3" xfId="26465"/>
    <cellStyle name="40% - Accent3 8 5 3" xfId="12687"/>
    <cellStyle name="40% - Accent3 8 5 4" xfId="26464"/>
    <cellStyle name="40% - Accent3 8 6" xfId="4567"/>
    <cellStyle name="40% - Accent3 8 6 2" xfId="6355"/>
    <cellStyle name="40% - Accent3 8 6 2 2" xfId="12691"/>
    <cellStyle name="40% - Accent3 8 6 2 3" xfId="12690"/>
    <cellStyle name="40% - Accent3 8 6 2 4" xfId="26467"/>
    <cellStyle name="40% - Accent3 8 6 3" xfId="12692"/>
    <cellStyle name="40% - Accent3 8 6 3 2" xfId="12693"/>
    <cellStyle name="40% - Accent3 8 6 4" xfId="12694"/>
    <cellStyle name="40% - Accent3 8 6 5" xfId="12689"/>
    <cellStyle name="40% - Accent3 8 6 6" xfId="26466"/>
    <cellStyle name="40% - Accent3 8 7" xfId="6340"/>
    <cellStyle name="40% - Accent3 8 7 2" xfId="12696"/>
    <cellStyle name="40% - Accent3 8 7 3" xfId="12695"/>
    <cellStyle name="40% - Accent3 8 7 4" xfId="26468"/>
    <cellStyle name="40% - Accent3 8 8" xfId="12697"/>
    <cellStyle name="40% - Accent3 8 8 2" xfId="12698"/>
    <cellStyle name="40% - Accent3 8 9" xfId="12699"/>
    <cellStyle name="40% - Accent3 9" xfId="545"/>
    <cellStyle name="40% - Accent3 9 2" xfId="4571"/>
    <cellStyle name="40% - Accent3 9 2 2" xfId="12702"/>
    <cellStyle name="40% - Accent3 9 2 2 2" xfId="12703"/>
    <cellStyle name="40% - Accent3 9 2 3" xfId="12704"/>
    <cellStyle name="40% - Accent3 9 2 3 2" xfId="12705"/>
    <cellStyle name="40% - Accent3 9 2 4" xfId="12706"/>
    <cellStyle name="40% - Accent3 9 2 5" xfId="12701"/>
    <cellStyle name="40% - Accent3 9 3" xfId="12707"/>
    <cellStyle name="40% - Accent3 9 3 2" xfId="12708"/>
    <cellStyle name="40% - Accent3 9 4" xfId="12709"/>
    <cellStyle name="40% - Accent3 9 4 2" xfId="12710"/>
    <cellStyle name="40% - Accent3 9 5" xfId="12711"/>
    <cellStyle name="40% - Accent3 9 5 2" xfId="12712"/>
    <cellStyle name="40% - Accent3 9 6" xfId="12713"/>
    <cellStyle name="40% - Accent3 9 6 2" xfId="12714"/>
    <cellStyle name="40% - Accent3 9 7" xfId="12715"/>
    <cellStyle name="40% - Accent3 9 8" xfId="12700"/>
    <cellStyle name="40% - Accent4 10" xfId="676"/>
    <cellStyle name="40% - Accent4 10 2" xfId="4572"/>
    <cellStyle name="40% - Accent4 10 2 2" xfId="12719"/>
    <cellStyle name="40% - Accent4 10 2 3" xfId="12718"/>
    <cellStyle name="40% - Accent4 10 3" xfId="12720"/>
    <cellStyle name="40% - Accent4 10 3 2" xfId="12721"/>
    <cellStyle name="40% - Accent4 10 4" xfId="12722"/>
    <cellStyle name="40% - Accent4 10 4 2" xfId="12723"/>
    <cellStyle name="40% - Accent4 10 5" xfId="12724"/>
    <cellStyle name="40% - Accent4 10 5 2" xfId="12725"/>
    <cellStyle name="40% - Accent4 10 6" xfId="12726"/>
    <cellStyle name="40% - Accent4 10 7" xfId="12717"/>
    <cellStyle name="40% - Accent4 11" xfId="677"/>
    <cellStyle name="40% - Accent4 11 2" xfId="4573"/>
    <cellStyle name="40% - Accent4 11 2 2" xfId="12729"/>
    <cellStyle name="40% - Accent4 11 2 3" xfId="12728"/>
    <cellStyle name="40% - Accent4 11 3" xfId="12730"/>
    <cellStyle name="40% - Accent4 11 3 2" xfId="12731"/>
    <cellStyle name="40% - Accent4 11 4" xfId="12732"/>
    <cellStyle name="40% - Accent4 11 4 2" xfId="12733"/>
    <cellStyle name="40% - Accent4 11 5" xfId="12734"/>
    <cellStyle name="40% - Accent4 11 5 2" xfId="12735"/>
    <cellStyle name="40% - Accent4 11 6" xfId="12736"/>
    <cellStyle name="40% - Accent4 11 7" xfId="12727"/>
    <cellStyle name="40% - Accent4 12" xfId="825"/>
    <cellStyle name="40% - Accent4 12 2" xfId="12738"/>
    <cellStyle name="40% - Accent4 12 2 2" xfId="12739"/>
    <cellStyle name="40% - Accent4 12 3" xfId="12740"/>
    <cellStyle name="40% - Accent4 12 3 2" xfId="12741"/>
    <cellStyle name="40% - Accent4 12 4" xfId="12742"/>
    <cellStyle name="40% - Accent4 12 5" xfId="12737"/>
    <cellStyle name="40% - Accent4 13" xfId="826"/>
    <cellStyle name="40% - Accent4 13 2" xfId="3854"/>
    <cellStyle name="40% - Accent4 13 2 2" xfId="6357"/>
    <cellStyle name="40% - Accent4 13 2 2 2" xfId="12745"/>
    <cellStyle name="40% - Accent4 13 2 2 3" xfId="26471"/>
    <cellStyle name="40% - Accent4 13 2 3" xfId="12744"/>
    <cellStyle name="40% - Accent4 13 2 4" xfId="24990"/>
    <cellStyle name="40% - Accent4 13 2 5" xfId="26470"/>
    <cellStyle name="40% - Accent4 13 3" xfId="6356"/>
    <cellStyle name="40% - Accent4 13 3 2" xfId="12747"/>
    <cellStyle name="40% - Accent4 13 3 3" xfId="12746"/>
    <cellStyle name="40% - Accent4 13 3 4" xfId="26472"/>
    <cellStyle name="40% - Accent4 13 4" xfId="12748"/>
    <cellStyle name="40% - Accent4 13 5" xfId="12743"/>
    <cellStyle name="40% - Accent4 13 6" xfId="24869"/>
    <cellStyle name="40% - Accent4 13 7" xfId="26469"/>
    <cellStyle name="40% - Accent4 14" xfId="939"/>
    <cellStyle name="40% - Accent4 14 2" xfId="12750"/>
    <cellStyle name="40% - Accent4 14 2 2" xfId="12751"/>
    <cellStyle name="40% - Accent4 14 3" xfId="12752"/>
    <cellStyle name="40% - Accent4 14 3 2" xfId="12753"/>
    <cellStyle name="40% - Accent4 14 4" xfId="12754"/>
    <cellStyle name="40% - Accent4 14 5" xfId="12749"/>
    <cellStyle name="40% - Accent4 15" xfId="12755"/>
    <cellStyle name="40% - Accent4 15 2" xfId="12756"/>
    <cellStyle name="40% - Accent4 15 2 2" xfId="12757"/>
    <cellStyle name="40% - Accent4 15 3" xfId="12758"/>
    <cellStyle name="40% - Accent4 15 3 2" xfId="12759"/>
    <cellStyle name="40% - Accent4 15 4" xfId="12760"/>
    <cellStyle name="40% - Accent4 16" xfId="12761"/>
    <cellStyle name="40% - Accent4 16 2" xfId="12762"/>
    <cellStyle name="40% - Accent4 16 2 2" xfId="12763"/>
    <cellStyle name="40% - Accent4 16 3" xfId="12764"/>
    <cellStyle name="40% - Accent4 16 3 2" xfId="12765"/>
    <cellStyle name="40% - Accent4 16 4" xfId="12766"/>
    <cellStyle name="40% - Accent4 17" xfId="12767"/>
    <cellStyle name="40% - Accent4 17 2" xfId="12768"/>
    <cellStyle name="40% - Accent4 17 2 2" xfId="12769"/>
    <cellStyle name="40% - Accent4 17 3" xfId="12770"/>
    <cellStyle name="40% - Accent4 17 3 2" xfId="12771"/>
    <cellStyle name="40% - Accent4 17 4" xfId="12772"/>
    <cellStyle name="40% - Accent4 18" xfId="12773"/>
    <cellStyle name="40% - Accent4 18 2" xfId="12774"/>
    <cellStyle name="40% - Accent4 18 2 2" xfId="12775"/>
    <cellStyle name="40% - Accent4 18 3" xfId="12776"/>
    <cellStyle name="40% - Accent4 18 3 2" xfId="12777"/>
    <cellStyle name="40% - Accent4 18 4" xfId="12778"/>
    <cellStyle name="40% - Accent4 19" xfId="12779"/>
    <cellStyle name="40% - Accent4 19 2" xfId="12780"/>
    <cellStyle name="40% - Accent4 19 2 2" xfId="12781"/>
    <cellStyle name="40% - Accent4 19 3" xfId="12782"/>
    <cellStyle name="40% - Accent4 2" xfId="77"/>
    <cellStyle name="40% - Accent4 2 10" xfId="1676"/>
    <cellStyle name="40% - Accent4 2 10 2" xfId="4574"/>
    <cellStyle name="40% - Accent4 2 10 2 2" xfId="12786"/>
    <cellStyle name="40% - Accent4 2 10 2 3" xfId="12785"/>
    <cellStyle name="40% - Accent4 2 10 3" xfId="12787"/>
    <cellStyle name="40% - Accent4 2 10 3 2" xfId="12788"/>
    <cellStyle name="40% - Accent4 2 10 4" xfId="12789"/>
    <cellStyle name="40% - Accent4 2 10 4 2" xfId="12790"/>
    <cellStyle name="40% - Accent4 2 10 5" xfId="12791"/>
    <cellStyle name="40% - Accent4 2 10 5 2" xfId="12792"/>
    <cellStyle name="40% - Accent4 2 10 6" xfId="12793"/>
    <cellStyle name="40% - Accent4 2 10 7" xfId="12784"/>
    <cellStyle name="40% - Accent4 2 11" xfId="2011"/>
    <cellStyle name="40% - Accent4 2 11 2" xfId="4575"/>
    <cellStyle name="40% - Accent4 2 11 2 2" xfId="12796"/>
    <cellStyle name="40% - Accent4 2 11 2 3" xfId="12795"/>
    <cellStyle name="40% - Accent4 2 11 3" xfId="12797"/>
    <cellStyle name="40% - Accent4 2 11 3 2" xfId="12798"/>
    <cellStyle name="40% - Accent4 2 11 4" xfId="12799"/>
    <cellStyle name="40% - Accent4 2 11 4 2" xfId="12800"/>
    <cellStyle name="40% - Accent4 2 11 5" xfId="12801"/>
    <cellStyle name="40% - Accent4 2 11 5 2" xfId="12802"/>
    <cellStyle name="40% - Accent4 2 11 6" xfId="12803"/>
    <cellStyle name="40% - Accent4 2 11 7" xfId="12794"/>
    <cellStyle name="40% - Accent4 2 12" xfId="2385"/>
    <cellStyle name="40% - Accent4 2 12 2" xfId="4576"/>
    <cellStyle name="40% - Accent4 2 12 2 2" xfId="12806"/>
    <cellStyle name="40% - Accent4 2 12 2 3" xfId="12805"/>
    <cellStyle name="40% - Accent4 2 12 3" xfId="12807"/>
    <cellStyle name="40% - Accent4 2 12 3 2" xfId="12808"/>
    <cellStyle name="40% - Accent4 2 12 4" xfId="12809"/>
    <cellStyle name="40% - Accent4 2 12 4 2" xfId="12810"/>
    <cellStyle name="40% - Accent4 2 12 5" xfId="12811"/>
    <cellStyle name="40% - Accent4 2 12 5 2" xfId="12812"/>
    <cellStyle name="40% - Accent4 2 12 6" xfId="12813"/>
    <cellStyle name="40% - Accent4 2 12 7" xfId="12804"/>
    <cellStyle name="40% - Accent4 2 13" xfId="2758"/>
    <cellStyle name="40% - Accent4 2 13 2" xfId="4577"/>
    <cellStyle name="40% - Accent4 2 13 2 2" xfId="12816"/>
    <cellStyle name="40% - Accent4 2 13 2 3" xfId="12815"/>
    <cellStyle name="40% - Accent4 2 13 3" xfId="12817"/>
    <cellStyle name="40% - Accent4 2 13 3 2" xfId="12818"/>
    <cellStyle name="40% - Accent4 2 13 4" xfId="12819"/>
    <cellStyle name="40% - Accent4 2 13 4 2" xfId="12820"/>
    <cellStyle name="40% - Accent4 2 13 5" xfId="12821"/>
    <cellStyle name="40% - Accent4 2 13 5 2" xfId="12822"/>
    <cellStyle name="40% - Accent4 2 13 6" xfId="12823"/>
    <cellStyle name="40% - Accent4 2 13 7" xfId="12814"/>
    <cellStyle name="40% - Accent4 2 14" xfId="3132"/>
    <cellStyle name="40% - Accent4 2 14 2" xfId="4578"/>
    <cellStyle name="40% - Accent4 2 14 2 2" xfId="12826"/>
    <cellStyle name="40% - Accent4 2 14 2 3" xfId="12825"/>
    <cellStyle name="40% - Accent4 2 14 3" xfId="12827"/>
    <cellStyle name="40% - Accent4 2 14 3 2" xfId="12828"/>
    <cellStyle name="40% - Accent4 2 14 4" xfId="12829"/>
    <cellStyle name="40% - Accent4 2 14 4 2" xfId="12830"/>
    <cellStyle name="40% - Accent4 2 14 5" xfId="12831"/>
    <cellStyle name="40% - Accent4 2 14 5 2" xfId="12832"/>
    <cellStyle name="40% - Accent4 2 14 6" xfId="12833"/>
    <cellStyle name="40% - Accent4 2 14 7" xfId="12824"/>
    <cellStyle name="40% - Accent4 2 15" xfId="3503"/>
    <cellStyle name="40% - Accent4 2 15 2" xfId="4579"/>
    <cellStyle name="40% - Accent4 2 15 2 2" xfId="12836"/>
    <cellStyle name="40% - Accent4 2 15 2 3" xfId="12835"/>
    <cellStyle name="40% - Accent4 2 15 3" xfId="12837"/>
    <cellStyle name="40% - Accent4 2 15 3 2" xfId="12838"/>
    <cellStyle name="40% - Accent4 2 15 4" xfId="12839"/>
    <cellStyle name="40% - Accent4 2 15 5" xfId="12834"/>
    <cellStyle name="40% - Accent4 2 16" xfId="3641"/>
    <cellStyle name="40% - Accent4 2 16 2" xfId="4580"/>
    <cellStyle name="40% - Accent4 2 16 2 2" xfId="12842"/>
    <cellStyle name="40% - Accent4 2 16 2 3" xfId="12841"/>
    <cellStyle name="40% - Accent4 2 16 3" xfId="12843"/>
    <cellStyle name="40% - Accent4 2 16 3 2" xfId="12844"/>
    <cellStyle name="40% - Accent4 2 16 4" xfId="12845"/>
    <cellStyle name="40% - Accent4 2 16 5" xfId="12840"/>
    <cellStyle name="40% - Accent4 2 17" xfId="12846"/>
    <cellStyle name="40% - Accent4 2 18" xfId="12783"/>
    <cellStyle name="40% - Accent4 2 19" xfId="24476"/>
    <cellStyle name="40% - Accent4 2 2" xfId="121"/>
    <cellStyle name="40% - Accent4 2 2 10" xfId="12848"/>
    <cellStyle name="40% - Accent4 2 2 10 2" xfId="12849"/>
    <cellStyle name="40% - Accent4 2 2 10 2 2" xfId="12850"/>
    <cellStyle name="40% - Accent4 2 2 10 3" xfId="12851"/>
    <cellStyle name="40% - Accent4 2 2 10 3 2" xfId="12852"/>
    <cellStyle name="40% - Accent4 2 2 10 4" xfId="12853"/>
    <cellStyle name="40% - Accent4 2 2 11" xfId="12854"/>
    <cellStyle name="40% - Accent4 2 2 11 2" xfId="12855"/>
    <cellStyle name="40% - Accent4 2 2 11 2 2" xfId="12856"/>
    <cellStyle name="40% - Accent4 2 2 11 3" xfId="12857"/>
    <cellStyle name="40% - Accent4 2 2 11 3 2" xfId="12858"/>
    <cellStyle name="40% - Accent4 2 2 11 4" xfId="12859"/>
    <cellStyle name="40% - Accent4 2 2 12" xfId="12860"/>
    <cellStyle name="40% - Accent4 2 2 12 2" xfId="12861"/>
    <cellStyle name="40% - Accent4 2 2 12 2 2" xfId="12862"/>
    <cellStyle name="40% - Accent4 2 2 12 3" xfId="12863"/>
    <cellStyle name="40% - Accent4 2 2 12 3 2" xfId="12864"/>
    <cellStyle name="40% - Accent4 2 2 12 4" xfId="12865"/>
    <cellStyle name="40% - Accent4 2 2 13" xfId="12866"/>
    <cellStyle name="40% - Accent4 2 2 13 2" xfId="12867"/>
    <cellStyle name="40% - Accent4 2 2 14" xfId="12868"/>
    <cellStyle name="40% - Accent4 2 2 14 2" xfId="12869"/>
    <cellStyle name="40% - Accent4 2 2 15" xfId="12870"/>
    <cellStyle name="40% - Accent4 2 2 15 2" xfId="12871"/>
    <cellStyle name="40% - Accent4 2 2 16" xfId="12872"/>
    <cellStyle name="40% - Accent4 2 2 17" xfId="12847"/>
    <cellStyle name="40% - Accent4 2 2 2" xfId="184"/>
    <cellStyle name="40% - Accent4 2 2 2 2" xfId="12874"/>
    <cellStyle name="40% - Accent4 2 2 2 2 2" xfId="12875"/>
    <cellStyle name="40% - Accent4 2 2 2 3" xfId="12876"/>
    <cellStyle name="40% - Accent4 2 2 2 3 2" xfId="12877"/>
    <cellStyle name="40% - Accent4 2 2 2 4" xfId="12878"/>
    <cellStyle name="40% - Accent4 2 2 2 5" xfId="12873"/>
    <cellStyle name="40% - Accent4 2 2 3" xfId="348"/>
    <cellStyle name="40% - Accent4 2 2 3 2" xfId="12880"/>
    <cellStyle name="40% - Accent4 2 2 3 2 2" xfId="12881"/>
    <cellStyle name="40% - Accent4 2 2 3 3" xfId="12882"/>
    <cellStyle name="40% - Accent4 2 2 3 3 2" xfId="12883"/>
    <cellStyle name="40% - Accent4 2 2 3 4" xfId="12884"/>
    <cellStyle name="40% - Accent4 2 2 3 5" xfId="12879"/>
    <cellStyle name="40% - Accent4 2 2 4" xfId="2170"/>
    <cellStyle name="40% - Accent4 2 2 4 2" xfId="12886"/>
    <cellStyle name="40% - Accent4 2 2 4 2 2" xfId="12887"/>
    <cellStyle name="40% - Accent4 2 2 4 3" xfId="12888"/>
    <cellStyle name="40% - Accent4 2 2 4 3 2" xfId="12889"/>
    <cellStyle name="40% - Accent4 2 2 4 4" xfId="12890"/>
    <cellStyle name="40% - Accent4 2 2 4 5" xfId="12885"/>
    <cellStyle name="40% - Accent4 2 2 5" xfId="2544"/>
    <cellStyle name="40% - Accent4 2 2 5 2" xfId="12892"/>
    <cellStyle name="40% - Accent4 2 2 5 2 2" xfId="12893"/>
    <cellStyle name="40% - Accent4 2 2 5 3" xfId="12894"/>
    <cellStyle name="40% - Accent4 2 2 5 3 2" xfId="12895"/>
    <cellStyle name="40% - Accent4 2 2 5 4" xfId="12896"/>
    <cellStyle name="40% - Accent4 2 2 5 5" xfId="12891"/>
    <cellStyle name="40% - Accent4 2 2 6" xfId="2916"/>
    <cellStyle name="40% - Accent4 2 2 6 2" xfId="12898"/>
    <cellStyle name="40% - Accent4 2 2 6 2 2" xfId="12899"/>
    <cellStyle name="40% - Accent4 2 2 6 3" xfId="12900"/>
    <cellStyle name="40% - Accent4 2 2 6 3 2" xfId="12901"/>
    <cellStyle name="40% - Accent4 2 2 6 4" xfId="12902"/>
    <cellStyle name="40% - Accent4 2 2 6 5" xfId="12897"/>
    <cellStyle name="40% - Accent4 2 2 7" xfId="3288"/>
    <cellStyle name="40% - Accent4 2 2 7 2" xfId="12904"/>
    <cellStyle name="40% - Accent4 2 2 7 2 2" xfId="12905"/>
    <cellStyle name="40% - Accent4 2 2 7 3" xfId="12906"/>
    <cellStyle name="40% - Accent4 2 2 7 3 2" xfId="12907"/>
    <cellStyle name="40% - Accent4 2 2 7 4" xfId="12908"/>
    <cellStyle name="40% - Accent4 2 2 7 5" xfId="12903"/>
    <cellStyle name="40% - Accent4 2 2 8" xfId="4581"/>
    <cellStyle name="40% - Accent4 2 2 8 2" xfId="12910"/>
    <cellStyle name="40% - Accent4 2 2 8 2 2" xfId="12911"/>
    <cellStyle name="40% - Accent4 2 2 8 3" xfId="12912"/>
    <cellStyle name="40% - Accent4 2 2 8 3 2" xfId="12913"/>
    <cellStyle name="40% - Accent4 2 2 8 4" xfId="12914"/>
    <cellStyle name="40% - Accent4 2 2 8 5" xfId="12909"/>
    <cellStyle name="40% - Accent4 2 2 9" xfId="12915"/>
    <cellStyle name="40% - Accent4 2 2 9 2" xfId="12916"/>
    <cellStyle name="40% - Accent4 2 2 9 2 2" xfId="12917"/>
    <cellStyle name="40% - Accent4 2 2 9 3" xfId="12918"/>
    <cellStyle name="40% - Accent4 2 2 9 3 2" xfId="12919"/>
    <cellStyle name="40% - Accent4 2 2 9 4" xfId="12920"/>
    <cellStyle name="40% - Accent4 2 3" xfId="286"/>
    <cellStyle name="40% - Accent4 2 3 2" xfId="1346"/>
    <cellStyle name="40% - Accent4 2 3 2 2" xfId="12923"/>
    <cellStyle name="40% - Accent4 2 3 2 2 2" xfId="12924"/>
    <cellStyle name="40% - Accent4 2 3 2 3" xfId="12925"/>
    <cellStyle name="40% - Accent4 2 3 2 3 2" xfId="12926"/>
    <cellStyle name="40% - Accent4 2 3 2 4" xfId="12927"/>
    <cellStyle name="40% - Accent4 2 3 2 5" xfId="12922"/>
    <cellStyle name="40% - Accent4 2 3 3" xfId="12928"/>
    <cellStyle name="40% - Accent4 2 3 3 2" xfId="12929"/>
    <cellStyle name="40% - Accent4 2 3 4" xfId="12930"/>
    <cellStyle name="40% - Accent4 2 3 4 2" xfId="12931"/>
    <cellStyle name="40% - Accent4 2 3 5" xfId="12932"/>
    <cellStyle name="40% - Accent4 2 3 6" xfId="12921"/>
    <cellStyle name="40% - Accent4 2 4" xfId="394"/>
    <cellStyle name="40% - Accent4 2 4 2" xfId="12934"/>
    <cellStyle name="40% - Accent4 2 4 2 2" xfId="12935"/>
    <cellStyle name="40% - Accent4 2 4 2 2 2" xfId="12936"/>
    <cellStyle name="40% - Accent4 2 4 2 3" xfId="12937"/>
    <cellStyle name="40% - Accent4 2 4 2 3 2" xfId="12938"/>
    <cellStyle name="40% - Accent4 2 4 2 4" xfId="12939"/>
    <cellStyle name="40% - Accent4 2 4 3" xfId="12940"/>
    <cellStyle name="40% - Accent4 2 4 3 2" xfId="12941"/>
    <cellStyle name="40% - Accent4 2 4 4" xfId="12942"/>
    <cellStyle name="40% - Accent4 2 4 4 2" xfId="12943"/>
    <cellStyle name="40% - Accent4 2 4 5" xfId="12944"/>
    <cellStyle name="40% - Accent4 2 4 6" xfId="12933"/>
    <cellStyle name="40% - Accent4 2 5" xfId="546"/>
    <cellStyle name="40% - Accent4 2 5 2" xfId="12946"/>
    <cellStyle name="40% - Accent4 2 5 2 2" xfId="12947"/>
    <cellStyle name="40% - Accent4 2 5 3" xfId="12948"/>
    <cellStyle name="40% - Accent4 2 5 3 2" xfId="12949"/>
    <cellStyle name="40% - Accent4 2 5 4" xfId="12950"/>
    <cellStyle name="40% - Accent4 2 5 5" xfId="12945"/>
    <cellStyle name="40% - Accent4 2 6" xfId="678"/>
    <cellStyle name="40% - Accent4 2 6 2" xfId="12952"/>
    <cellStyle name="40% - Accent4 2 6 2 2" xfId="12953"/>
    <cellStyle name="40% - Accent4 2 6 3" xfId="12954"/>
    <cellStyle name="40% - Accent4 2 6 3 2" xfId="12955"/>
    <cellStyle name="40% - Accent4 2 6 4" xfId="12956"/>
    <cellStyle name="40% - Accent4 2 6 5" xfId="12951"/>
    <cellStyle name="40% - Accent4 2 7" xfId="679"/>
    <cellStyle name="40% - Accent4 2 7 2" xfId="12958"/>
    <cellStyle name="40% - Accent4 2 7 2 2" xfId="12959"/>
    <cellStyle name="40% - Accent4 2 7 3" xfId="12960"/>
    <cellStyle name="40% - Accent4 2 7 3 2" xfId="12961"/>
    <cellStyle name="40% - Accent4 2 7 4" xfId="12962"/>
    <cellStyle name="40% - Accent4 2 7 5" xfId="12957"/>
    <cellStyle name="40% - Accent4 2 8" xfId="827"/>
    <cellStyle name="40% - Accent4 2 8 2" xfId="1405"/>
    <cellStyle name="40% - Accent4 2 8 2 2" xfId="12965"/>
    <cellStyle name="40% - Accent4 2 8 2 3" xfId="12964"/>
    <cellStyle name="40% - Accent4 2 8 3" xfId="12966"/>
    <cellStyle name="40% - Accent4 2 8 3 2" xfId="12967"/>
    <cellStyle name="40% - Accent4 2 8 4" xfId="12968"/>
    <cellStyle name="40% - Accent4 2 8 4 2" xfId="12969"/>
    <cellStyle name="40% - Accent4 2 8 5" xfId="12970"/>
    <cellStyle name="40% - Accent4 2 8 5 2" xfId="12971"/>
    <cellStyle name="40% - Accent4 2 8 6" xfId="12972"/>
    <cellStyle name="40% - Accent4 2 8 7" xfId="12963"/>
    <cellStyle name="40% - Accent4 2 9" xfId="940"/>
    <cellStyle name="40% - Accent4 2 9 2" xfId="1442"/>
    <cellStyle name="40% - Accent4 2 9 2 2" xfId="12975"/>
    <cellStyle name="40% - Accent4 2 9 2 3" xfId="12974"/>
    <cellStyle name="40% - Accent4 2 9 3" xfId="12976"/>
    <cellStyle name="40% - Accent4 2 9 3 2" xfId="12977"/>
    <cellStyle name="40% - Accent4 2 9 4" xfId="12978"/>
    <cellStyle name="40% - Accent4 2 9 4 2" xfId="12979"/>
    <cellStyle name="40% - Accent4 2 9 5" xfId="12980"/>
    <cellStyle name="40% - Accent4 2 9 5 2" xfId="12981"/>
    <cellStyle name="40% - Accent4 2 9 6" xfId="12982"/>
    <cellStyle name="40% - Accent4 2 9 7" xfId="12973"/>
    <cellStyle name="40% - Accent4 20" xfId="12983"/>
    <cellStyle name="40% - Accent4 20 2" xfId="12984"/>
    <cellStyle name="40% - Accent4 21" xfId="12985"/>
    <cellStyle name="40% - Accent4 21 2" xfId="12986"/>
    <cellStyle name="40% - Accent4 21 2 2" xfId="12987"/>
    <cellStyle name="40% - Accent4 21 2 2 2" xfId="12988"/>
    <cellStyle name="40% - Accent4 21 2 3" xfId="12989"/>
    <cellStyle name="40% - Accent4 21 2 3 2" xfId="12990"/>
    <cellStyle name="40% - Accent4 21 2 4" xfId="12991"/>
    <cellStyle name="40% - Accent4 21 3" xfId="12992"/>
    <cellStyle name="40% - Accent4 21 3 2" xfId="12993"/>
    <cellStyle name="40% - Accent4 21 4" xfId="12994"/>
    <cellStyle name="40% - Accent4 21 4 2" xfId="12995"/>
    <cellStyle name="40% - Accent4 21 5" xfId="12996"/>
    <cellStyle name="40% - Accent4 22" xfId="12997"/>
    <cellStyle name="40% - Accent4 22 2" xfId="12998"/>
    <cellStyle name="40% - Accent4 22 2 2" xfId="12999"/>
    <cellStyle name="40% - Accent4 22 2 2 2" xfId="13000"/>
    <cellStyle name="40% - Accent4 22 2 3" xfId="13001"/>
    <cellStyle name="40% - Accent4 22 2 3 2" xfId="13002"/>
    <cellStyle name="40% - Accent4 22 2 4" xfId="13003"/>
    <cellStyle name="40% - Accent4 22 3" xfId="13004"/>
    <cellStyle name="40% - Accent4 22 3 2" xfId="13005"/>
    <cellStyle name="40% - Accent4 22 4" xfId="13006"/>
    <cellStyle name="40% - Accent4 22 4 2" xfId="13007"/>
    <cellStyle name="40% - Accent4 22 5" xfId="13008"/>
    <cellStyle name="40% - Accent4 23" xfId="13009"/>
    <cellStyle name="40% - Accent4 23 2" xfId="13010"/>
    <cellStyle name="40% - Accent4 24" xfId="13011"/>
    <cellStyle name="40% - Accent4 24 2" xfId="13012"/>
    <cellStyle name="40% - Accent4 24 2 2" xfId="13013"/>
    <cellStyle name="40% - Accent4 24 2 2 2" xfId="13014"/>
    <cellStyle name="40% - Accent4 24 2 3" xfId="13015"/>
    <cellStyle name="40% - Accent4 24 2 3 2" xfId="13016"/>
    <cellStyle name="40% - Accent4 24 2 4" xfId="13017"/>
    <cellStyle name="40% - Accent4 24 3" xfId="13018"/>
    <cellStyle name="40% - Accent4 24 3 2" xfId="13019"/>
    <cellStyle name="40% - Accent4 24 4" xfId="13020"/>
    <cellStyle name="40% - Accent4 24 4 2" xfId="13021"/>
    <cellStyle name="40% - Accent4 24 5" xfId="13022"/>
    <cellStyle name="40% - Accent4 25" xfId="13023"/>
    <cellStyle name="40% - Accent4 25 2" xfId="13024"/>
    <cellStyle name="40% - Accent4 25 2 2" xfId="13025"/>
    <cellStyle name="40% - Accent4 25 2 2 2" xfId="13026"/>
    <cellStyle name="40% - Accent4 25 2 3" xfId="13027"/>
    <cellStyle name="40% - Accent4 25 2 3 2" xfId="13028"/>
    <cellStyle name="40% - Accent4 25 2 4" xfId="13029"/>
    <cellStyle name="40% - Accent4 25 3" xfId="13030"/>
    <cellStyle name="40% - Accent4 25 3 2" xfId="13031"/>
    <cellStyle name="40% - Accent4 25 4" xfId="13032"/>
    <cellStyle name="40% - Accent4 25 4 2" xfId="13033"/>
    <cellStyle name="40% - Accent4 25 5" xfId="13034"/>
    <cellStyle name="40% - Accent4 26" xfId="13035"/>
    <cellStyle name="40% - Accent4 26 2" xfId="13036"/>
    <cellStyle name="40% - Accent4 27" xfId="13037"/>
    <cellStyle name="40% - Accent4 27 2" xfId="13038"/>
    <cellStyle name="40% - Accent4 27 2 2" xfId="13039"/>
    <cellStyle name="40% - Accent4 27 2 2 2" xfId="13040"/>
    <cellStyle name="40% - Accent4 27 2 3" xfId="13041"/>
    <cellStyle name="40% - Accent4 27 2 3 2" xfId="13042"/>
    <cellStyle name="40% - Accent4 27 2 4" xfId="13043"/>
    <cellStyle name="40% - Accent4 27 3" xfId="13044"/>
    <cellStyle name="40% - Accent4 27 3 2" xfId="13045"/>
    <cellStyle name="40% - Accent4 27 4" xfId="13046"/>
    <cellStyle name="40% - Accent4 27 4 2" xfId="13047"/>
    <cellStyle name="40% - Accent4 27 5" xfId="13048"/>
    <cellStyle name="40% - Accent4 28" xfId="13049"/>
    <cellStyle name="40% - Accent4 28 2" xfId="13050"/>
    <cellStyle name="40% - Accent4 28 2 2" xfId="13051"/>
    <cellStyle name="40% - Accent4 28 3" xfId="13052"/>
    <cellStyle name="40% - Accent4 28 3 2" xfId="13053"/>
    <cellStyle name="40% - Accent4 28 4" xfId="13054"/>
    <cellStyle name="40% - Accent4 29" xfId="13055"/>
    <cellStyle name="40% - Accent4 29 2" xfId="13056"/>
    <cellStyle name="40% - Accent4 3" xfId="225"/>
    <cellStyle name="40% - Accent4 3 10" xfId="3684"/>
    <cellStyle name="40% - Accent4 3 10 2" xfId="4582"/>
    <cellStyle name="40% - Accent4 3 10 2 2" xfId="13060"/>
    <cellStyle name="40% - Accent4 3 10 2 3" xfId="13059"/>
    <cellStyle name="40% - Accent4 3 10 3" xfId="13061"/>
    <cellStyle name="40% - Accent4 3 10 3 2" xfId="13062"/>
    <cellStyle name="40% - Accent4 3 10 4" xfId="13063"/>
    <cellStyle name="40% - Accent4 3 10 4 2" xfId="13064"/>
    <cellStyle name="40% - Accent4 3 10 5" xfId="13065"/>
    <cellStyle name="40% - Accent4 3 10 5 2" xfId="13066"/>
    <cellStyle name="40% - Accent4 3 10 6" xfId="13067"/>
    <cellStyle name="40% - Accent4 3 10 7" xfId="13058"/>
    <cellStyle name="40% - Accent4 3 11" xfId="13068"/>
    <cellStyle name="40% - Accent4 3 11 2" xfId="13069"/>
    <cellStyle name="40% - Accent4 3 11 2 2" xfId="13070"/>
    <cellStyle name="40% - Accent4 3 11 3" xfId="13071"/>
    <cellStyle name="40% - Accent4 3 11 3 2" xfId="13072"/>
    <cellStyle name="40% - Accent4 3 11 4" xfId="13073"/>
    <cellStyle name="40% - Accent4 3 12" xfId="13074"/>
    <cellStyle name="40% - Accent4 3 12 2" xfId="13075"/>
    <cellStyle name="40% - Accent4 3 12 2 2" xfId="13076"/>
    <cellStyle name="40% - Accent4 3 12 3" xfId="13077"/>
    <cellStyle name="40% - Accent4 3 12 3 2" xfId="13078"/>
    <cellStyle name="40% - Accent4 3 12 4" xfId="13079"/>
    <cellStyle name="40% - Accent4 3 13" xfId="13080"/>
    <cellStyle name="40% - Accent4 3 13 2" xfId="13081"/>
    <cellStyle name="40% - Accent4 3 13 2 2" xfId="13082"/>
    <cellStyle name="40% - Accent4 3 13 3" xfId="13083"/>
    <cellStyle name="40% - Accent4 3 13 3 2" xfId="13084"/>
    <cellStyle name="40% - Accent4 3 13 4" xfId="13085"/>
    <cellStyle name="40% - Accent4 3 14" xfId="13086"/>
    <cellStyle name="40% - Accent4 3 14 2" xfId="13087"/>
    <cellStyle name="40% - Accent4 3 15" xfId="13088"/>
    <cellStyle name="40% - Accent4 3 15 2" xfId="13089"/>
    <cellStyle name="40% - Accent4 3 16" xfId="13090"/>
    <cellStyle name="40% - Accent4 3 17" xfId="13057"/>
    <cellStyle name="40% - Accent4 3 2" xfId="1457"/>
    <cellStyle name="40% - Accent4 3 2 10" xfId="13092"/>
    <cellStyle name="40% - Accent4 3 2 10 2" xfId="13093"/>
    <cellStyle name="40% - Accent4 3 2 10 2 2" xfId="13094"/>
    <cellStyle name="40% - Accent4 3 2 10 3" xfId="13095"/>
    <cellStyle name="40% - Accent4 3 2 10 3 2" xfId="13096"/>
    <cellStyle name="40% - Accent4 3 2 10 4" xfId="13097"/>
    <cellStyle name="40% - Accent4 3 2 11" xfId="13098"/>
    <cellStyle name="40% - Accent4 3 2 11 2" xfId="13099"/>
    <cellStyle name="40% - Accent4 3 2 11 2 2" xfId="13100"/>
    <cellStyle name="40% - Accent4 3 2 11 3" xfId="13101"/>
    <cellStyle name="40% - Accent4 3 2 11 3 2" xfId="13102"/>
    <cellStyle name="40% - Accent4 3 2 11 4" xfId="13103"/>
    <cellStyle name="40% - Accent4 3 2 12" xfId="13104"/>
    <cellStyle name="40% - Accent4 3 2 12 2" xfId="13105"/>
    <cellStyle name="40% - Accent4 3 2 12 2 2" xfId="13106"/>
    <cellStyle name="40% - Accent4 3 2 12 3" xfId="13107"/>
    <cellStyle name="40% - Accent4 3 2 12 3 2" xfId="13108"/>
    <cellStyle name="40% - Accent4 3 2 12 4" xfId="13109"/>
    <cellStyle name="40% - Accent4 3 2 13" xfId="13110"/>
    <cellStyle name="40% - Accent4 3 2 13 2" xfId="13111"/>
    <cellStyle name="40% - Accent4 3 2 14" xfId="13112"/>
    <cellStyle name="40% - Accent4 3 2 14 2" xfId="13113"/>
    <cellStyle name="40% - Accent4 3 2 15" xfId="13114"/>
    <cellStyle name="40% - Accent4 3 2 15 2" xfId="13115"/>
    <cellStyle name="40% - Accent4 3 2 16" xfId="13116"/>
    <cellStyle name="40% - Accent4 3 2 17" xfId="13091"/>
    <cellStyle name="40% - Accent4 3 2 2" xfId="1836"/>
    <cellStyle name="40% - Accent4 3 2 2 2" xfId="13118"/>
    <cellStyle name="40% - Accent4 3 2 2 2 2" xfId="13119"/>
    <cellStyle name="40% - Accent4 3 2 2 3" xfId="13120"/>
    <cellStyle name="40% - Accent4 3 2 2 3 2" xfId="13121"/>
    <cellStyle name="40% - Accent4 3 2 2 4" xfId="13122"/>
    <cellStyle name="40% - Accent4 3 2 2 5" xfId="13117"/>
    <cellStyle name="40% - Accent4 3 2 3" xfId="2211"/>
    <cellStyle name="40% - Accent4 3 2 3 2" xfId="13124"/>
    <cellStyle name="40% - Accent4 3 2 3 2 2" xfId="13125"/>
    <cellStyle name="40% - Accent4 3 2 3 3" xfId="13126"/>
    <cellStyle name="40% - Accent4 3 2 3 3 2" xfId="13127"/>
    <cellStyle name="40% - Accent4 3 2 3 4" xfId="13128"/>
    <cellStyle name="40% - Accent4 3 2 3 5" xfId="13123"/>
    <cellStyle name="40% - Accent4 3 2 4" xfId="2585"/>
    <cellStyle name="40% - Accent4 3 2 4 2" xfId="13130"/>
    <cellStyle name="40% - Accent4 3 2 4 2 2" xfId="13131"/>
    <cellStyle name="40% - Accent4 3 2 4 3" xfId="13132"/>
    <cellStyle name="40% - Accent4 3 2 4 3 2" xfId="13133"/>
    <cellStyle name="40% - Accent4 3 2 4 4" xfId="13134"/>
    <cellStyle name="40% - Accent4 3 2 4 5" xfId="13129"/>
    <cellStyle name="40% - Accent4 3 2 5" xfId="2957"/>
    <cellStyle name="40% - Accent4 3 2 5 2" xfId="13136"/>
    <cellStyle name="40% - Accent4 3 2 5 2 2" xfId="13137"/>
    <cellStyle name="40% - Accent4 3 2 5 3" xfId="13138"/>
    <cellStyle name="40% - Accent4 3 2 5 3 2" xfId="13139"/>
    <cellStyle name="40% - Accent4 3 2 5 4" xfId="13140"/>
    <cellStyle name="40% - Accent4 3 2 5 5" xfId="13135"/>
    <cellStyle name="40% - Accent4 3 2 6" xfId="3329"/>
    <cellStyle name="40% - Accent4 3 2 6 2" xfId="13142"/>
    <cellStyle name="40% - Accent4 3 2 6 2 2" xfId="13143"/>
    <cellStyle name="40% - Accent4 3 2 6 3" xfId="13144"/>
    <cellStyle name="40% - Accent4 3 2 6 3 2" xfId="13145"/>
    <cellStyle name="40% - Accent4 3 2 6 4" xfId="13146"/>
    <cellStyle name="40% - Accent4 3 2 6 5" xfId="13141"/>
    <cellStyle name="40% - Accent4 3 2 7" xfId="4583"/>
    <cellStyle name="40% - Accent4 3 2 7 2" xfId="13148"/>
    <cellStyle name="40% - Accent4 3 2 7 2 2" xfId="13149"/>
    <cellStyle name="40% - Accent4 3 2 7 3" xfId="13150"/>
    <cellStyle name="40% - Accent4 3 2 7 3 2" xfId="13151"/>
    <cellStyle name="40% - Accent4 3 2 7 4" xfId="13152"/>
    <cellStyle name="40% - Accent4 3 2 7 5" xfId="13147"/>
    <cellStyle name="40% - Accent4 3 2 8" xfId="13153"/>
    <cellStyle name="40% - Accent4 3 2 8 2" xfId="13154"/>
    <cellStyle name="40% - Accent4 3 2 8 2 2" xfId="13155"/>
    <cellStyle name="40% - Accent4 3 2 8 3" xfId="13156"/>
    <cellStyle name="40% - Accent4 3 2 8 3 2" xfId="13157"/>
    <cellStyle name="40% - Accent4 3 2 8 4" xfId="13158"/>
    <cellStyle name="40% - Accent4 3 2 9" xfId="13159"/>
    <cellStyle name="40% - Accent4 3 2 9 2" xfId="13160"/>
    <cellStyle name="40% - Accent4 3 2 9 2 2" xfId="13161"/>
    <cellStyle name="40% - Accent4 3 2 9 3" xfId="13162"/>
    <cellStyle name="40% - Accent4 3 2 9 3 2" xfId="13163"/>
    <cellStyle name="40% - Accent4 3 2 9 4" xfId="13164"/>
    <cellStyle name="40% - Accent4 3 3" xfId="1584"/>
    <cellStyle name="40% - Accent4 3 3 2" xfId="1913"/>
    <cellStyle name="40% - Accent4 3 3 2 2" xfId="13167"/>
    <cellStyle name="40% - Accent4 3 3 2 3" xfId="13166"/>
    <cellStyle name="40% - Accent4 3 3 3" xfId="2288"/>
    <cellStyle name="40% - Accent4 3 3 3 2" xfId="13169"/>
    <cellStyle name="40% - Accent4 3 3 3 3" xfId="13168"/>
    <cellStyle name="40% - Accent4 3 3 4" xfId="2661"/>
    <cellStyle name="40% - Accent4 3 3 4 2" xfId="13171"/>
    <cellStyle name="40% - Accent4 3 3 4 3" xfId="13170"/>
    <cellStyle name="40% - Accent4 3 3 5" xfId="3034"/>
    <cellStyle name="40% - Accent4 3 3 5 2" xfId="13173"/>
    <cellStyle name="40% - Accent4 3 3 5 3" xfId="13172"/>
    <cellStyle name="40% - Accent4 3 3 6" xfId="3405"/>
    <cellStyle name="40% - Accent4 3 3 6 2" xfId="13175"/>
    <cellStyle name="40% - Accent4 3 3 6 3" xfId="13174"/>
    <cellStyle name="40% - Accent4 3 3 7" xfId="4584"/>
    <cellStyle name="40% - Accent4 3 3 7 2" xfId="13177"/>
    <cellStyle name="40% - Accent4 3 3 7 3" xfId="13176"/>
    <cellStyle name="40% - Accent4 3 3 8" xfId="13178"/>
    <cellStyle name="40% - Accent4 3 3 9" xfId="13165"/>
    <cellStyle name="40% - Accent4 3 4" xfId="1721"/>
    <cellStyle name="40% - Accent4 3 4 2" xfId="1957"/>
    <cellStyle name="40% - Accent4 3 4 2 2" xfId="13181"/>
    <cellStyle name="40% - Accent4 3 4 2 3" xfId="13180"/>
    <cellStyle name="40% - Accent4 3 4 3" xfId="2332"/>
    <cellStyle name="40% - Accent4 3 4 3 2" xfId="13183"/>
    <cellStyle name="40% - Accent4 3 4 3 3" xfId="13182"/>
    <cellStyle name="40% - Accent4 3 4 4" xfId="2705"/>
    <cellStyle name="40% - Accent4 3 4 4 2" xfId="13185"/>
    <cellStyle name="40% - Accent4 3 4 4 3" xfId="13184"/>
    <cellStyle name="40% - Accent4 3 4 5" xfId="3078"/>
    <cellStyle name="40% - Accent4 3 4 5 2" xfId="13187"/>
    <cellStyle name="40% - Accent4 3 4 5 3" xfId="13186"/>
    <cellStyle name="40% - Accent4 3 4 6" xfId="3449"/>
    <cellStyle name="40% - Accent4 3 4 6 2" xfId="13189"/>
    <cellStyle name="40% - Accent4 3 4 6 3" xfId="13188"/>
    <cellStyle name="40% - Accent4 3 4 7" xfId="13190"/>
    <cellStyle name="40% - Accent4 3 4 8" xfId="13179"/>
    <cellStyle name="40% - Accent4 3 5" xfId="2056"/>
    <cellStyle name="40% - Accent4 3 5 2" xfId="13192"/>
    <cellStyle name="40% - Accent4 3 5 2 2" xfId="13193"/>
    <cellStyle name="40% - Accent4 3 5 3" xfId="13194"/>
    <cellStyle name="40% - Accent4 3 5 3 2" xfId="13195"/>
    <cellStyle name="40% - Accent4 3 5 4" xfId="13196"/>
    <cellStyle name="40% - Accent4 3 5 4 2" xfId="13197"/>
    <cellStyle name="40% - Accent4 3 5 5" xfId="13198"/>
    <cellStyle name="40% - Accent4 3 5 6" xfId="13191"/>
    <cellStyle name="40% - Accent4 3 6" xfId="2430"/>
    <cellStyle name="40% - Accent4 3 6 2" xfId="13200"/>
    <cellStyle name="40% - Accent4 3 6 2 2" xfId="13201"/>
    <cellStyle name="40% - Accent4 3 6 3" xfId="13202"/>
    <cellStyle name="40% - Accent4 3 6 3 2" xfId="13203"/>
    <cellStyle name="40% - Accent4 3 6 4" xfId="13204"/>
    <cellStyle name="40% - Accent4 3 6 4 2" xfId="13205"/>
    <cellStyle name="40% - Accent4 3 6 5" xfId="13206"/>
    <cellStyle name="40% - Accent4 3 6 6" xfId="13199"/>
    <cellStyle name="40% - Accent4 3 7" xfId="2802"/>
    <cellStyle name="40% - Accent4 3 7 2" xfId="13208"/>
    <cellStyle name="40% - Accent4 3 7 2 2" xfId="13209"/>
    <cellStyle name="40% - Accent4 3 7 3" xfId="13210"/>
    <cellStyle name="40% - Accent4 3 7 3 2" xfId="13211"/>
    <cellStyle name="40% - Accent4 3 7 4" xfId="13212"/>
    <cellStyle name="40% - Accent4 3 7 4 2" xfId="13213"/>
    <cellStyle name="40% - Accent4 3 7 5" xfId="13214"/>
    <cellStyle name="40% - Accent4 3 7 6" xfId="13207"/>
    <cellStyle name="40% - Accent4 3 8" xfId="3173"/>
    <cellStyle name="40% - Accent4 3 8 2" xfId="13216"/>
    <cellStyle name="40% - Accent4 3 8 2 2" xfId="13217"/>
    <cellStyle name="40% - Accent4 3 8 3" xfId="13218"/>
    <cellStyle name="40% - Accent4 3 8 3 2" xfId="13219"/>
    <cellStyle name="40% - Accent4 3 8 4" xfId="13220"/>
    <cellStyle name="40% - Accent4 3 8 4 2" xfId="13221"/>
    <cellStyle name="40% - Accent4 3 8 5" xfId="13222"/>
    <cellStyle name="40% - Accent4 3 8 6" xfId="13215"/>
    <cellStyle name="40% - Accent4 3 9" xfId="3548"/>
    <cellStyle name="40% - Accent4 3 9 2" xfId="4585"/>
    <cellStyle name="40% - Accent4 3 9 2 2" xfId="13225"/>
    <cellStyle name="40% - Accent4 3 9 2 3" xfId="13224"/>
    <cellStyle name="40% - Accent4 3 9 3" xfId="13226"/>
    <cellStyle name="40% - Accent4 3 9 3 2" xfId="13227"/>
    <cellStyle name="40% - Accent4 3 9 4" xfId="13228"/>
    <cellStyle name="40% - Accent4 3 9 4 2" xfId="13229"/>
    <cellStyle name="40% - Accent4 3 9 5" xfId="13230"/>
    <cellStyle name="40% - Accent4 3 9 5 2" xfId="13231"/>
    <cellStyle name="40% - Accent4 3 9 6" xfId="13232"/>
    <cellStyle name="40% - Accent4 3 9 7" xfId="13223"/>
    <cellStyle name="40% - Accent4 30" xfId="13233"/>
    <cellStyle name="40% - Accent4 31" xfId="12716"/>
    <cellStyle name="40% - Accent4 4" xfId="244"/>
    <cellStyle name="40% - Accent4 4 10" xfId="3728"/>
    <cellStyle name="40% - Accent4 4 10 2" xfId="4587"/>
    <cellStyle name="40% - Accent4 4 10 2 2" xfId="13237"/>
    <cellStyle name="40% - Accent4 4 10 2 3" xfId="13236"/>
    <cellStyle name="40% - Accent4 4 10 3" xfId="13238"/>
    <cellStyle name="40% - Accent4 4 10 3 2" xfId="13239"/>
    <cellStyle name="40% - Accent4 4 10 4" xfId="13240"/>
    <cellStyle name="40% - Accent4 4 10 4 2" xfId="13241"/>
    <cellStyle name="40% - Accent4 4 10 5" xfId="13242"/>
    <cellStyle name="40% - Accent4 4 10 5 2" xfId="13243"/>
    <cellStyle name="40% - Accent4 4 10 6" xfId="13244"/>
    <cellStyle name="40% - Accent4 4 10 7" xfId="13235"/>
    <cellStyle name="40% - Accent4 4 11" xfId="1307"/>
    <cellStyle name="40% - Accent4 4 11 10" xfId="24883"/>
    <cellStyle name="40% - Accent4 4 11 11" xfId="26473"/>
    <cellStyle name="40% - Accent4 4 11 2" xfId="4151"/>
    <cellStyle name="40% - Accent4 4 11 2 2" xfId="5414"/>
    <cellStyle name="40% - Accent4 4 11 2 2 2" xfId="6360"/>
    <cellStyle name="40% - Accent4 4 11 2 2 2 2" xfId="13248"/>
    <cellStyle name="40% - Accent4 4 11 2 2 2 3" xfId="26476"/>
    <cellStyle name="40% - Accent4 4 11 2 2 3" xfId="13247"/>
    <cellStyle name="40% - Accent4 4 11 2 2 4" xfId="26475"/>
    <cellStyle name="40% - Accent4 4 11 2 3" xfId="5724"/>
    <cellStyle name="40% - Accent4 4 11 2 3 2" xfId="6361"/>
    <cellStyle name="40% - Accent4 4 11 2 3 2 2" xfId="26478"/>
    <cellStyle name="40% - Accent4 4 11 2 3 3" xfId="13249"/>
    <cellStyle name="40% - Accent4 4 11 2 3 4" xfId="26477"/>
    <cellStyle name="40% - Accent4 4 11 2 4" xfId="4589"/>
    <cellStyle name="40% - Accent4 4 11 2 4 2" xfId="6362"/>
    <cellStyle name="40% - Accent4 4 11 2 4 2 2" xfId="26480"/>
    <cellStyle name="40% - Accent4 4 11 2 4 3" xfId="26479"/>
    <cellStyle name="40% - Accent4 4 11 2 5" xfId="6359"/>
    <cellStyle name="40% - Accent4 4 11 2 5 2" xfId="26481"/>
    <cellStyle name="40% - Accent4 4 11 2 6" xfId="13246"/>
    <cellStyle name="40% - Accent4 4 11 2 7" xfId="25003"/>
    <cellStyle name="40% - Accent4 4 11 2 8" xfId="26474"/>
    <cellStyle name="40% - Accent4 4 11 3" xfId="5413"/>
    <cellStyle name="40% - Accent4 4 11 3 2" xfId="6363"/>
    <cellStyle name="40% - Accent4 4 11 3 2 2" xfId="13251"/>
    <cellStyle name="40% - Accent4 4 11 3 2 3" xfId="26483"/>
    <cellStyle name="40% - Accent4 4 11 3 3" xfId="13250"/>
    <cellStyle name="40% - Accent4 4 11 3 4" xfId="26482"/>
    <cellStyle name="40% - Accent4 4 11 4" xfId="5723"/>
    <cellStyle name="40% - Accent4 4 11 4 2" xfId="6364"/>
    <cellStyle name="40% - Accent4 4 11 4 2 2" xfId="13253"/>
    <cellStyle name="40% - Accent4 4 11 4 2 3" xfId="26485"/>
    <cellStyle name="40% - Accent4 4 11 4 3" xfId="13252"/>
    <cellStyle name="40% - Accent4 4 11 4 4" xfId="26484"/>
    <cellStyle name="40% - Accent4 4 11 5" xfId="4588"/>
    <cellStyle name="40% - Accent4 4 11 5 2" xfId="6365"/>
    <cellStyle name="40% - Accent4 4 11 5 2 2" xfId="13256"/>
    <cellStyle name="40% - Accent4 4 11 5 2 3" xfId="13255"/>
    <cellStyle name="40% - Accent4 4 11 5 2 4" xfId="26487"/>
    <cellStyle name="40% - Accent4 4 11 5 3" xfId="13257"/>
    <cellStyle name="40% - Accent4 4 11 5 3 2" xfId="13258"/>
    <cellStyle name="40% - Accent4 4 11 5 4" xfId="13259"/>
    <cellStyle name="40% - Accent4 4 11 5 5" xfId="13254"/>
    <cellStyle name="40% - Accent4 4 11 5 6" xfId="26486"/>
    <cellStyle name="40% - Accent4 4 11 6" xfId="6358"/>
    <cellStyle name="40% - Accent4 4 11 6 2" xfId="13261"/>
    <cellStyle name="40% - Accent4 4 11 6 3" xfId="13260"/>
    <cellStyle name="40% - Accent4 4 11 6 4" xfId="26488"/>
    <cellStyle name="40% - Accent4 4 11 7" xfId="13262"/>
    <cellStyle name="40% - Accent4 4 11 7 2" xfId="13263"/>
    <cellStyle name="40% - Accent4 4 11 8" xfId="13264"/>
    <cellStyle name="40% - Accent4 4 11 9" xfId="13245"/>
    <cellStyle name="40% - Accent4 4 12" xfId="4590"/>
    <cellStyle name="40% - Accent4 4 12 2" xfId="5415"/>
    <cellStyle name="40% - Accent4 4 12 2 2" xfId="6367"/>
    <cellStyle name="40% - Accent4 4 12 2 2 2" xfId="13267"/>
    <cellStyle name="40% - Accent4 4 12 2 2 3" xfId="26491"/>
    <cellStyle name="40% - Accent4 4 12 2 3" xfId="13266"/>
    <cellStyle name="40% - Accent4 4 12 2 4" xfId="26490"/>
    <cellStyle name="40% - Accent4 4 12 3" xfId="5725"/>
    <cellStyle name="40% - Accent4 4 12 3 2" xfId="6368"/>
    <cellStyle name="40% - Accent4 4 12 3 2 2" xfId="13269"/>
    <cellStyle name="40% - Accent4 4 12 3 2 3" xfId="26493"/>
    <cellStyle name="40% - Accent4 4 12 3 3" xfId="13268"/>
    <cellStyle name="40% - Accent4 4 12 3 4" xfId="26492"/>
    <cellStyle name="40% - Accent4 4 12 4" xfId="6366"/>
    <cellStyle name="40% - Accent4 4 12 4 2" xfId="13271"/>
    <cellStyle name="40% - Accent4 4 12 4 3" xfId="13270"/>
    <cellStyle name="40% - Accent4 4 12 4 4" xfId="26494"/>
    <cellStyle name="40% - Accent4 4 12 5" xfId="13272"/>
    <cellStyle name="40% - Accent4 4 12 6" xfId="13265"/>
    <cellStyle name="40% - Accent4 4 12 7" xfId="26489"/>
    <cellStyle name="40% - Accent4 4 13" xfId="5412"/>
    <cellStyle name="40% - Accent4 4 13 2" xfId="6369"/>
    <cellStyle name="40% - Accent4 4 13 2 2" xfId="13275"/>
    <cellStyle name="40% - Accent4 4 13 2 3" xfId="13274"/>
    <cellStyle name="40% - Accent4 4 13 2 4" xfId="26496"/>
    <cellStyle name="40% - Accent4 4 13 3" xfId="13276"/>
    <cellStyle name="40% - Accent4 4 13 3 2" xfId="13277"/>
    <cellStyle name="40% - Accent4 4 13 4" xfId="13278"/>
    <cellStyle name="40% - Accent4 4 13 5" xfId="13273"/>
    <cellStyle name="40% - Accent4 4 13 6" xfId="26495"/>
    <cellStyle name="40% - Accent4 4 14" xfId="5722"/>
    <cellStyle name="40% - Accent4 4 14 2" xfId="6370"/>
    <cellStyle name="40% - Accent4 4 14 2 2" xfId="13280"/>
    <cellStyle name="40% - Accent4 4 14 2 3" xfId="26498"/>
    <cellStyle name="40% - Accent4 4 14 3" xfId="13279"/>
    <cellStyle name="40% - Accent4 4 14 4" xfId="26497"/>
    <cellStyle name="40% - Accent4 4 15" xfId="4586"/>
    <cellStyle name="40% - Accent4 4 15 2" xfId="6371"/>
    <cellStyle name="40% - Accent4 4 15 2 2" xfId="13282"/>
    <cellStyle name="40% - Accent4 4 15 2 3" xfId="26500"/>
    <cellStyle name="40% - Accent4 4 15 3" xfId="13281"/>
    <cellStyle name="40% - Accent4 4 15 4" xfId="26499"/>
    <cellStyle name="40% - Accent4 4 16" xfId="13283"/>
    <cellStyle name="40% - Accent4 4 16 2" xfId="13284"/>
    <cellStyle name="40% - Accent4 4 17" xfId="13285"/>
    <cellStyle name="40% - Accent4 4 17 2" xfId="13286"/>
    <cellStyle name="40% - Accent4 4 17 2 2" xfId="13287"/>
    <cellStyle name="40% - Accent4 4 17 3" xfId="13288"/>
    <cellStyle name="40% - Accent4 4 17 3 2" xfId="13289"/>
    <cellStyle name="40% - Accent4 4 17 4" xfId="13290"/>
    <cellStyle name="40% - Accent4 4 18" xfId="13291"/>
    <cellStyle name="40% - Accent4 4 18 2" xfId="13292"/>
    <cellStyle name="40% - Accent4 4 19" xfId="13293"/>
    <cellStyle name="40% - Accent4 4 19 2" xfId="13294"/>
    <cellStyle name="40% - Accent4 4 2" xfId="1502"/>
    <cellStyle name="40% - Accent4 4 2 10" xfId="13296"/>
    <cellStyle name="40% - Accent4 4 2 10 2" xfId="13297"/>
    <cellStyle name="40% - Accent4 4 2 10 2 2" xfId="13298"/>
    <cellStyle name="40% - Accent4 4 2 10 3" xfId="13299"/>
    <cellStyle name="40% - Accent4 4 2 10 3 2" xfId="13300"/>
    <cellStyle name="40% - Accent4 4 2 10 4" xfId="13301"/>
    <cellStyle name="40% - Accent4 4 2 11" xfId="13302"/>
    <cellStyle name="40% - Accent4 4 2 11 2" xfId="13303"/>
    <cellStyle name="40% - Accent4 4 2 11 2 2" xfId="13304"/>
    <cellStyle name="40% - Accent4 4 2 11 3" xfId="13305"/>
    <cellStyle name="40% - Accent4 4 2 11 3 2" xfId="13306"/>
    <cellStyle name="40% - Accent4 4 2 11 4" xfId="13307"/>
    <cellStyle name="40% - Accent4 4 2 12" xfId="13308"/>
    <cellStyle name="40% - Accent4 4 2 12 2" xfId="13309"/>
    <cellStyle name="40% - Accent4 4 2 12 2 2" xfId="13310"/>
    <cellStyle name="40% - Accent4 4 2 12 3" xfId="13311"/>
    <cellStyle name="40% - Accent4 4 2 12 3 2" xfId="13312"/>
    <cellStyle name="40% - Accent4 4 2 12 4" xfId="13313"/>
    <cellStyle name="40% - Accent4 4 2 13" xfId="13314"/>
    <cellStyle name="40% - Accent4 4 2 13 2" xfId="13315"/>
    <cellStyle name="40% - Accent4 4 2 14" xfId="13316"/>
    <cellStyle name="40% - Accent4 4 2 14 2" xfId="13317"/>
    <cellStyle name="40% - Accent4 4 2 15" xfId="13318"/>
    <cellStyle name="40% - Accent4 4 2 15 2" xfId="13319"/>
    <cellStyle name="40% - Accent4 4 2 16" xfId="13320"/>
    <cellStyle name="40% - Accent4 4 2 16 2" xfId="13321"/>
    <cellStyle name="40% - Accent4 4 2 17" xfId="13322"/>
    <cellStyle name="40% - Accent4 4 2 18" xfId="13295"/>
    <cellStyle name="40% - Accent4 4 2 2" xfId="4591"/>
    <cellStyle name="40% - Accent4 4 2 2 2" xfId="13324"/>
    <cellStyle name="40% - Accent4 4 2 2 2 2" xfId="13325"/>
    <cellStyle name="40% - Accent4 4 2 2 3" xfId="13326"/>
    <cellStyle name="40% - Accent4 4 2 2 3 2" xfId="13327"/>
    <cellStyle name="40% - Accent4 4 2 2 4" xfId="13328"/>
    <cellStyle name="40% - Accent4 4 2 2 5" xfId="13323"/>
    <cellStyle name="40% - Accent4 4 2 3" xfId="13329"/>
    <cellStyle name="40% - Accent4 4 2 3 2" xfId="13330"/>
    <cellStyle name="40% - Accent4 4 2 3 2 2" xfId="13331"/>
    <cellStyle name="40% - Accent4 4 2 3 3" xfId="13332"/>
    <cellStyle name="40% - Accent4 4 2 3 3 2" xfId="13333"/>
    <cellStyle name="40% - Accent4 4 2 3 4" xfId="13334"/>
    <cellStyle name="40% - Accent4 4 2 4" xfId="13335"/>
    <cellStyle name="40% - Accent4 4 2 4 2" xfId="13336"/>
    <cellStyle name="40% - Accent4 4 2 4 2 2" xfId="13337"/>
    <cellStyle name="40% - Accent4 4 2 4 3" xfId="13338"/>
    <cellStyle name="40% - Accent4 4 2 4 3 2" xfId="13339"/>
    <cellStyle name="40% - Accent4 4 2 4 4" xfId="13340"/>
    <cellStyle name="40% - Accent4 4 2 5" xfId="13341"/>
    <cellStyle name="40% - Accent4 4 2 5 2" xfId="13342"/>
    <cellStyle name="40% - Accent4 4 2 5 2 2" xfId="13343"/>
    <cellStyle name="40% - Accent4 4 2 5 3" xfId="13344"/>
    <cellStyle name="40% - Accent4 4 2 5 3 2" xfId="13345"/>
    <cellStyle name="40% - Accent4 4 2 5 4" xfId="13346"/>
    <cellStyle name="40% - Accent4 4 2 6" xfId="13347"/>
    <cellStyle name="40% - Accent4 4 2 6 2" xfId="13348"/>
    <cellStyle name="40% - Accent4 4 2 6 2 2" xfId="13349"/>
    <cellStyle name="40% - Accent4 4 2 6 3" xfId="13350"/>
    <cellStyle name="40% - Accent4 4 2 6 3 2" xfId="13351"/>
    <cellStyle name="40% - Accent4 4 2 6 4" xfId="13352"/>
    <cellStyle name="40% - Accent4 4 2 7" xfId="13353"/>
    <cellStyle name="40% - Accent4 4 2 7 2" xfId="13354"/>
    <cellStyle name="40% - Accent4 4 2 7 2 2" xfId="13355"/>
    <cellStyle name="40% - Accent4 4 2 7 3" xfId="13356"/>
    <cellStyle name="40% - Accent4 4 2 7 3 2" xfId="13357"/>
    <cellStyle name="40% - Accent4 4 2 7 4" xfId="13358"/>
    <cellStyle name="40% - Accent4 4 2 8" xfId="13359"/>
    <cellStyle name="40% - Accent4 4 2 8 2" xfId="13360"/>
    <cellStyle name="40% - Accent4 4 2 8 2 2" xfId="13361"/>
    <cellStyle name="40% - Accent4 4 2 8 3" xfId="13362"/>
    <cellStyle name="40% - Accent4 4 2 8 3 2" xfId="13363"/>
    <cellStyle name="40% - Accent4 4 2 8 4" xfId="13364"/>
    <cellStyle name="40% - Accent4 4 2 9" xfId="13365"/>
    <cellStyle name="40% - Accent4 4 2 9 2" xfId="13366"/>
    <cellStyle name="40% - Accent4 4 2 9 2 2" xfId="13367"/>
    <cellStyle name="40% - Accent4 4 2 9 3" xfId="13368"/>
    <cellStyle name="40% - Accent4 4 2 9 3 2" xfId="13369"/>
    <cellStyle name="40% - Accent4 4 2 9 4" xfId="13370"/>
    <cellStyle name="40% - Accent4 4 20" xfId="13371"/>
    <cellStyle name="40% - Accent4 4 21" xfId="13234"/>
    <cellStyle name="40% - Accent4 4 3" xfId="1627"/>
    <cellStyle name="40% - Accent4 4 3 2" xfId="4592"/>
    <cellStyle name="40% - Accent4 4 3 2 2" xfId="13374"/>
    <cellStyle name="40% - Accent4 4 3 2 3" xfId="13373"/>
    <cellStyle name="40% - Accent4 4 3 3" xfId="13375"/>
    <cellStyle name="40% - Accent4 4 3 3 2" xfId="13376"/>
    <cellStyle name="40% - Accent4 4 3 4" xfId="13377"/>
    <cellStyle name="40% - Accent4 4 3 4 2" xfId="13378"/>
    <cellStyle name="40% - Accent4 4 3 5" xfId="13379"/>
    <cellStyle name="40% - Accent4 4 3 5 2" xfId="13380"/>
    <cellStyle name="40% - Accent4 4 3 6" xfId="13381"/>
    <cellStyle name="40% - Accent4 4 3 7" xfId="13372"/>
    <cellStyle name="40% - Accent4 4 4" xfId="1752"/>
    <cellStyle name="40% - Accent4 4 4 2" xfId="13383"/>
    <cellStyle name="40% - Accent4 4 4 2 2" xfId="13384"/>
    <cellStyle name="40% - Accent4 4 4 3" xfId="13385"/>
    <cellStyle name="40% - Accent4 4 4 3 2" xfId="13386"/>
    <cellStyle name="40% - Accent4 4 4 4" xfId="13387"/>
    <cellStyle name="40% - Accent4 4 4 4 2" xfId="13388"/>
    <cellStyle name="40% - Accent4 4 4 5" xfId="13389"/>
    <cellStyle name="40% - Accent4 4 4 6" xfId="13382"/>
    <cellStyle name="40% - Accent4 4 5" xfId="2087"/>
    <cellStyle name="40% - Accent4 4 5 2" xfId="13391"/>
    <cellStyle name="40% - Accent4 4 5 2 2" xfId="13392"/>
    <cellStyle name="40% - Accent4 4 5 3" xfId="13393"/>
    <cellStyle name="40% - Accent4 4 5 3 2" xfId="13394"/>
    <cellStyle name="40% - Accent4 4 5 4" xfId="13395"/>
    <cellStyle name="40% - Accent4 4 5 4 2" xfId="13396"/>
    <cellStyle name="40% - Accent4 4 5 5" xfId="13397"/>
    <cellStyle name="40% - Accent4 4 5 6" xfId="13390"/>
    <cellStyle name="40% - Accent4 4 6" xfId="2461"/>
    <cellStyle name="40% - Accent4 4 6 2" xfId="13399"/>
    <cellStyle name="40% - Accent4 4 6 2 2" xfId="13400"/>
    <cellStyle name="40% - Accent4 4 6 3" xfId="13401"/>
    <cellStyle name="40% - Accent4 4 6 3 2" xfId="13402"/>
    <cellStyle name="40% - Accent4 4 6 4" xfId="13403"/>
    <cellStyle name="40% - Accent4 4 6 4 2" xfId="13404"/>
    <cellStyle name="40% - Accent4 4 6 5" xfId="13405"/>
    <cellStyle name="40% - Accent4 4 6 6" xfId="13398"/>
    <cellStyle name="40% - Accent4 4 7" xfId="2833"/>
    <cellStyle name="40% - Accent4 4 7 2" xfId="13407"/>
    <cellStyle name="40% - Accent4 4 7 2 2" xfId="13408"/>
    <cellStyle name="40% - Accent4 4 7 3" xfId="13409"/>
    <cellStyle name="40% - Accent4 4 7 3 2" xfId="13410"/>
    <cellStyle name="40% - Accent4 4 7 4" xfId="13411"/>
    <cellStyle name="40% - Accent4 4 7 4 2" xfId="13412"/>
    <cellStyle name="40% - Accent4 4 7 5" xfId="13413"/>
    <cellStyle name="40% - Accent4 4 7 6" xfId="13406"/>
    <cellStyle name="40% - Accent4 4 8" xfId="3204"/>
    <cellStyle name="40% - Accent4 4 8 2" xfId="13415"/>
    <cellStyle name="40% - Accent4 4 8 2 2" xfId="13416"/>
    <cellStyle name="40% - Accent4 4 8 3" xfId="13417"/>
    <cellStyle name="40% - Accent4 4 8 3 2" xfId="13418"/>
    <cellStyle name="40% - Accent4 4 8 4" xfId="13419"/>
    <cellStyle name="40% - Accent4 4 8 4 2" xfId="13420"/>
    <cellStyle name="40% - Accent4 4 8 5" xfId="13421"/>
    <cellStyle name="40% - Accent4 4 8 6" xfId="13414"/>
    <cellStyle name="40% - Accent4 4 9" xfId="3591"/>
    <cellStyle name="40% - Accent4 4 9 2" xfId="4593"/>
    <cellStyle name="40% - Accent4 4 9 2 2" xfId="13424"/>
    <cellStyle name="40% - Accent4 4 9 2 3" xfId="13423"/>
    <cellStyle name="40% - Accent4 4 9 3" xfId="13425"/>
    <cellStyle name="40% - Accent4 4 9 3 2" xfId="13426"/>
    <cellStyle name="40% - Accent4 4 9 4" xfId="13427"/>
    <cellStyle name="40% - Accent4 4 9 4 2" xfId="13428"/>
    <cellStyle name="40% - Accent4 4 9 5" xfId="13429"/>
    <cellStyle name="40% - Accent4 4 9 5 2" xfId="13430"/>
    <cellStyle name="40% - Accent4 4 9 6" xfId="13431"/>
    <cellStyle name="40% - Accent4 4 9 7" xfId="13422"/>
    <cellStyle name="40% - Accent4 5" xfId="395"/>
    <cellStyle name="40% - Accent4 5 10" xfId="13433"/>
    <cellStyle name="40% - Accent4 5 10 2" xfId="13434"/>
    <cellStyle name="40% - Accent4 5 10 2 2" xfId="13435"/>
    <cellStyle name="40% - Accent4 5 10 3" xfId="13436"/>
    <cellStyle name="40% - Accent4 5 10 3 2" xfId="13437"/>
    <cellStyle name="40% - Accent4 5 10 4" xfId="13438"/>
    <cellStyle name="40% - Accent4 5 11" xfId="13439"/>
    <cellStyle name="40% - Accent4 5 11 2" xfId="13440"/>
    <cellStyle name="40% - Accent4 5 11 2 2" xfId="13441"/>
    <cellStyle name="40% - Accent4 5 11 3" xfId="13442"/>
    <cellStyle name="40% - Accent4 5 11 3 2" xfId="13443"/>
    <cellStyle name="40% - Accent4 5 11 4" xfId="13444"/>
    <cellStyle name="40% - Accent4 5 12" xfId="13445"/>
    <cellStyle name="40% - Accent4 5 12 2" xfId="13446"/>
    <cellStyle name="40% - Accent4 5 12 2 2" xfId="13447"/>
    <cellStyle name="40% - Accent4 5 12 3" xfId="13448"/>
    <cellStyle name="40% - Accent4 5 12 3 2" xfId="13449"/>
    <cellStyle name="40% - Accent4 5 12 4" xfId="13450"/>
    <cellStyle name="40% - Accent4 5 13" xfId="13451"/>
    <cellStyle name="40% - Accent4 5 13 2" xfId="13452"/>
    <cellStyle name="40% - Accent4 5 13 2 2" xfId="13453"/>
    <cellStyle name="40% - Accent4 5 13 3" xfId="13454"/>
    <cellStyle name="40% - Accent4 5 13 3 2" xfId="13455"/>
    <cellStyle name="40% - Accent4 5 13 4" xfId="13456"/>
    <cellStyle name="40% - Accent4 5 14" xfId="13457"/>
    <cellStyle name="40% - Accent4 5 14 2" xfId="13458"/>
    <cellStyle name="40% - Accent4 5 15" xfId="13459"/>
    <cellStyle name="40% - Accent4 5 15 2" xfId="13460"/>
    <cellStyle name="40% - Accent4 5 16" xfId="13461"/>
    <cellStyle name="40% - Accent4 5 16 2" xfId="13462"/>
    <cellStyle name="40% - Accent4 5 17" xfId="13463"/>
    <cellStyle name="40% - Accent4 5 17 2" xfId="13464"/>
    <cellStyle name="40% - Accent4 5 18" xfId="13465"/>
    <cellStyle name="40% - Accent4 5 19" xfId="13432"/>
    <cellStyle name="40% - Accent4 5 2" xfId="1766"/>
    <cellStyle name="40% - Accent4 5 2 10" xfId="13467"/>
    <cellStyle name="40% - Accent4 5 2 10 2" xfId="13468"/>
    <cellStyle name="40% - Accent4 5 2 10 2 2" xfId="13469"/>
    <cellStyle name="40% - Accent4 5 2 10 3" xfId="13470"/>
    <cellStyle name="40% - Accent4 5 2 10 3 2" xfId="13471"/>
    <cellStyle name="40% - Accent4 5 2 10 4" xfId="13472"/>
    <cellStyle name="40% - Accent4 5 2 11" xfId="13473"/>
    <cellStyle name="40% - Accent4 5 2 11 2" xfId="13474"/>
    <cellStyle name="40% - Accent4 5 2 11 2 2" xfId="13475"/>
    <cellStyle name="40% - Accent4 5 2 11 3" xfId="13476"/>
    <cellStyle name="40% - Accent4 5 2 11 3 2" xfId="13477"/>
    <cellStyle name="40% - Accent4 5 2 11 4" xfId="13478"/>
    <cellStyle name="40% - Accent4 5 2 12" xfId="13479"/>
    <cellStyle name="40% - Accent4 5 2 12 2" xfId="13480"/>
    <cellStyle name="40% - Accent4 5 2 12 2 2" xfId="13481"/>
    <cellStyle name="40% - Accent4 5 2 12 3" xfId="13482"/>
    <cellStyle name="40% - Accent4 5 2 12 3 2" xfId="13483"/>
    <cellStyle name="40% - Accent4 5 2 12 4" xfId="13484"/>
    <cellStyle name="40% - Accent4 5 2 13" xfId="13485"/>
    <cellStyle name="40% - Accent4 5 2 13 2" xfId="13486"/>
    <cellStyle name="40% - Accent4 5 2 14" xfId="13487"/>
    <cellStyle name="40% - Accent4 5 2 14 2" xfId="13488"/>
    <cellStyle name="40% - Accent4 5 2 15" xfId="13489"/>
    <cellStyle name="40% - Accent4 5 2 15 2" xfId="13490"/>
    <cellStyle name="40% - Accent4 5 2 16" xfId="13491"/>
    <cellStyle name="40% - Accent4 5 2 17" xfId="13466"/>
    <cellStyle name="40% - Accent4 5 2 2" xfId="13492"/>
    <cellStyle name="40% - Accent4 5 2 2 2" xfId="13493"/>
    <cellStyle name="40% - Accent4 5 2 2 2 2" xfId="13494"/>
    <cellStyle name="40% - Accent4 5 2 2 3" xfId="13495"/>
    <cellStyle name="40% - Accent4 5 2 2 3 2" xfId="13496"/>
    <cellStyle name="40% - Accent4 5 2 2 4" xfId="13497"/>
    <cellStyle name="40% - Accent4 5 2 3" xfId="13498"/>
    <cellStyle name="40% - Accent4 5 2 3 2" xfId="13499"/>
    <cellStyle name="40% - Accent4 5 2 3 2 2" xfId="13500"/>
    <cellStyle name="40% - Accent4 5 2 3 3" xfId="13501"/>
    <cellStyle name="40% - Accent4 5 2 3 3 2" xfId="13502"/>
    <cellStyle name="40% - Accent4 5 2 3 4" xfId="13503"/>
    <cellStyle name="40% - Accent4 5 2 4" xfId="13504"/>
    <cellStyle name="40% - Accent4 5 2 4 2" xfId="13505"/>
    <cellStyle name="40% - Accent4 5 2 4 2 2" xfId="13506"/>
    <cellStyle name="40% - Accent4 5 2 4 3" xfId="13507"/>
    <cellStyle name="40% - Accent4 5 2 4 3 2" xfId="13508"/>
    <cellStyle name="40% - Accent4 5 2 4 4" xfId="13509"/>
    <cellStyle name="40% - Accent4 5 2 5" xfId="13510"/>
    <cellStyle name="40% - Accent4 5 2 5 2" xfId="13511"/>
    <cellStyle name="40% - Accent4 5 2 5 2 2" xfId="13512"/>
    <cellStyle name="40% - Accent4 5 2 5 3" xfId="13513"/>
    <cellStyle name="40% - Accent4 5 2 5 3 2" xfId="13514"/>
    <cellStyle name="40% - Accent4 5 2 5 4" xfId="13515"/>
    <cellStyle name="40% - Accent4 5 2 6" xfId="13516"/>
    <cellStyle name="40% - Accent4 5 2 6 2" xfId="13517"/>
    <cellStyle name="40% - Accent4 5 2 6 2 2" xfId="13518"/>
    <cellStyle name="40% - Accent4 5 2 6 3" xfId="13519"/>
    <cellStyle name="40% - Accent4 5 2 6 3 2" xfId="13520"/>
    <cellStyle name="40% - Accent4 5 2 6 4" xfId="13521"/>
    <cellStyle name="40% - Accent4 5 2 7" xfId="13522"/>
    <cellStyle name="40% - Accent4 5 2 7 2" xfId="13523"/>
    <cellStyle name="40% - Accent4 5 2 7 2 2" xfId="13524"/>
    <cellStyle name="40% - Accent4 5 2 7 3" xfId="13525"/>
    <cellStyle name="40% - Accent4 5 2 7 3 2" xfId="13526"/>
    <cellStyle name="40% - Accent4 5 2 7 4" xfId="13527"/>
    <cellStyle name="40% - Accent4 5 2 8" xfId="13528"/>
    <cellStyle name="40% - Accent4 5 2 8 2" xfId="13529"/>
    <cellStyle name="40% - Accent4 5 2 8 2 2" xfId="13530"/>
    <cellStyle name="40% - Accent4 5 2 8 3" xfId="13531"/>
    <cellStyle name="40% - Accent4 5 2 8 3 2" xfId="13532"/>
    <cellStyle name="40% - Accent4 5 2 8 4" xfId="13533"/>
    <cellStyle name="40% - Accent4 5 2 9" xfId="13534"/>
    <cellStyle name="40% - Accent4 5 2 9 2" xfId="13535"/>
    <cellStyle name="40% - Accent4 5 2 9 2 2" xfId="13536"/>
    <cellStyle name="40% - Accent4 5 2 9 3" xfId="13537"/>
    <cellStyle name="40% - Accent4 5 2 9 3 2" xfId="13538"/>
    <cellStyle name="40% - Accent4 5 2 9 4" xfId="13539"/>
    <cellStyle name="40% - Accent4 5 3" xfId="2101"/>
    <cellStyle name="40% - Accent4 5 3 2" xfId="13541"/>
    <cellStyle name="40% - Accent4 5 3 2 2" xfId="13542"/>
    <cellStyle name="40% - Accent4 5 3 3" xfId="13543"/>
    <cellStyle name="40% - Accent4 5 3 3 2" xfId="13544"/>
    <cellStyle name="40% - Accent4 5 3 4" xfId="13545"/>
    <cellStyle name="40% - Accent4 5 3 4 2" xfId="13546"/>
    <cellStyle name="40% - Accent4 5 3 5" xfId="13547"/>
    <cellStyle name="40% - Accent4 5 3 6" xfId="13540"/>
    <cellStyle name="40% - Accent4 5 4" xfId="2475"/>
    <cellStyle name="40% - Accent4 5 4 2" xfId="13549"/>
    <cellStyle name="40% - Accent4 5 4 2 2" xfId="13550"/>
    <cellStyle name="40% - Accent4 5 4 3" xfId="13551"/>
    <cellStyle name="40% - Accent4 5 4 3 2" xfId="13552"/>
    <cellStyle name="40% - Accent4 5 4 4" xfId="13553"/>
    <cellStyle name="40% - Accent4 5 4 4 2" xfId="13554"/>
    <cellStyle name="40% - Accent4 5 4 5" xfId="13555"/>
    <cellStyle name="40% - Accent4 5 4 6" xfId="13548"/>
    <cellStyle name="40% - Accent4 5 5" xfId="2847"/>
    <cellStyle name="40% - Accent4 5 5 2" xfId="13557"/>
    <cellStyle name="40% - Accent4 5 5 2 2" xfId="13558"/>
    <cellStyle name="40% - Accent4 5 5 3" xfId="13559"/>
    <cellStyle name="40% - Accent4 5 5 3 2" xfId="13560"/>
    <cellStyle name="40% - Accent4 5 5 4" xfId="13561"/>
    <cellStyle name="40% - Accent4 5 5 4 2" xfId="13562"/>
    <cellStyle name="40% - Accent4 5 5 5" xfId="13563"/>
    <cellStyle name="40% - Accent4 5 5 6" xfId="13556"/>
    <cellStyle name="40% - Accent4 5 6" xfId="3218"/>
    <cellStyle name="40% - Accent4 5 6 2" xfId="13565"/>
    <cellStyle name="40% - Accent4 5 6 2 2" xfId="13566"/>
    <cellStyle name="40% - Accent4 5 6 3" xfId="13567"/>
    <cellStyle name="40% - Accent4 5 6 3 2" xfId="13568"/>
    <cellStyle name="40% - Accent4 5 6 4" xfId="13569"/>
    <cellStyle name="40% - Accent4 5 6 4 2" xfId="13570"/>
    <cellStyle name="40% - Accent4 5 6 5" xfId="13571"/>
    <cellStyle name="40% - Accent4 5 6 6" xfId="13564"/>
    <cellStyle name="40% - Accent4 5 7" xfId="4594"/>
    <cellStyle name="40% - Accent4 5 7 2" xfId="13573"/>
    <cellStyle name="40% - Accent4 5 7 2 2" xfId="13574"/>
    <cellStyle name="40% - Accent4 5 7 3" xfId="13575"/>
    <cellStyle name="40% - Accent4 5 7 3 2" xfId="13576"/>
    <cellStyle name="40% - Accent4 5 7 4" xfId="13577"/>
    <cellStyle name="40% - Accent4 5 7 5" xfId="13572"/>
    <cellStyle name="40% - Accent4 5 8" xfId="13578"/>
    <cellStyle name="40% - Accent4 5 8 2" xfId="13579"/>
    <cellStyle name="40% - Accent4 5 8 2 2" xfId="13580"/>
    <cellStyle name="40% - Accent4 5 8 3" xfId="13581"/>
    <cellStyle name="40% - Accent4 5 8 3 2" xfId="13582"/>
    <cellStyle name="40% - Accent4 5 8 4" xfId="13583"/>
    <cellStyle name="40% - Accent4 5 9" xfId="13584"/>
    <cellStyle name="40% - Accent4 5 9 2" xfId="13585"/>
    <cellStyle name="40% - Accent4 5 9 2 2" xfId="13586"/>
    <cellStyle name="40% - Accent4 5 9 3" xfId="13587"/>
    <cellStyle name="40% - Accent4 5 9 3 2" xfId="13588"/>
    <cellStyle name="40% - Accent4 5 9 4" xfId="13589"/>
    <cellStyle name="40% - Accent4 6" xfId="396"/>
    <cellStyle name="40% - Accent4 6 10" xfId="5416"/>
    <cellStyle name="40% - Accent4 6 10 2" xfId="6373"/>
    <cellStyle name="40% - Accent4 6 10 2 2" xfId="13593"/>
    <cellStyle name="40% - Accent4 6 10 2 3" xfId="13592"/>
    <cellStyle name="40% - Accent4 6 10 2 4" xfId="26503"/>
    <cellStyle name="40% - Accent4 6 10 3" xfId="13594"/>
    <cellStyle name="40% - Accent4 6 10 3 2" xfId="13595"/>
    <cellStyle name="40% - Accent4 6 10 4" xfId="13596"/>
    <cellStyle name="40% - Accent4 6 10 5" xfId="13591"/>
    <cellStyle name="40% - Accent4 6 10 6" xfId="26502"/>
    <cellStyle name="40% - Accent4 6 11" xfId="5726"/>
    <cellStyle name="40% - Accent4 6 11 2" xfId="6374"/>
    <cellStyle name="40% - Accent4 6 11 2 2" xfId="13599"/>
    <cellStyle name="40% - Accent4 6 11 2 3" xfId="13598"/>
    <cellStyle name="40% - Accent4 6 11 2 4" xfId="26505"/>
    <cellStyle name="40% - Accent4 6 11 3" xfId="13600"/>
    <cellStyle name="40% - Accent4 6 11 3 2" xfId="13601"/>
    <cellStyle name="40% - Accent4 6 11 4" xfId="13602"/>
    <cellStyle name="40% - Accent4 6 11 5" xfId="13597"/>
    <cellStyle name="40% - Accent4 6 11 6" xfId="26504"/>
    <cellStyle name="40% - Accent4 6 12" xfId="4595"/>
    <cellStyle name="40% - Accent4 6 12 2" xfId="6375"/>
    <cellStyle name="40% - Accent4 6 12 2 2" xfId="13605"/>
    <cellStyle name="40% - Accent4 6 12 2 3" xfId="13604"/>
    <cellStyle name="40% - Accent4 6 12 2 4" xfId="26507"/>
    <cellStyle name="40% - Accent4 6 12 3" xfId="13606"/>
    <cellStyle name="40% - Accent4 6 12 3 2" xfId="13607"/>
    <cellStyle name="40% - Accent4 6 12 4" xfId="13608"/>
    <cellStyle name="40% - Accent4 6 12 5" xfId="13603"/>
    <cellStyle name="40% - Accent4 6 12 6" xfId="26506"/>
    <cellStyle name="40% - Accent4 6 13" xfId="6372"/>
    <cellStyle name="40% - Accent4 6 13 2" xfId="13610"/>
    <cellStyle name="40% - Accent4 6 13 3" xfId="13609"/>
    <cellStyle name="40% - Accent4 6 13 4" xfId="26508"/>
    <cellStyle name="40% - Accent4 6 14" xfId="13611"/>
    <cellStyle name="40% - Accent4 6 14 2" xfId="13612"/>
    <cellStyle name="40% - Accent4 6 15" xfId="13613"/>
    <cellStyle name="40% - Accent4 6 15 2" xfId="13614"/>
    <cellStyle name="40% - Accent4 6 16" xfId="13615"/>
    <cellStyle name="40% - Accent4 6 16 2" xfId="13616"/>
    <cellStyle name="40% - Accent4 6 16 2 2" xfId="13617"/>
    <cellStyle name="40% - Accent4 6 16 3" xfId="13618"/>
    <cellStyle name="40% - Accent4 6 16 3 2" xfId="13619"/>
    <cellStyle name="40% - Accent4 6 16 4" xfId="13620"/>
    <cellStyle name="40% - Accent4 6 17" xfId="13621"/>
    <cellStyle name="40% - Accent4 6 17 2" xfId="13622"/>
    <cellStyle name="40% - Accent4 6 18" xfId="13623"/>
    <cellStyle name="40% - Accent4 6 18 2" xfId="13624"/>
    <cellStyle name="40% - Accent4 6 19" xfId="13625"/>
    <cellStyle name="40% - Accent4 6 2" xfId="1978"/>
    <cellStyle name="40% - Accent4 6 2 2" xfId="4596"/>
    <cellStyle name="40% - Accent4 6 2 2 2" xfId="13628"/>
    <cellStyle name="40% - Accent4 6 2 2 3" xfId="13627"/>
    <cellStyle name="40% - Accent4 6 2 3" xfId="13629"/>
    <cellStyle name="40% - Accent4 6 2 3 2" xfId="13630"/>
    <cellStyle name="40% - Accent4 6 2 4" xfId="13631"/>
    <cellStyle name="40% - Accent4 6 2 4 2" xfId="13632"/>
    <cellStyle name="40% - Accent4 6 2 5" xfId="13633"/>
    <cellStyle name="40% - Accent4 6 2 5 2" xfId="13634"/>
    <cellStyle name="40% - Accent4 6 2 6" xfId="13635"/>
    <cellStyle name="40% - Accent4 6 2 7" xfId="13626"/>
    <cellStyle name="40% - Accent4 6 20" xfId="13590"/>
    <cellStyle name="40% - Accent4 6 21" xfId="24840"/>
    <cellStyle name="40% - Accent4 6 22" xfId="26501"/>
    <cellStyle name="40% - Accent4 6 3" xfId="2353"/>
    <cellStyle name="40% - Accent4 6 3 2" xfId="4597"/>
    <cellStyle name="40% - Accent4 6 3 2 2" xfId="13638"/>
    <cellStyle name="40% - Accent4 6 3 2 3" xfId="13637"/>
    <cellStyle name="40% - Accent4 6 3 3" xfId="13639"/>
    <cellStyle name="40% - Accent4 6 3 3 2" xfId="13640"/>
    <cellStyle name="40% - Accent4 6 3 4" xfId="13641"/>
    <cellStyle name="40% - Accent4 6 3 4 2" xfId="13642"/>
    <cellStyle name="40% - Accent4 6 3 5" xfId="13643"/>
    <cellStyle name="40% - Accent4 6 3 5 2" xfId="13644"/>
    <cellStyle name="40% - Accent4 6 3 6" xfId="13645"/>
    <cellStyle name="40% - Accent4 6 3 7" xfId="13636"/>
    <cellStyle name="40% - Accent4 6 4" xfId="2726"/>
    <cellStyle name="40% - Accent4 6 4 2" xfId="4598"/>
    <cellStyle name="40% - Accent4 6 4 2 2" xfId="13648"/>
    <cellStyle name="40% - Accent4 6 4 2 3" xfId="13647"/>
    <cellStyle name="40% - Accent4 6 4 3" xfId="13649"/>
    <cellStyle name="40% - Accent4 6 4 3 2" xfId="13650"/>
    <cellStyle name="40% - Accent4 6 4 4" xfId="13651"/>
    <cellStyle name="40% - Accent4 6 4 4 2" xfId="13652"/>
    <cellStyle name="40% - Accent4 6 4 5" xfId="13653"/>
    <cellStyle name="40% - Accent4 6 4 5 2" xfId="13654"/>
    <cellStyle name="40% - Accent4 6 4 6" xfId="13655"/>
    <cellStyle name="40% - Accent4 6 4 7" xfId="13646"/>
    <cellStyle name="40% - Accent4 6 5" xfId="3099"/>
    <cellStyle name="40% - Accent4 6 5 2" xfId="4599"/>
    <cellStyle name="40% - Accent4 6 5 2 2" xfId="13658"/>
    <cellStyle name="40% - Accent4 6 5 2 3" xfId="13657"/>
    <cellStyle name="40% - Accent4 6 5 3" xfId="13659"/>
    <cellStyle name="40% - Accent4 6 5 3 2" xfId="13660"/>
    <cellStyle name="40% - Accent4 6 5 4" xfId="13661"/>
    <cellStyle name="40% - Accent4 6 5 4 2" xfId="13662"/>
    <cellStyle name="40% - Accent4 6 5 5" xfId="13663"/>
    <cellStyle name="40% - Accent4 6 5 5 2" xfId="13664"/>
    <cellStyle name="40% - Accent4 6 5 6" xfId="13665"/>
    <cellStyle name="40% - Accent4 6 5 7" xfId="13656"/>
    <cellStyle name="40% - Accent4 6 6" xfId="3470"/>
    <cellStyle name="40% - Accent4 6 6 2" xfId="4600"/>
    <cellStyle name="40% - Accent4 6 6 2 2" xfId="13668"/>
    <cellStyle name="40% - Accent4 6 6 2 3" xfId="13667"/>
    <cellStyle name="40% - Accent4 6 6 3" xfId="13669"/>
    <cellStyle name="40% - Accent4 6 6 3 2" xfId="13670"/>
    <cellStyle name="40% - Accent4 6 6 4" xfId="13671"/>
    <cellStyle name="40% - Accent4 6 6 4 2" xfId="13672"/>
    <cellStyle name="40% - Accent4 6 6 5" xfId="13673"/>
    <cellStyle name="40% - Accent4 6 6 5 2" xfId="13674"/>
    <cellStyle name="40% - Accent4 6 6 6" xfId="13675"/>
    <cellStyle name="40% - Accent4 6 6 7" xfId="13666"/>
    <cellStyle name="40% - Accent4 6 7" xfId="3776"/>
    <cellStyle name="40% - Accent4 6 7 2" xfId="4601"/>
    <cellStyle name="40% - Accent4 6 7 2 2" xfId="13678"/>
    <cellStyle name="40% - Accent4 6 7 2 3" xfId="13677"/>
    <cellStyle name="40% - Accent4 6 7 3" xfId="13679"/>
    <cellStyle name="40% - Accent4 6 7 3 2" xfId="13680"/>
    <cellStyle name="40% - Accent4 6 7 4" xfId="13681"/>
    <cellStyle name="40% - Accent4 6 7 4 2" xfId="13682"/>
    <cellStyle name="40% - Accent4 6 7 5" xfId="13683"/>
    <cellStyle name="40% - Accent4 6 7 5 2" xfId="13684"/>
    <cellStyle name="40% - Accent4 6 7 6" xfId="13685"/>
    <cellStyle name="40% - Accent4 6 7 7" xfId="13676"/>
    <cellStyle name="40% - Accent4 6 8" xfId="1366"/>
    <cellStyle name="40% - Accent4 6 8 10" xfId="24898"/>
    <cellStyle name="40% - Accent4 6 8 11" xfId="26509"/>
    <cellStyle name="40% - Accent4 6 8 2" xfId="4166"/>
    <cellStyle name="40% - Accent4 6 8 2 2" xfId="5418"/>
    <cellStyle name="40% - Accent4 6 8 2 2 2" xfId="6378"/>
    <cellStyle name="40% - Accent4 6 8 2 2 2 2" xfId="13689"/>
    <cellStyle name="40% - Accent4 6 8 2 2 2 3" xfId="26512"/>
    <cellStyle name="40% - Accent4 6 8 2 2 3" xfId="13688"/>
    <cellStyle name="40% - Accent4 6 8 2 2 4" xfId="26511"/>
    <cellStyle name="40% - Accent4 6 8 2 3" xfId="5728"/>
    <cellStyle name="40% - Accent4 6 8 2 3 2" xfId="6379"/>
    <cellStyle name="40% - Accent4 6 8 2 3 2 2" xfId="26514"/>
    <cellStyle name="40% - Accent4 6 8 2 3 3" xfId="13690"/>
    <cellStyle name="40% - Accent4 6 8 2 3 4" xfId="26513"/>
    <cellStyle name="40% - Accent4 6 8 2 4" xfId="4603"/>
    <cellStyle name="40% - Accent4 6 8 2 4 2" xfId="6380"/>
    <cellStyle name="40% - Accent4 6 8 2 4 2 2" xfId="26516"/>
    <cellStyle name="40% - Accent4 6 8 2 4 3" xfId="26515"/>
    <cellStyle name="40% - Accent4 6 8 2 5" xfId="6377"/>
    <cellStyle name="40% - Accent4 6 8 2 5 2" xfId="26517"/>
    <cellStyle name="40% - Accent4 6 8 2 6" xfId="13687"/>
    <cellStyle name="40% - Accent4 6 8 2 7" xfId="25018"/>
    <cellStyle name="40% - Accent4 6 8 2 8" xfId="26510"/>
    <cellStyle name="40% - Accent4 6 8 3" xfId="5417"/>
    <cellStyle name="40% - Accent4 6 8 3 2" xfId="6381"/>
    <cellStyle name="40% - Accent4 6 8 3 2 2" xfId="13692"/>
    <cellStyle name="40% - Accent4 6 8 3 2 3" xfId="26519"/>
    <cellStyle name="40% - Accent4 6 8 3 3" xfId="13691"/>
    <cellStyle name="40% - Accent4 6 8 3 4" xfId="26518"/>
    <cellStyle name="40% - Accent4 6 8 4" xfId="5727"/>
    <cellStyle name="40% - Accent4 6 8 4 2" xfId="6382"/>
    <cellStyle name="40% - Accent4 6 8 4 2 2" xfId="13694"/>
    <cellStyle name="40% - Accent4 6 8 4 2 3" xfId="26521"/>
    <cellStyle name="40% - Accent4 6 8 4 3" xfId="13693"/>
    <cellStyle name="40% - Accent4 6 8 4 4" xfId="26520"/>
    <cellStyle name="40% - Accent4 6 8 5" xfId="4602"/>
    <cellStyle name="40% - Accent4 6 8 5 2" xfId="6383"/>
    <cellStyle name="40% - Accent4 6 8 5 2 2" xfId="13697"/>
    <cellStyle name="40% - Accent4 6 8 5 2 3" xfId="13696"/>
    <cellStyle name="40% - Accent4 6 8 5 2 4" xfId="26523"/>
    <cellStyle name="40% - Accent4 6 8 5 3" xfId="13698"/>
    <cellStyle name="40% - Accent4 6 8 5 3 2" xfId="13699"/>
    <cellStyle name="40% - Accent4 6 8 5 4" xfId="13700"/>
    <cellStyle name="40% - Accent4 6 8 5 5" xfId="13695"/>
    <cellStyle name="40% - Accent4 6 8 5 6" xfId="26522"/>
    <cellStyle name="40% - Accent4 6 8 6" xfId="6376"/>
    <cellStyle name="40% - Accent4 6 8 6 2" xfId="13702"/>
    <cellStyle name="40% - Accent4 6 8 6 3" xfId="13701"/>
    <cellStyle name="40% - Accent4 6 8 6 4" xfId="26524"/>
    <cellStyle name="40% - Accent4 6 8 7" xfId="13703"/>
    <cellStyle name="40% - Accent4 6 8 7 2" xfId="13704"/>
    <cellStyle name="40% - Accent4 6 8 8" xfId="13705"/>
    <cellStyle name="40% - Accent4 6 8 9" xfId="13686"/>
    <cellStyle name="40% - Accent4 6 9" xfId="3826"/>
    <cellStyle name="40% - Accent4 6 9 2" xfId="5419"/>
    <cellStyle name="40% - Accent4 6 9 2 2" xfId="6385"/>
    <cellStyle name="40% - Accent4 6 9 2 2 2" xfId="13708"/>
    <cellStyle name="40% - Accent4 6 9 2 2 3" xfId="26527"/>
    <cellStyle name="40% - Accent4 6 9 2 3" xfId="13707"/>
    <cellStyle name="40% - Accent4 6 9 2 4" xfId="26526"/>
    <cellStyle name="40% - Accent4 6 9 3" xfId="5729"/>
    <cellStyle name="40% - Accent4 6 9 3 2" xfId="6386"/>
    <cellStyle name="40% - Accent4 6 9 3 2 2" xfId="13710"/>
    <cellStyle name="40% - Accent4 6 9 3 2 3" xfId="26529"/>
    <cellStyle name="40% - Accent4 6 9 3 3" xfId="13709"/>
    <cellStyle name="40% - Accent4 6 9 3 4" xfId="26528"/>
    <cellStyle name="40% - Accent4 6 9 4" xfId="4604"/>
    <cellStyle name="40% - Accent4 6 9 4 2" xfId="6387"/>
    <cellStyle name="40% - Accent4 6 9 4 2 2" xfId="13712"/>
    <cellStyle name="40% - Accent4 6 9 4 2 3" xfId="26531"/>
    <cellStyle name="40% - Accent4 6 9 4 3" xfId="13711"/>
    <cellStyle name="40% - Accent4 6 9 4 4" xfId="26530"/>
    <cellStyle name="40% - Accent4 6 9 5" xfId="6384"/>
    <cellStyle name="40% - Accent4 6 9 5 2" xfId="13713"/>
    <cellStyle name="40% - Accent4 6 9 5 3" xfId="26532"/>
    <cellStyle name="40% - Accent4 6 9 6" xfId="13706"/>
    <cellStyle name="40% - Accent4 6 9 7" xfId="24962"/>
    <cellStyle name="40% - Accent4 6 9 8" xfId="26525"/>
    <cellStyle name="40% - Accent4 7" xfId="397"/>
    <cellStyle name="40% - Accent4 7 10" xfId="13715"/>
    <cellStyle name="40% - Accent4 7 10 2" xfId="13716"/>
    <cellStyle name="40% - Accent4 7 10 2 2" xfId="13717"/>
    <cellStyle name="40% - Accent4 7 10 3" xfId="13718"/>
    <cellStyle name="40% - Accent4 7 10 3 2" xfId="13719"/>
    <cellStyle name="40% - Accent4 7 10 4" xfId="13720"/>
    <cellStyle name="40% - Accent4 7 11" xfId="13721"/>
    <cellStyle name="40% - Accent4 7 11 2" xfId="13722"/>
    <cellStyle name="40% - Accent4 7 11 2 2" xfId="13723"/>
    <cellStyle name="40% - Accent4 7 11 3" xfId="13724"/>
    <cellStyle name="40% - Accent4 7 11 3 2" xfId="13725"/>
    <cellStyle name="40% - Accent4 7 11 4" xfId="13726"/>
    <cellStyle name="40% - Accent4 7 12" xfId="13727"/>
    <cellStyle name="40% - Accent4 7 12 2" xfId="13728"/>
    <cellStyle name="40% - Accent4 7 12 2 2" xfId="13729"/>
    <cellStyle name="40% - Accent4 7 12 3" xfId="13730"/>
    <cellStyle name="40% - Accent4 7 12 3 2" xfId="13731"/>
    <cellStyle name="40% - Accent4 7 12 4" xfId="13732"/>
    <cellStyle name="40% - Accent4 7 13" xfId="13733"/>
    <cellStyle name="40% - Accent4 7 13 2" xfId="13734"/>
    <cellStyle name="40% - Accent4 7 14" xfId="13735"/>
    <cellStyle name="40% - Accent4 7 14 2" xfId="13736"/>
    <cellStyle name="40% - Accent4 7 15" xfId="13737"/>
    <cellStyle name="40% - Accent4 7 15 2" xfId="13738"/>
    <cellStyle name="40% - Accent4 7 16" xfId="13739"/>
    <cellStyle name="40% - Accent4 7 16 2" xfId="13740"/>
    <cellStyle name="40% - Accent4 7 17" xfId="13741"/>
    <cellStyle name="40% - Accent4 7 18" xfId="13714"/>
    <cellStyle name="40% - Accent4 7 2" xfId="4605"/>
    <cellStyle name="40% - Accent4 7 2 2" xfId="13743"/>
    <cellStyle name="40% - Accent4 7 2 2 2" xfId="13744"/>
    <cellStyle name="40% - Accent4 7 2 3" xfId="13745"/>
    <cellStyle name="40% - Accent4 7 2 3 2" xfId="13746"/>
    <cellStyle name="40% - Accent4 7 2 4" xfId="13747"/>
    <cellStyle name="40% - Accent4 7 2 5" xfId="13742"/>
    <cellStyle name="40% - Accent4 7 3" xfId="13748"/>
    <cellStyle name="40% - Accent4 7 3 2" xfId="13749"/>
    <cellStyle name="40% - Accent4 7 3 2 2" xfId="13750"/>
    <cellStyle name="40% - Accent4 7 3 3" xfId="13751"/>
    <cellStyle name="40% - Accent4 7 3 3 2" xfId="13752"/>
    <cellStyle name="40% - Accent4 7 3 4" xfId="13753"/>
    <cellStyle name="40% - Accent4 7 4" xfId="13754"/>
    <cellStyle name="40% - Accent4 7 4 2" xfId="13755"/>
    <cellStyle name="40% - Accent4 7 4 2 2" xfId="13756"/>
    <cellStyle name="40% - Accent4 7 4 3" xfId="13757"/>
    <cellStyle name="40% - Accent4 7 4 3 2" xfId="13758"/>
    <cellStyle name="40% - Accent4 7 4 4" xfId="13759"/>
    <cellStyle name="40% - Accent4 7 5" xfId="13760"/>
    <cellStyle name="40% - Accent4 7 5 2" xfId="13761"/>
    <cellStyle name="40% - Accent4 7 5 2 2" xfId="13762"/>
    <cellStyle name="40% - Accent4 7 5 3" xfId="13763"/>
    <cellStyle name="40% - Accent4 7 5 3 2" xfId="13764"/>
    <cellStyle name="40% - Accent4 7 5 4" xfId="13765"/>
    <cellStyle name="40% - Accent4 7 6" xfId="13766"/>
    <cellStyle name="40% - Accent4 7 6 2" xfId="13767"/>
    <cellStyle name="40% - Accent4 7 6 2 2" xfId="13768"/>
    <cellStyle name="40% - Accent4 7 6 3" xfId="13769"/>
    <cellStyle name="40% - Accent4 7 6 3 2" xfId="13770"/>
    <cellStyle name="40% - Accent4 7 6 4" xfId="13771"/>
    <cellStyle name="40% - Accent4 7 7" xfId="13772"/>
    <cellStyle name="40% - Accent4 7 7 2" xfId="13773"/>
    <cellStyle name="40% - Accent4 7 7 2 2" xfId="13774"/>
    <cellStyle name="40% - Accent4 7 7 3" xfId="13775"/>
    <cellStyle name="40% - Accent4 7 7 3 2" xfId="13776"/>
    <cellStyle name="40% - Accent4 7 7 4" xfId="13777"/>
    <cellStyle name="40% - Accent4 7 8" xfId="13778"/>
    <cellStyle name="40% - Accent4 7 8 2" xfId="13779"/>
    <cellStyle name="40% - Accent4 7 8 2 2" xfId="13780"/>
    <cellStyle name="40% - Accent4 7 8 3" xfId="13781"/>
    <cellStyle name="40% - Accent4 7 8 3 2" xfId="13782"/>
    <cellStyle name="40% - Accent4 7 8 4" xfId="13783"/>
    <cellStyle name="40% - Accent4 7 9" xfId="13784"/>
    <cellStyle name="40% - Accent4 7 9 2" xfId="13785"/>
    <cellStyle name="40% - Accent4 7 9 2 2" xfId="13786"/>
    <cellStyle name="40% - Accent4 7 9 3" xfId="13787"/>
    <cellStyle name="40% - Accent4 7 9 3 2" xfId="13788"/>
    <cellStyle name="40% - Accent4 7 9 4" xfId="13789"/>
    <cellStyle name="40% - Accent4 8" xfId="547"/>
    <cellStyle name="40% - Accent4 8 10" xfId="13790"/>
    <cellStyle name="40% - Accent4 8 11" xfId="24854"/>
    <cellStyle name="40% - Accent4 8 12" xfId="26533"/>
    <cellStyle name="40% - Accent4 8 2" xfId="1379"/>
    <cellStyle name="40% - Accent4 8 2 10" xfId="24911"/>
    <cellStyle name="40% - Accent4 8 2 11" xfId="26534"/>
    <cellStyle name="40% - Accent4 8 2 2" xfId="4179"/>
    <cellStyle name="40% - Accent4 8 2 2 2" xfId="5422"/>
    <cellStyle name="40% - Accent4 8 2 2 2 2" xfId="6391"/>
    <cellStyle name="40% - Accent4 8 2 2 2 2 2" xfId="13794"/>
    <cellStyle name="40% - Accent4 8 2 2 2 2 3" xfId="26537"/>
    <cellStyle name="40% - Accent4 8 2 2 2 3" xfId="13793"/>
    <cellStyle name="40% - Accent4 8 2 2 2 4" xfId="26536"/>
    <cellStyle name="40% - Accent4 8 2 2 3" xfId="5732"/>
    <cellStyle name="40% - Accent4 8 2 2 3 2" xfId="6392"/>
    <cellStyle name="40% - Accent4 8 2 2 3 2 2" xfId="26539"/>
    <cellStyle name="40% - Accent4 8 2 2 3 3" xfId="13795"/>
    <cellStyle name="40% - Accent4 8 2 2 3 4" xfId="26538"/>
    <cellStyle name="40% - Accent4 8 2 2 4" xfId="4608"/>
    <cellStyle name="40% - Accent4 8 2 2 4 2" xfId="6393"/>
    <cellStyle name="40% - Accent4 8 2 2 4 2 2" xfId="26541"/>
    <cellStyle name="40% - Accent4 8 2 2 4 3" xfId="26540"/>
    <cellStyle name="40% - Accent4 8 2 2 5" xfId="6390"/>
    <cellStyle name="40% - Accent4 8 2 2 5 2" xfId="26542"/>
    <cellStyle name="40% - Accent4 8 2 2 6" xfId="13792"/>
    <cellStyle name="40% - Accent4 8 2 2 7" xfId="25031"/>
    <cellStyle name="40% - Accent4 8 2 2 8" xfId="26535"/>
    <cellStyle name="40% - Accent4 8 2 3" xfId="5421"/>
    <cellStyle name="40% - Accent4 8 2 3 2" xfId="6394"/>
    <cellStyle name="40% - Accent4 8 2 3 2 2" xfId="13797"/>
    <cellStyle name="40% - Accent4 8 2 3 2 3" xfId="26544"/>
    <cellStyle name="40% - Accent4 8 2 3 3" xfId="13796"/>
    <cellStyle name="40% - Accent4 8 2 3 4" xfId="26543"/>
    <cellStyle name="40% - Accent4 8 2 4" xfId="5731"/>
    <cellStyle name="40% - Accent4 8 2 4 2" xfId="6395"/>
    <cellStyle name="40% - Accent4 8 2 4 2 2" xfId="13799"/>
    <cellStyle name="40% - Accent4 8 2 4 2 3" xfId="26546"/>
    <cellStyle name="40% - Accent4 8 2 4 3" xfId="13798"/>
    <cellStyle name="40% - Accent4 8 2 4 4" xfId="26545"/>
    <cellStyle name="40% - Accent4 8 2 5" xfId="4607"/>
    <cellStyle name="40% - Accent4 8 2 5 2" xfId="6396"/>
    <cellStyle name="40% - Accent4 8 2 5 2 2" xfId="13802"/>
    <cellStyle name="40% - Accent4 8 2 5 2 3" xfId="13801"/>
    <cellStyle name="40% - Accent4 8 2 5 2 4" xfId="26548"/>
    <cellStyle name="40% - Accent4 8 2 5 3" xfId="13803"/>
    <cellStyle name="40% - Accent4 8 2 5 3 2" xfId="13804"/>
    <cellStyle name="40% - Accent4 8 2 5 4" xfId="13805"/>
    <cellStyle name="40% - Accent4 8 2 5 5" xfId="13800"/>
    <cellStyle name="40% - Accent4 8 2 5 6" xfId="26547"/>
    <cellStyle name="40% - Accent4 8 2 6" xfId="6389"/>
    <cellStyle name="40% - Accent4 8 2 6 2" xfId="13807"/>
    <cellStyle name="40% - Accent4 8 2 6 3" xfId="13806"/>
    <cellStyle name="40% - Accent4 8 2 6 4" xfId="26549"/>
    <cellStyle name="40% - Accent4 8 2 7" xfId="13808"/>
    <cellStyle name="40% - Accent4 8 2 7 2" xfId="13809"/>
    <cellStyle name="40% - Accent4 8 2 8" xfId="13810"/>
    <cellStyle name="40% - Accent4 8 2 9" xfId="13791"/>
    <cellStyle name="40% - Accent4 8 3" xfId="3840"/>
    <cellStyle name="40% - Accent4 8 3 2" xfId="5423"/>
    <cellStyle name="40% - Accent4 8 3 2 2" xfId="6398"/>
    <cellStyle name="40% - Accent4 8 3 2 2 2" xfId="13813"/>
    <cellStyle name="40% - Accent4 8 3 2 2 3" xfId="26552"/>
    <cellStyle name="40% - Accent4 8 3 2 3" xfId="13812"/>
    <cellStyle name="40% - Accent4 8 3 2 4" xfId="26551"/>
    <cellStyle name="40% - Accent4 8 3 3" xfId="5733"/>
    <cellStyle name="40% - Accent4 8 3 3 2" xfId="6399"/>
    <cellStyle name="40% - Accent4 8 3 3 2 2" xfId="26554"/>
    <cellStyle name="40% - Accent4 8 3 3 3" xfId="13814"/>
    <cellStyle name="40% - Accent4 8 3 3 4" xfId="26553"/>
    <cellStyle name="40% - Accent4 8 3 4" xfId="4609"/>
    <cellStyle name="40% - Accent4 8 3 4 2" xfId="6400"/>
    <cellStyle name="40% - Accent4 8 3 4 2 2" xfId="26556"/>
    <cellStyle name="40% - Accent4 8 3 4 3" xfId="26555"/>
    <cellStyle name="40% - Accent4 8 3 5" xfId="6397"/>
    <cellStyle name="40% - Accent4 8 3 5 2" xfId="26557"/>
    <cellStyle name="40% - Accent4 8 3 6" xfId="13811"/>
    <cellStyle name="40% - Accent4 8 3 7" xfId="24976"/>
    <cellStyle name="40% - Accent4 8 3 8" xfId="26550"/>
    <cellStyle name="40% - Accent4 8 4" xfId="5420"/>
    <cellStyle name="40% - Accent4 8 4 2" xfId="6401"/>
    <cellStyle name="40% - Accent4 8 4 2 2" xfId="13816"/>
    <cellStyle name="40% - Accent4 8 4 2 3" xfId="26559"/>
    <cellStyle name="40% - Accent4 8 4 3" xfId="13815"/>
    <cellStyle name="40% - Accent4 8 4 4" xfId="26558"/>
    <cellStyle name="40% - Accent4 8 5" xfId="5730"/>
    <cellStyle name="40% - Accent4 8 5 2" xfId="6402"/>
    <cellStyle name="40% - Accent4 8 5 2 2" xfId="13818"/>
    <cellStyle name="40% - Accent4 8 5 2 3" xfId="26561"/>
    <cellStyle name="40% - Accent4 8 5 3" xfId="13817"/>
    <cellStyle name="40% - Accent4 8 5 4" xfId="26560"/>
    <cellStyle name="40% - Accent4 8 6" xfId="4606"/>
    <cellStyle name="40% - Accent4 8 6 2" xfId="6403"/>
    <cellStyle name="40% - Accent4 8 6 2 2" xfId="13821"/>
    <cellStyle name="40% - Accent4 8 6 2 3" xfId="13820"/>
    <cellStyle name="40% - Accent4 8 6 2 4" xfId="26563"/>
    <cellStyle name="40% - Accent4 8 6 3" xfId="13822"/>
    <cellStyle name="40% - Accent4 8 6 3 2" xfId="13823"/>
    <cellStyle name="40% - Accent4 8 6 4" xfId="13824"/>
    <cellStyle name="40% - Accent4 8 6 5" xfId="13819"/>
    <cellStyle name="40% - Accent4 8 6 6" xfId="26562"/>
    <cellStyle name="40% - Accent4 8 7" xfId="6388"/>
    <cellStyle name="40% - Accent4 8 7 2" xfId="13826"/>
    <cellStyle name="40% - Accent4 8 7 3" xfId="13825"/>
    <cellStyle name="40% - Accent4 8 7 4" xfId="26564"/>
    <cellStyle name="40% - Accent4 8 8" xfId="13827"/>
    <cellStyle name="40% - Accent4 8 8 2" xfId="13828"/>
    <cellStyle name="40% - Accent4 8 9" xfId="13829"/>
    <cellStyle name="40% - Accent4 9" xfId="548"/>
    <cellStyle name="40% - Accent4 9 2" xfId="4610"/>
    <cellStyle name="40% - Accent4 9 2 2" xfId="13832"/>
    <cellStyle name="40% - Accent4 9 2 2 2" xfId="13833"/>
    <cellStyle name="40% - Accent4 9 2 3" xfId="13834"/>
    <cellStyle name="40% - Accent4 9 2 3 2" xfId="13835"/>
    <cellStyle name="40% - Accent4 9 2 4" xfId="13836"/>
    <cellStyle name="40% - Accent4 9 2 5" xfId="13831"/>
    <cellStyle name="40% - Accent4 9 3" xfId="13837"/>
    <cellStyle name="40% - Accent4 9 3 2" xfId="13838"/>
    <cellStyle name="40% - Accent4 9 4" xfId="13839"/>
    <cellStyle name="40% - Accent4 9 4 2" xfId="13840"/>
    <cellStyle name="40% - Accent4 9 5" xfId="13841"/>
    <cellStyle name="40% - Accent4 9 5 2" xfId="13842"/>
    <cellStyle name="40% - Accent4 9 6" xfId="13843"/>
    <cellStyle name="40% - Accent4 9 6 2" xfId="13844"/>
    <cellStyle name="40% - Accent4 9 7" xfId="13845"/>
    <cellStyle name="40% - Accent4 9 8" xfId="13830"/>
    <cellStyle name="40% - Accent5 10" xfId="680"/>
    <cellStyle name="40% - Accent5 10 2" xfId="4611"/>
    <cellStyle name="40% - Accent5 10 2 2" xfId="13849"/>
    <cellStyle name="40% - Accent5 10 2 3" xfId="13848"/>
    <cellStyle name="40% - Accent5 10 3" xfId="13850"/>
    <cellStyle name="40% - Accent5 10 3 2" xfId="13851"/>
    <cellStyle name="40% - Accent5 10 4" xfId="13852"/>
    <cellStyle name="40% - Accent5 10 4 2" xfId="13853"/>
    <cellStyle name="40% - Accent5 10 5" xfId="13854"/>
    <cellStyle name="40% - Accent5 10 5 2" xfId="13855"/>
    <cellStyle name="40% - Accent5 10 6" xfId="13856"/>
    <cellStyle name="40% - Accent5 10 7" xfId="13847"/>
    <cellStyle name="40% - Accent5 11" xfId="681"/>
    <cellStyle name="40% - Accent5 11 2" xfId="4612"/>
    <cellStyle name="40% - Accent5 11 2 2" xfId="13859"/>
    <cellStyle name="40% - Accent5 11 2 3" xfId="13858"/>
    <cellStyle name="40% - Accent5 11 3" xfId="13860"/>
    <cellStyle name="40% - Accent5 11 3 2" xfId="13861"/>
    <cellStyle name="40% - Accent5 11 4" xfId="13862"/>
    <cellStyle name="40% - Accent5 11 4 2" xfId="13863"/>
    <cellStyle name="40% - Accent5 11 5" xfId="13864"/>
    <cellStyle name="40% - Accent5 11 5 2" xfId="13865"/>
    <cellStyle name="40% - Accent5 11 6" xfId="13866"/>
    <cellStyle name="40% - Accent5 11 7" xfId="13857"/>
    <cellStyle name="40% - Accent5 12" xfId="828"/>
    <cellStyle name="40% - Accent5 12 2" xfId="13868"/>
    <cellStyle name="40% - Accent5 12 2 2" xfId="13869"/>
    <cellStyle name="40% - Accent5 12 3" xfId="13870"/>
    <cellStyle name="40% - Accent5 12 3 2" xfId="13871"/>
    <cellStyle name="40% - Accent5 12 4" xfId="13872"/>
    <cellStyle name="40% - Accent5 12 5" xfId="13867"/>
    <cellStyle name="40% - Accent5 13" xfId="829"/>
    <cellStyle name="40% - Accent5 13 2" xfId="3855"/>
    <cellStyle name="40% - Accent5 13 2 2" xfId="6405"/>
    <cellStyle name="40% - Accent5 13 2 2 2" xfId="13875"/>
    <cellStyle name="40% - Accent5 13 2 2 3" xfId="26567"/>
    <cellStyle name="40% - Accent5 13 2 3" xfId="13874"/>
    <cellStyle name="40% - Accent5 13 2 4" xfId="24991"/>
    <cellStyle name="40% - Accent5 13 2 5" xfId="26566"/>
    <cellStyle name="40% - Accent5 13 3" xfId="6404"/>
    <cellStyle name="40% - Accent5 13 3 2" xfId="13877"/>
    <cellStyle name="40% - Accent5 13 3 3" xfId="13876"/>
    <cellStyle name="40% - Accent5 13 3 4" xfId="26568"/>
    <cellStyle name="40% - Accent5 13 4" xfId="13878"/>
    <cellStyle name="40% - Accent5 13 5" xfId="13873"/>
    <cellStyle name="40% - Accent5 13 6" xfId="24870"/>
    <cellStyle name="40% - Accent5 13 7" xfId="26565"/>
    <cellStyle name="40% - Accent5 14" xfId="941"/>
    <cellStyle name="40% - Accent5 14 2" xfId="13880"/>
    <cellStyle name="40% - Accent5 14 2 2" xfId="13881"/>
    <cellStyle name="40% - Accent5 14 3" xfId="13882"/>
    <cellStyle name="40% - Accent5 14 3 2" xfId="13883"/>
    <cellStyle name="40% - Accent5 14 4" xfId="13884"/>
    <cellStyle name="40% - Accent5 14 5" xfId="13879"/>
    <cellStyle name="40% - Accent5 15" xfId="13885"/>
    <cellStyle name="40% - Accent5 15 2" xfId="13886"/>
    <cellStyle name="40% - Accent5 15 2 2" xfId="13887"/>
    <cellStyle name="40% - Accent5 15 3" xfId="13888"/>
    <cellStyle name="40% - Accent5 15 3 2" xfId="13889"/>
    <cellStyle name="40% - Accent5 15 4" xfId="13890"/>
    <cellStyle name="40% - Accent5 16" xfId="13891"/>
    <cellStyle name="40% - Accent5 16 2" xfId="13892"/>
    <cellStyle name="40% - Accent5 16 2 2" xfId="13893"/>
    <cellStyle name="40% - Accent5 16 3" xfId="13894"/>
    <cellStyle name="40% - Accent5 16 3 2" xfId="13895"/>
    <cellStyle name="40% - Accent5 16 4" xfId="13896"/>
    <cellStyle name="40% - Accent5 17" xfId="13897"/>
    <cellStyle name="40% - Accent5 17 2" xfId="13898"/>
    <cellStyle name="40% - Accent5 17 2 2" xfId="13899"/>
    <cellStyle name="40% - Accent5 17 3" xfId="13900"/>
    <cellStyle name="40% - Accent5 17 3 2" xfId="13901"/>
    <cellStyle name="40% - Accent5 17 4" xfId="13902"/>
    <cellStyle name="40% - Accent5 18" xfId="13903"/>
    <cellStyle name="40% - Accent5 18 2" xfId="13904"/>
    <cellStyle name="40% - Accent5 18 2 2" xfId="13905"/>
    <cellStyle name="40% - Accent5 18 3" xfId="13906"/>
    <cellStyle name="40% - Accent5 18 3 2" xfId="13907"/>
    <cellStyle name="40% - Accent5 18 4" xfId="13908"/>
    <cellStyle name="40% - Accent5 19" xfId="13909"/>
    <cellStyle name="40% - Accent5 19 2" xfId="13910"/>
    <cellStyle name="40% - Accent5 19 2 2" xfId="13911"/>
    <cellStyle name="40% - Accent5 19 3" xfId="13912"/>
    <cellStyle name="40% - Accent5 2" xfId="78"/>
    <cellStyle name="40% - Accent5 2 10" xfId="1677"/>
    <cellStyle name="40% - Accent5 2 10 2" xfId="4613"/>
    <cellStyle name="40% - Accent5 2 10 2 2" xfId="13916"/>
    <cellStyle name="40% - Accent5 2 10 2 3" xfId="13915"/>
    <cellStyle name="40% - Accent5 2 10 3" xfId="13917"/>
    <cellStyle name="40% - Accent5 2 10 3 2" xfId="13918"/>
    <cellStyle name="40% - Accent5 2 10 4" xfId="13919"/>
    <cellStyle name="40% - Accent5 2 10 4 2" xfId="13920"/>
    <cellStyle name="40% - Accent5 2 10 5" xfId="13921"/>
    <cellStyle name="40% - Accent5 2 10 5 2" xfId="13922"/>
    <cellStyle name="40% - Accent5 2 10 6" xfId="13923"/>
    <cellStyle name="40% - Accent5 2 10 7" xfId="13914"/>
    <cellStyle name="40% - Accent5 2 11" xfId="2012"/>
    <cellStyle name="40% - Accent5 2 11 2" xfId="4614"/>
    <cellStyle name="40% - Accent5 2 11 2 2" xfId="13926"/>
    <cellStyle name="40% - Accent5 2 11 2 3" xfId="13925"/>
    <cellStyle name="40% - Accent5 2 11 3" xfId="13927"/>
    <cellStyle name="40% - Accent5 2 11 3 2" xfId="13928"/>
    <cellStyle name="40% - Accent5 2 11 4" xfId="13929"/>
    <cellStyle name="40% - Accent5 2 11 4 2" xfId="13930"/>
    <cellStyle name="40% - Accent5 2 11 5" xfId="13931"/>
    <cellStyle name="40% - Accent5 2 11 5 2" xfId="13932"/>
    <cellStyle name="40% - Accent5 2 11 6" xfId="13933"/>
    <cellStyle name="40% - Accent5 2 11 7" xfId="13924"/>
    <cellStyle name="40% - Accent5 2 12" xfId="2386"/>
    <cellStyle name="40% - Accent5 2 12 2" xfId="4615"/>
    <cellStyle name="40% - Accent5 2 12 2 2" xfId="13936"/>
    <cellStyle name="40% - Accent5 2 12 2 3" xfId="13935"/>
    <cellStyle name="40% - Accent5 2 12 3" xfId="13937"/>
    <cellStyle name="40% - Accent5 2 12 3 2" xfId="13938"/>
    <cellStyle name="40% - Accent5 2 12 4" xfId="13939"/>
    <cellStyle name="40% - Accent5 2 12 4 2" xfId="13940"/>
    <cellStyle name="40% - Accent5 2 12 5" xfId="13941"/>
    <cellStyle name="40% - Accent5 2 12 5 2" xfId="13942"/>
    <cellStyle name="40% - Accent5 2 12 6" xfId="13943"/>
    <cellStyle name="40% - Accent5 2 12 7" xfId="13934"/>
    <cellStyle name="40% - Accent5 2 13" xfId="2759"/>
    <cellStyle name="40% - Accent5 2 13 2" xfId="4616"/>
    <cellStyle name="40% - Accent5 2 13 2 2" xfId="13946"/>
    <cellStyle name="40% - Accent5 2 13 2 3" xfId="13945"/>
    <cellStyle name="40% - Accent5 2 13 3" xfId="13947"/>
    <cellStyle name="40% - Accent5 2 13 3 2" xfId="13948"/>
    <cellStyle name="40% - Accent5 2 13 4" xfId="13949"/>
    <cellStyle name="40% - Accent5 2 13 4 2" xfId="13950"/>
    <cellStyle name="40% - Accent5 2 13 5" xfId="13951"/>
    <cellStyle name="40% - Accent5 2 13 5 2" xfId="13952"/>
    <cellStyle name="40% - Accent5 2 13 6" xfId="13953"/>
    <cellStyle name="40% - Accent5 2 13 7" xfId="13944"/>
    <cellStyle name="40% - Accent5 2 14" xfId="3133"/>
    <cellStyle name="40% - Accent5 2 14 2" xfId="4617"/>
    <cellStyle name="40% - Accent5 2 14 2 2" xfId="13956"/>
    <cellStyle name="40% - Accent5 2 14 2 3" xfId="13955"/>
    <cellStyle name="40% - Accent5 2 14 3" xfId="13957"/>
    <cellStyle name="40% - Accent5 2 14 3 2" xfId="13958"/>
    <cellStyle name="40% - Accent5 2 14 4" xfId="13959"/>
    <cellStyle name="40% - Accent5 2 14 4 2" xfId="13960"/>
    <cellStyle name="40% - Accent5 2 14 5" xfId="13961"/>
    <cellStyle name="40% - Accent5 2 14 5 2" xfId="13962"/>
    <cellStyle name="40% - Accent5 2 14 6" xfId="13963"/>
    <cellStyle name="40% - Accent5 2 14 7" xfId="13954"/>
    <cellStyle name="40% - Accent5 2 15" xfId="3504"/>
    <cellStyle name="40% - Accent5 2 15 2" xfId="4618"/>
    <cellStyle name="40% - Accent5 2 15 2 2" xfId="13966"/>
    <cellStyle name="40% - Accent5 2 15 2 3" xfId="13965"/>
    <cellStyle name="40% - Accent5 2 15 3" xfId="13967"/>
    <cellStyle name="40% - Accent5 2 15 3 2" xfId="13968"/>
    <cellStyle name="40% - Accent5 2 15 4" xfId="13969"/>
    <cellStyle name="40% - Accent5 2 15 5" xfId="13964"/>
    <cellStyle name="40% - Accent5 2 16" xfId="3642"/>
    <cellStyle name="40% - Accent5 2 16 2" xfId="4619"/>
    <cellStyle name="40% - Accent5 2 16 2 2" xfId="13972"/>
    <cellStyle name="40% - Accent5 2 16 2 3" xfId="13971"/>
    <cellStyle name="40% - Accent5 2 16 3" xfId="13973"/>
    <cellStyle name="40% - Accent5 2 16 3 2" xfId="13974"/>
    <cellStyle name="40% - Accent5 2 16 4" xfId="13975"/>
    <cellStyle name="40% - Accent5 2 16 5" xfId="13970"/>
    <cellStyle name="40% - Accent5 2 17" xfId="13976"/>
    <cellStyle name="40% - Accent5 2 18" xfId="13913"/>
    <cellStyle name="40% - Accent5 2 19" xfId="20908"/>
    <cellStyle name="40% - Accent5 2 2" xfId="122"/>
    <cellStyle name="40% - Accent5 2 2 10" xfId="13978"/>
    <cellStyle name="40% - Accent5 2 2 10 2" xfId="13979"/>
    <cellStyle name="40% - Accent5 2 2 10 2 2" xfId="13980"/>
    <cellStyle name="40% - Accent5 2 2 10 3" xfId="13981"/>
    <cellStyle name="40% - Accent5 2 2 10 3 2" xfId="13982"/>
    <cellStyle name="40% - Accent5 2 2 10 4" xfId="13983"/>
    <cellStyle name="40% - Accent5 2 2 11" xfId="13984"/>
    <cellStyle name="40% - Accent5 2 2 11 2" xfId="13985"/>
    <cellStyle name="40% - Accent5 2 2 11 2 2" xfId="13986"/>
    <cellStyle name="40% - Accent5 2 2 11 3" xfId="13987"/>
    <cellStyle name="40% - Accent5 2 2 11 3 2" xfId="13988"/>
    <cellStyle name="40% - Accent5 2 2 11 4" xfId="13989"/>
    <cellStyle name="40% - Accent5 2 2 12" xfId="13990"/>
    <cellStyle name="40% - Accent5 2 2 12 2" xfId="13991"/>
    <cellStyle name="40% - Accent5 2 2 12 2 2" xfId="13992"/>
    <cellStyle name="40% - Accent5 2 2 12 3" xfId="13993"/>
    <cellStyle name="40% - Accent5 2 2 12 3 2" xfId="13994"/>
    <cellStyle name="40% - Accent5 2 2 12 4" xfId="13995"/>
    <cellStyle name="40% - Accent5 2 2 13" xfId="13996"/>
    <cellStyle name="40% - Accent5 2 2 13 2" xfId="13997"/>
    <cellStyle name="40% - Accent5 2 2 14" xfId="13998"/>
    <cellStyle name="40% - Accent5 2 2 14 2" xfId="13999"/>
    <cellStyle name="40% - Accent5 2 2 15" xfId="14000"/>
    <cellStyle name="40% - Accent5 2 2 15 2" xfId="14001"/>
    <cellStyle name="40% - Accent5 2 2 16" xfId="14002"/>
    <cellStyle name="40% - Accent5 2 2 17" xfId="13977"/>
    <cellStyle name="40% - Accent5 2 2 2" xfId="188"/>
    <cellStyle name="40% - Accent5 2 2 2 2" xfId="14004"/>
    <cellStyle name="40% - Accent5 2 2 2 2 2" xfId="14005"/>
    <cellStyle name="40% - Accent5 2 2 2 3" xfId="14006"/>
    <cellStyle name="40% - Accent5 2 2 2 3 2" xfId="14007"/>
    <cellStyle name="40% - Accent5 2 2 2 4" xfId="14008"/>
    <cellStyle name="40% - Accent5 2 2 2 5" xfId="14003"/>
    <cellStyle name="40% - Accent5 2 2 3" xfId="352"/>
    <cellStyle name="40% - Accent5 2 2 3 2" xfId="14010"/>
    <cellStyle name="40% - Accent5 2 2 3 2 2" xfId="14011"/>
    <cellStyle name="40% - Accent5 2 2 3 3" xfId="14012"/>
    <cellStyle name="40% - Accent5 2 2 3 3 2" xfId="14013"/>
    <cellStyle name="40% - Accent5 2 2 3 4" xfId="14014"/>
    <cellStyle name="40% - Accent5 2 2 3 5" xfId="14009"/>
    <cellStyle name="40% - Accent5 2 2 4" xfId="2174"/>
    <cellStyle name="40% - Accent5 2 2 4 2" xfId="14016"/>
    <cellStyle name="40% - Accent5 2 2 4 2 2" xfId="14017"/>
    <cellStyle name="40% - Accent5 2 2 4 3" xfId="14018"/>
    <cellStyle name="40% - Accent5 2 2 4 3 2" xfId="14019"/>
    <cellStyle name="40% - Accent5 2 2 4 4" xfId="14020"/>
    <cellStyle name="40% - Accent5 2 2 4 5" xfId="14015"/>
    <cellStyle name="40% - Accent5 2 2 5" xfId="2548"/>
    <cellStyle name="40% - Accent5 2 2 5 2" xfId="14022"/>
    <cellStyle name="40% - Accent5 2 2 5 2 2" xfId="14023"/>
    <cellStyle name="40% - Accent5 2 2 5 3" xfId="14024"/>
    <cellStyle name="40% - Accent5 2 2 5 3 2" xfId="14025"/>
    <cellStyle name="40% - Accent5 2 2 5 4" xfId="14026"/>
    <cellStyle name="40% - Accent5 2 2 5 5" xfId="14021"/>
    <cellStyle name="40% - Accent5 2 2 6" xfId="2920"/>
    <cellStyle name="40% - Accent5 2 2 6 2" xfId="14028"/>
    <cellStyle name="40% - Accent5 2 2 6 2 2" xfId="14029"/>
    <cellStyle name="40% - Accent5 2 2 6 3" xfId="14030"/>
    <cellStyle name="40% - Accent5 2 2 6 3 2" xfId="14031"/>
    <cellStyle name="40% - Accent5 2 2 6 4" xfId="14032"/>
    <cellStyle name="40% - Accent5 2 2 6 5" xfId="14027"/>
    <cellStyle name="40% - Accent5 2 2 7" xfId="3292"/>
    <cellStyle name="40% - Accent5 2 2 7 2" xfId="14034"/>
    <cellStyle name="40% - Accent5 2 2 7 2 2" xfId="14035"/>
    <cellStyle name="40% - Accent5 2 2 7 3" xfId="14036"/>
    <cellStyle name="40% - Accent5 2 2 7 3 2" xfId="14037"/>
    <cellStyle name="40% - Accent5 2 2 7 4" xfId="14038"/>
    <cellStyle name="40% - Accent5 2 2 7 5" xfId="14033"/>
    <cellStyle name="40% - Accent5 2 2 8" xfId="4620"/>
    <cellStyle name="40% - Accent5 2 2 8 2" xfId="14040"/>
    <cellStyle name="40% - Accent5 2 2 8 2 2" xfId="14041"/>
    <cellStyle name="40% - Accent5 2 2 8 3" xfId="14042"/>
    <cellStyle name="40% - Accent5 2 2 8 3 2" xfId="14043"/>
    <cellStyle name="40% - Accent5 2 2 8 4" xfId="14044"/>
    <cellStyle name="40% - Accent5 2 2 8 5" xfId="14039"/>
    <cellStyle name="40% - Accent5 2 2 9" xfId="14045"/>
    <cellStyle name="40% - Accent5 2 2 9 2" xfId="14046"/>
    <cellStyle name="40% - Accent5 2 2 9 2 2" xfId="14047"/>
    <cellStyle name="40% - Accent5 2 2 9 3" xfId="14048"/>
    <cellStyle name="40% - Accent5 2 2 9 3 2" xfId="14049"/>
    <cellStyle name="40% - Accent5 2 2 9 4" xfId="14050"/>
    <cellStyle name="40% - Accent5 2 3" xfId="287"/>
    <cellStyle name="40% - Accent5 2 3 2" xfId="1350"/>
    <cellStyle name="40% - Accent5 2 3 2 2" xfId="14053"/>
    <cellStyle name="40% - Accent5 2 3 2 2 2" xfId="14054"/>
    <cellStyle name="40% - Accent5 2 3 2 3" xfId="14055"/>
    <cellStyle name="40% - Accent5 2 3 2 3 2" xfId="14056"/>
    <cellStyle name="40% - Accent5 2 3 2 4" xfId="14057"/>
    <cellStyle name="40% - Accent5 2 3 2 5" xfId="14052"/>
    <cellStyle name="40% - Accent5 2 3 3" xfId="14058"/>
    <cellStyle name="40% - Accent5 2 3 3 2" xfId="14059"/>
    <cellStyle name="40% - Accent5 2 3 4" xfId="14060"/>
    <cellStyle name="40% - Accent5 2 3 4 2" xfId="14061"/>
    <cellStyle name="40% - Accent5 2 3 5" xfId="14062"/>
    <cellStyle name="40% - Accent5 2 3 6" xfId="14051"/>
    <cellStyle name="40% - Accent5 2 4" xfId="398"/>
    <cellStyle name="40% - Accent5 2 4 2" xfId="14064"/>
    <cellStyle name="40% - Accent5 2 4 2 2" xfId="14065"/>
    <cellStyle name="40% - Accent5 2 4 2 2 2" xfId="14066"/>
    <cellStyle name="40% - Accent5 2 4 2 3" xfId="14067"/>
    <cellStyle name="40% - Accent5 2 4 2 3 2" xfId="14068"/>
    <cellStyle name="40% - Accent5 2 4 2 4" xfId="14069"/>
    <cellStyle name="40% - Accent5 2 4 3" xfId="14070"/>
    <cellStyle name="40% - Accent5 2 4 3 2" xfId="14071"/>
    <cellStyle name="40% - Accent5 2 4 4" xfId="14072"/>
    <cellStyle name="40% - Accent5 2 4 4 2" xfId="14073"/>
    <cellStyle name="40% - Accent5 2 4 5" xfId="14074"/>
    <cellStyle name="40% - Accent5 2 4 6" xfId="14063"/>
    <cellStyle name="40% - Accent5 2 5" xfId="549"/>
    <cellStyle name="40% - Accent5 2 5 2" xfId="14076"/>
    <cellStyle name="40% - Accent5 2 5 2 2" xfId="14077"/>
    <cellStyle name="40% - Accent5 2 5 3" xfId="14078"/>
    <cellStyle name="40% - Accent5 2 5 3 2" xfId="14079"/>
    <cellStyle name="40% - Accent5 2 5 4" xfId="14080"/>
    <cellStyle name="40% - Accent5 2 5 5" xfId="14075"/>
    <cellStyle name="40% - Accent5 2 6" xfId="682"/>
    <cellStyle name="40% - Accent5 2 6 2" xfId="14082"/>
    <cellStyle name="40% - Accent5 2 6 2 2" xfId="14083"/>
    <cellStyle name="40% - Accent5 2 6 3" xfId="14084"/>
    <cellStyle name="40% - Accent5 2 6 3 2" xfId="14085"/>
    <cellStyle name="40% - Accent5 2 6 4" xfId="14086"/>
    <cellStyle name="40% - Accent5 2 6 5" xfId="14081"/>
    <cellStyle name="40% - Accent5 2 7" xfId="683"/>
    <cellStyle name="40% - Accent5 2 7 2" xfId="14088"/>
    <cellStyle name="40% - Accent5 2 7 2 2" xfId="14089"/>
    <cellStyle name="40% - Accent5 2 7 3" xfId="14090"/>
    <cellStyle name="40% - Accent5 2 7 3 2" xfId="14091"/>
    <cellStyle name="40% - Accent5 2 7 4" xfId="14092"/>
    <cellStyle name="40% - Accent5 2 7 5" xfId="14087"/>
    <cellStyle name="40% - Accent5 2 8" xfId="830"/>
    <cellStyle name="40% - Accent5 2 8 2" xfId="1406"/>
    <cellStyle name="40% - Accent5 2 8 2 2" xfId="14095"/>
    <cellStyle name="40% - Accent5 2 8 2 3" xfId="14094"/>
    <cellStyle name="40% - Accent5 2 8 3" xfId="14096"/>
    <cellStyle name="40% - Accent5 2 8 3 2" xfId="14097"/>
    <cellStyle name="40% - Accent5 2 8 4" xfId="14098"/>
    <cellStyle name="40% - Accent5 2 8 4 2" xfId="14099"/>
    <cellStyle name="40% - Accent5 2 8 5" xfId="14100"/>
    <cellStyle name="40% - Accent5 2 8 5 2" xfId="14101"/>
    <cellStyle name="40% - Accent5 2 8 6" xfId="14102"/>
    <cellStyle name="40% - Accent5 2 8 7" xfId="14093"/>
    <cellStyle name="40% - Accent5 2 9" xfId="942"/>
    <cellStyle name="40% - Accent5 2 9 2" xfId="1441"/>
    <cellStyle name="40% - Accent5 2 9 2 2" xfId="14105"/>
    <cellStyle name="40% - Accent5 2 9 2 3" xfId="14104"/>
    <cellStyle name="40% - Accent5 2 9 3" xfId="14106"/>
    <cellStyle name="40% - Accent5 2 9 3 2" xfId="14107"/>
    <cellStyle name="40% - Accent5 2 9 4" xfId="14108"/>
    <cellStyle name="40% - Accent5 2 9 4 2" xfId="14109"/>
    <cellStyle name="40% - Accent5 2 9 5" xfId="14110"/>
    <cellStyle name="40% - Accent5 2 9 5 2" xfId="14111"/>
    <cellStyle name="40% - Accent5 2 9 6" xfId="14112"/>
    <cellStyle name="40% - Accent5 2 9 7" xfId="14103"/>
    <cellStyle name="40% - Accent5 20" xfId="14113"/>
    <cellStyle name="40% - Accent5 20 2" xfId="14114"/>
    <cellStyle name="40% - Accent5 21" xfId="14115"/>
    <cellStyle name="40% - Accent5 21 2" xfId="14116"/>
    <cellStyle name="40% - Accent5 21 2 2" xfId="14117"/>
    <cellStyle name="40% - Accent5 21 2 2 2" xfId="14118"/>
    <cellStyle name="40% - Accent5 21 2 3" xfId="14119"/>
    <cellStyle name="40% - Accent5 21 2 3 2" xfId="14120"/>
    <cellStyle name="40% - Accent5 21 2 4" xfId="14121"/>
    <cellStyle name="40% - Accent5 21 3" xfId="14122"/>
    <cellStyle name="40% - Accent5 21 3 2" xfId="14123"/>
    <cellStyle name="40% - Accent5 21 4" xfId="14124"/>
    <cellStyle name="40% - Accent5 21 4 2" xfId="14125"/>
    <cellStyle name="40% - Accent5 21 5" xfId="14126"/>
    <cellStyle name="40% - Accent5 22" xfId="14127"/>
    <cellStyle name="40% - Accent5 22 2" xfId="14128"/>
    <cellStyle name="40% - Accent5 22 2 2" xfId="14129"/>
    <cellStyle name="40% - Accent5 22 2 2 2" xfId="14130"/>
    <cellStyle name="40% - Accent5 22 2 3" xfId="14131"/>
    <cellStyle name="40% - Accent5 22 2 3 2" xfId="14132"/>
    <cellStyle name="40% - Accent5 22 2 4" xfId="14133"/>
    <cellStyle name="40% - Accent5 22 3" xfId="14134"/>
    <cellStyle name="40% - Accent5 22 3 2" xfId="14135"/>
    <cellStyle name="40% - Accent5 22 4" xfId="14136"/>
    <cellStyle name="40% - Accent5 22 4 2" xfId="14137"/>
    <cellStyle name="40% - Accent5 22 5" xfId="14138"/>
    <cellStyle name="40% - Accent5 23" xfId="14139"/>
    <cellStyle name="40% - Accent5 23 2" xfId="14140"/>
    <cellStyle name="40% - Accent5 24" xfId="14141"/>
    <cellStyle name="40% - Accent5 24 2" xfId="14142"/>
    <cellStyle name="40% - Accent5 24 2 2" xfId="14143"/>
    <cellStyle name="40% - Accent5 24 2 2 2" xfId="14144"/>
    <cellStyle name="40% - Accent5 24 2 3" xfId="14145"/>
    <cellStyle name="40% - Accent5 24 2 3 2" xfId="14146"/>
    <cellStyle name="40% - Accent5 24 2 4" xfId="14147"/>
    <cellStyle name="40% - Accent5 24 3" xfId="14148"/>
    <cellStyle name="40% - Accent5 24 3 2" xfId="14149"/>
    <cellStyle name="40% - Accent5 24 4" xfId="14150"/>
    <cellStyle name="40% - Accent5 24 4 2" xfId="14151"/>
    <cellStyle name="40% - Accent5 24 5" xfId="14152"/>
    <cellStyle name="40% - Accent5 25" xfId="14153"/>
    <cellStyle name="40% - Accent5 25 2" xfId="14154"/>
    <cellStyle name="40% - Accent5 25 2 2" xfId="14155"/>
    <cellStyle name="40% - Accent5 25 2 2 2" xfId="14156"/>
    <cellStyle name="40% - Accent5 25 2 3" xfId="14157"/>
    <cellStyle name="40% - Accent5 25 2 3 2" xfId="14158"/>
    <cellStyle name="40% - Accent5 25 2 4" xfId="14159"/>
    <cellStyle name="40% - Accent5 25 3" xfId="14160"/>
    <cellStyle name="40% - Accent5 25 3 2" xfId="14161"/>
    <cellStyle name="40% - Accent5 25 4" xfId="14162"/>
    <cellStyle name="40% - Accent5 25 4 2" xfId="14163"/>
    <cellStyle name="40% - Accent5 25 5" xfId="14164"/>
    <cellStyle name="40% - Accent5 26" xfId="14165"/>
    <cellStyle name="40% - Accent5 26 2" xfId="14166"/>
    <cellStyle name="40% - Accent5 27" xfId="14167"/>
    <cellStyle name="40% - Accent5 27 2" xfId="14168"/>
    <cellStyle name="40% - Accent5 27 2 2" xfId="14169"/>
    <cellStyle name="40% - Accent5 27 2 2 2" xfId="14170"/>
    <cellStyle name="40% - Accent5 27 2 3" xfId="14171"/>
    <cellStyle name="40% - Accent5 27 2 3 2" xfId="14172"/>
    <cellStyle name="40% - Accent5 27 2 4" xfId="14173"/>
    <cellStyle name="40% - Accent5 27 3" xfId="14174"/>
    <cellStyle name="40% - Accent5 27 3 2" xfId="14175"/>
    <cellStyle name="40% - Accent5 27 4" xfId="14176"/>
    <cellStyle name="40% - Accent5 27 4 2" xfId="14177"/>
    <cellStyle name="40% - Accent5 27 5" xfId="14178"/>
    <cellStyle name="40% - Accent5 28" xfId="14179"/>
    <cellStyle name="40% - Accent5 28 2" xfId="14180"/>
    <cellStyle name="40% - Accent5 28 2 2" xfId="14181"/>
    <cellStyle name="40% - Accent5 28 3" xfId="14182"/>
    <cellStyle name="40% - Accent5 28 3 2" xfId="14183"/>
    <cellStyle name="40% - Accent5 28 4" xfId="14184"/>
    <cellStyle name="40% - Accent5 29" xfId="14185"/>
    <cellStyle name="40% - Accent5 29 2" xfId="14186"/>
    <cellStyle name="40% - Accent5 3" xfId="229"/>
    <cellStyle name="40% - Accent5 3 10" xfId="3685"/>
    <cellStyle name="40% - Accent5 3 10 2" xfId="4621"/>
    <cellStyle name="40% - Accent5 3 10 2 2" xfId="14190"/>
    <cellStyle name="40% - Accent5 3 10 2 3" xfId="14189"/>
    <cellStyle name="40% - Accent5 3 10 3" xfId="14191"/>
    <cellStyle name="40% - Accent5 3 10 3 2" xfId="14192"/>
    <cellStyle name="40% - Accent5 3 10 4" xfId="14193"/>
    <cellStyle name="40% - Accent5 3 10 4 2" xfId="14194"/>
    <cellStyle name="40% - Accent5 3 10 5" xfId="14195"/>
    <cellStyle name="40% - Accent5 3 10 5 2" xfId="14196"/>
    <cellStyle name="40% - Accent5 3 10 6" xfId="14197"/>
    <cellStyle name="40% - Accent5 3 10 7" xfId="14188"/>
    <cellStyle name="40% - Accent5 3 11" xfId="14198"/>
    <cellStyle name="40% - Accent5 3 11 2" xfId="14199"/>
    <cellStyle name="40% - Accent5 3 11 2 2" xfId="14200"/>
    <cellStyle name="40% - Accent5 3 11 3" xfId="14201"/>
    <cellStyle name="40% - Accent5 3 11 3 2" xfId="14202"/>
    <cellStyle name="40% - Accent5 3 11 4" xfId="14203"/>
    <cellStyle name="40% - Accent5 3 12" xfId="14204"/>
    <cellStyle name="40% - Accent5 3 12 2" xfId="14205"/>
    <cellStyle name="40% - Accent5 3 12 2 2" xfId="14206"/>
    <cellStyle name="40% - Accent5 3 12 3" xfId="14207"/>
    <cellStyle name="40% - Accent5 3 12 3 2" xfId="14208"/>
    <cellStyle name="40% - Accent5 3 12 4" xfId="14209"/>
    <cellStyle name="40% - Accent5 3 13" xfId="14210"/>
    <cellStyle name="40% - Accent5 3 13 2" xfId="14211"/>
    <cellStyle name="40% - Accent5 3 13 2 2" xfId="14212"/>
    <cellStyle name="40% - Accent5 3 13 3" xfId="14213"/>
    <cellStyle name="40% - Accent5 3 13 3 2" xfId="14214"/>
    <cellStyle name="40% - Accent5 3 13 4" xfId="14215"/>
    <cellStyle name="40% - Accent5 3 14" xfId="14216"/>
    <cellStyle name="40% - Accent5 3 14 2" xfId="14217"/>
    <cellStyle name="40% - Accent5 3 15" xfId="14218"/>
    <cellStyle name="40% - Accent5 3 15 2" xfId="14219"/>
    <cellStyle name="40% - Accent5 3 16" xfId="14220"/>
    <cellStyle name="40% - Accent5 3 17" xfId="14187"/>
    <cellStyle name="40% - Accent5 3 2" xfId="1458"/>
    <cellStyle name="40% - Accent5 3 2 10" xfId="14222"/>
    <cellStyle name="40% - Accent5 3 2 10 2" xfId="14223"/>
    <cellStyle name="40% - Accent5 3 2 10 2 2" xfId="14224"/>
    <cellStyle name="40% - Accent5 3 2 10 3" xfId="14225"/>
    <cellStyle name="40% - Accent5 3 2 10 3 2" xfId="14226"/>
    <cellStyle name="40% - Accent5 3 2 10 4" xfId="14227"/>
    <cellStyle name="40% - Accent5 3 2 11" xfId="14228"/>
    <cellStyle name="40% - Accent5 3 2 11 2" xfId="14229"/>
    <cellStyle name="40% - Accent5 3 2 11 2 2" xfId="14230"/>
    <cellStyle name="40% - Accent5 3 2 11 3" xfId="14231"/>
    <cellStyle name="40% - Accent5 3 2 11 3 2" xfId="14232"/>
    <cellStyle name="40% - Accent5 3 2 11 4" xfId="14233"/>
    <cellStyle name="40% - Accent5 3 2 12" xfId="14234"/>
    <cellStyle name="40% - Accent5 3 2 12 2" xfId="14235"/>
    <cellStyle name="40% - Accent5 3 2 12 2 2" xfId="14236"/>
    <cellStyle name="40% - Accent5 3 2 12 3" xfId="14237"/>
    <cellStyle name="40% - Accent5 3 2 12 3 2" xfId="14238"/>
    <cellStyle name="40% - Accent5 3 2 12 4" xfId="14239"/>
    <cellStyle name="40% - Accent5 3 2 13" xfId="14240"/>
    <cellStyle name="40% - Accent5 3 2 13 2" xfId="14241"/>
    <cellStyle name="40% - Accent5 3 2 14" xfId="14242"/>
    <cellStyle name="40% - Accent5 3 2 14 2" xfId="14243"/>
    <cellStyle name="40% - Accent5 3 2 15" xfId="14244"/>
    <cellStyle name="40% - Accent5 3 2 15 2" xfId="14245"/>
    <cellStyle name="40% - Accent5 3 2 16" xfId="14246"/>
    <cellStyle name="40% - Accent5 3 2 17" xfId="14221"/>
    <cellStyle name="40% - Accent5 3 2 2" xfId="1840"/>
    <cellStyle name="40% - Accent5 3 2 2 2" xfId="14248"/>
    <cellStyle name="40% - Accent5 3 2 2 2 2" xfId="14249"/>
    <cellStyle name="40% - Accent5 3 2 2 3" xfId="14250"/>
    <cellStyle name="40% - Accent5 3 2 2 3 2" xfId="14251"/>
    <cellStyle name="40% - Accent5 3 2 2 4" xfId="14252"/>
    <cellStyle name="40% - Accent5 3 2 2 5" xfId="14247"/>
    <cellStyle name="40% - Accent5 3 2 3" xfId="2215"/>
    <cellStyle name="40% - Accent5 3 2 3 2" xfId="14254"/>
    <cellStyle name="40% - Accent5 3 2 3 2 2" xfId="14255"/>
    <cellStyle name="40% - Accent5 3 2 3 3" xfId="14256"/>
    <cellStyle name="40% - Accent5 3 2 3 3 2" xfId="14257"/>
    <cellStyle name="40% - Accent5 3 2 3 4" xfId="14258"/>
    <cellStyle name="40% - Accent5 3 2 3 5" xfId="14253"/>
    <cellStyle name="40% - Accent5 3 2 4" xfId="2589"/>
    <cellStyle name="40% - Accent5 3 2 4 2" xfId="14260"/>
    <cellStyle name="40% - Accent5 3 2 4 2 2" xfId="14261"/>
    <cellStyle name="40% - Accent5 3 2 4 3" xfId="14262"/>
    <cellStyle name="40% - Accent5 3 2 4 3 2" xfId="14263"/>
    <cellStyle name="40% - Accent5 3 2 4 4" xfId="14264"/>
    <cellStyle name="40% - Accent5 3 2 4 5" xfId="14259"/>
    <cellStyle name="40% - Accent5 3 2 5" xfId="2961"/>
    <cellStyle name="40% - Accent5 3 2 5 2" xfId="14266"/>
    <cellStyle name="40% - Accent5 3 2 5 2 2" xfId="14267"/>
    <cellStyle name="40% - Accent5 3 2 5 3" xfId="14268"/>
    <cellStyle name="40% - Accent5 3 2 5 3 2" xfId="14269"/>
    <cellStyle name="40% - Accent5 3 2 5 4" xfId="14270"/>
    <cellStyle name="40% - Accent5 3 2 5 5" xfId="14265"/>
    <cellStyle name="40% - Accent5 3 2 6" xfId="3333"/>
    <cellStyle name="40% - Accent5 3 2 6 2" xfId="14272"/>
    <cellStyle name="40% - Accent5 3 2 6 2 2" xfId="14273"/>
    <cellStyle name="40% - Accent5 3 2 6 3" xfId="14274"/>
    <cellStyle name="40% - Accent5 3 2 6 3 2" xfId="14275"/>
    <cellStyle name="40% - Accent5 3 2 6 4" xfId="14276"/>
    <cellStyle name="40% - Accent5 3 2 6 5" xfId="14271"/>
    <cellStyle name="40% - Accent5 3 2 7" xfId="4622"/>
    <cellStyle name="40% - Accent5 3 2 7 2" xfId="14278"/>
    <cellStyle name="40% - Accent5 3 2 7 2 2" xfId="14279"/>
    <cellStyle name="40% - Accent5 3 2 7 3" xfId="14280"/>
    <cellStyle name="40% - Accent5 3 2 7 3 2" xfId="14281"/>
    <cellStyle name="40% - Accent5 3 2 7 4" xfId="14282"/>
    <cellStyle name="40% - Accent5 3 2 7 5" xfId="14277"/>
    <cellStyle name="40% - Accent5 3 2 8" xfId="14283"/>
    <cellStyle name="40% - Accent5 3 2 8 2" xfId="14284"/>
    <cellStyle name="40% - Accent5 3 2 8 2 2" xfId="14285"/>
    <cellStyle name="40% - Accent5 3 2 8 3" xfId="14286"/>
    <cellStyle name="40% - Accent5 3 2 8 3 2" xfId="14287"/>
    <cellStyle name="40% - Accent5 3 2 8 4" xfId="14288"/>
    <cellStyle name="40% - Accent5 3 2 9" xfId="14289"/>
    <cellStyle name="40% - Accent5 3 2 9 2" xfId="14290"/>
    <cellStyle name="40% - Accent5 3 2 9 2 2" xfId="14291"/>
    <cellStyle name="40% - Accent5 3 2 9 3" xfId="14292"/>
    <cellStyle name="40% - Accent5 3 2 9 3 2" xfId="14293"/>
    <cellStyle name="40% - Accent5 3 2 9 4" xfId="14294"/>
    <cellStyle name="40% - Accent5 3 3" xfId="1585"/>
    <cellStyle name="40% - Accent5 3 3 2" xfId="1917"/>
    <cellStyle name="40% - Accent5 3 3 2 2" xfId="14297"/>
    <cellStyle name="40% - Accent5 3 3 2 3" xfId="14296"/>
    <cellStyle name="40% - Accent5 3 3 3" xfId="2292"/>
    <cellStyle name="40% - Accent5 3 3 3 2" xfId="14299"/>
    <cellStyle name="40% - Accent5 3 3 3 3" xfId="14298"/>
    <cellStyle name="40% - Accent5 3 3 4" xfId="2665"/>
    <cellStyle name="40% - Accent5 3 3 4 2" xfId="14301"/>
    <cellStyle name="40% - Accent5 3 3 4 3" xfId="14300"/>
    <cellStyle name="40% - Accent5 3 3 5" xfId="3038"/>
    <cellStyle name="40% - Accent5 3 3 5 2" xfId="14303"/>
    <cellStyle name="40% - Accent5 3 3 5 3" xfId="14302"/>
    <cellStyle name="40% - Accent5 3 3 6" xfId="3409"/>
    <cellStyle name="40% - Accent5 3 3 6 2" xfId="14305"/>
    <cellStyle name="40% - Accent5 3 3 6 3" xfId="14304"/>
    <cellStyle name="40% - Accent5 3 3 7" xfId="4623"/>
    <cellStyle name="40% - Accent5 3 3 7 2" xfId="14307"/>
    <cellStyle name="40% - Accent5 3 3 7 3" xfId="14306"/>
    <cellStyle name="40% - Accent5 3 3 8" xfId="14308"/>
    <cellStyle name="40% - Accent5 3 3 9" xfId="14295"/>
    <cellStyle name="40% - Accent5 3 4" xfId="1722"/>
    <cellStyle name="40% - Accent5 3 4 2" xfId="1961"/>
    <cellStyle name="40% - Accent5 3 4 2 2" xfId="14311"/>
    <cellStyle name="40% - Accent5 3 4 2 3" xfId="14310"/>
    <cellStyle name="40% - Accent5 3 4 3" xfId="2336"/>
    <cellStyle name="40% - Accent5 3 4 3 2" xfId="14313"/>
    <cellStyle name="40% - Accent5 3 4 3 3" xfId="14312"/>
    <cellStyle name="40% - Accent5 3 4 4" xfId="2709"/>
    <cellStyle name="40% - Accent5 3 4 4 2" xfId="14315"/>
    <cellStyle name="40% - Accent5 3 4 4 3" xfId="14314"/>
    <cellStyle name="40% - Accent5 3 4 5" xfId="3082"/>
    <cellStyle name="40% - Accent5 3 4 5 2" xfId="14317"/>
    <cellStyle name="40% - Accent5 3 4 5 3" xfId="14316"/>
    <cellStyle name="40% - Accent5 3 4 6" xfId="3453"/>
    <cellStyle name="40% - Accent5 3 4 6 2" xfId="14319"/>
    <cellStyle name="40% - Accent5 3 4 6 3" xfId="14318"/>
    <cellStyle name="40% - Accent5 3 4 7" xfId="14320"/>
    <cellStyle name="40% - Accent5 3 4 8" xfId="14309"/>
    <cellStyle name="40% - Accent5 3 5" xfId="2057"/>
    <cellStyle name="40% - Accent5 3 5 2" xfId="14322"/>
    <cellStyle name="40% - Accent5 3 5 2 2" xfId="14323"/>
    <cellStyle name="40% - Accent5 3 5 3" xfId="14324"/>
    <cellStyle name="40% - Accent5 3 5 3 2" xfId="14325"/>
    <cellStyle name="40% - Accent5 3 5 4" xfId="14326"/>
    <cellStyle name="40% - Accent5 3 5 4 2" xfId="14327"/>
    <cellStyle name="40% - Accent5 3 5 5" xfId="14328"/>
    <cellStyle name="40% - Accent5 3 5 6" xfId="14321"/>
    <cellStyle name="40% - Accent5 3 6" xfId="2431"/>
    <cellStyle name="40% - Accent5 3 6 2" xfId="14330"/>
    <cellStyle name="40% - Accent5 3 6 2 2" xfId="14331"/>
    <cellStyle name="40% - Accent5 3 6 3" xfId="14332"/>
    <cellStyle name="40% - Accent5 3 6 3 2" xfId="14333"/>
    <cellStyle name="40% - Accent5 3 6 4" xfId="14334"/>
    <cellStyle name="40% - Accent5 3 6 4 2" xfId="14335"/>
    <cellStyle name="40% - Accent5 3 6 5" xfId="14336"/>
    <cellStyle name="40% - Accent5 3 6 6" xfId="14329"/>
    <cellStyle name="40% - Accent5 3 7" xfId="2803"/>
    <cellStyle name="40% - Accent5 3 7 2" xfId="14338"/>
    <cellStyle name="40% - Accent5 3 7 2 2" xfId="14339"/>
    <cellStyle name="40% - Accent5 3 7 3" xfId="14340"/>
    <cellStyle name="40% - Accent5 3 7 3 2" xfId="14341"/>
    <cellStyle name="40% - Accent5 3 7 4" xfId="14342"/>
    <cellStyle name="40% - Accent5 3 7 4 2" xfId="14343"/>
    <cellStyle name="40% - Accent5 3 7 5" xfId="14344"/>
    <cellStyle name="40% - Accent5 3 7 6" xfId="14337"/>
    <cellStyle name="40% - Accent5 3 8" xfId="3174"/>
    <cellStyle name="40% - Accent5 3 8 2" xfId="14346"/>
    <cellStyle name="40% - Accent5 3 8 2 2" xfId="14347"/>
    <cellStyle name="40% - Accent5 3 8 3" xfId="14348"/>
    <cellStyle name="40% - Accent5 3 8 3 2" xfId="14349"/>
    <cellStyle name="40% - Accent5 3 8 4" xfId="14350"/>
    <cellStyle name="40% - Accent5 3 8 4 2" xfId="14351"/>
    <cellStyle name="40% - Accent5 3 8 5" xfId="14352"/>
    <cellStyle name="40% - Accent5 3 8 6" xfId="14345"/>
    <cellStyle name="40% - Accent5 3 9" xfId="3549"/>
    <cellStyle name="40% - Accent5 3 9 2" xfId="4624"/>
    <cellStyle name="40% - Accent5 3 9 2 2" xfId="14355"/>
    <cellStyle name="40% - Accent5 3 9 2 3" xfId="14354"/>
    <cellStyle name="40% - Accent5 3 9 3" xfId="14356"/>
    <cellStyle name="40% - Accent5 3 9 3 2" xfId="14357"/>
    <cellStyle name="40% - Accent5 3 9 4" xfId="14358"/>
    <cellStyle name="40% - Accent5 3 9 4 2" xfId="14359"/>
    <cellStyle name="40% - Accent5 3 9 5" xfId="14360"/>
    <cellStyle name="40% - Accent5 3 9 5 2" xfId="14361"/>
    <cellStyle name="40% - Accent5 3 9 6" xfId="14362"/>
    <cellStyle name="40% - Accent5 3 9 7" xfId="14353"/>
    <cellStyle name="40% - Accent5 30" xfId="14363"/>
    <cellStyle name="40% - Accent5 31" xfId="13846"/>
    <cellStyle name="40% - Accent5 4" xfId="245"/>
    <cellStyle name="40% - Accent5 4 10" xfId="3729"/>
    <cellStyle name="40% - Accent5 4 10 2" xfId="4626"/>
    <cellStyle name="40% - Accent5 4 10 2 2" xfId="14367"/>
    <cellStyle name="40% - Accent5 4 10 2 3" xfId="14366"/>
    <cellStyle name="40% - Accent5 4 10 3" xfId="14368"/>
    <cellStyle name="40% - Accent5 4 10 3 2" xfId="14369"/>
    <cellStyle name="40% - Accent5 4 10 4" xfId="14370"/>
    <cellStyle name="40% - Accent5 4 10 4 2" xfId="14371"/>
    <cellStyle name="40% - Accent5 4 10 5" xfId="14372"/>
    <cellStyle name="40% - Accent5 4 10 5 2" xfId="14373"/>
    <cellStyle name="40% - Accent5 4 10 6" xfId="14374"/>
    <cellStyle name="40% - Accent5 4 10 7" xfId="14365"/>
    <cellStyle name="40% - Accent5 4 11" xfId="1311"/>
    <cellStyle name="40% - Accent5 4 11 10" xfId="24885"/>
    <cellStyle name="40% - Accent5 4 11 11" xfId="26569"/>
    <cellStyle name="40% - Accent5 4 11 2" xfId="4153"/>
    <cellStyle name="40% - Accent5 4 11 2 2" xfId="5426"/>
    <cellStyle name="40% - Accent5 4 11 2 2 2" xfId="6408"/>
    <cellStyle name="40% - Accent5 4 11 2 2 2 2" xfId="14378"/>
    <cellStyle name="40% - Accent5 4 11 2 2 2 3" xfId="26572"/>
    <cellStyle name="40% - Accent5 4 11 2 2 3" xfId="14377"/>
    <cellStyle name="40% - Accent5 4 11 2 2 4" xfId="26571"/>
    <cellStyle name="40% - Accent5 4 11 2 3" xfId="5736"/>
    <cellStyle name="40% - Accent5 4 11 2 3 2" xfId="6409"/>
    <cellStyle name="40% - Accent5 4 11 2 3 2 2" xfId="26574"/>
    <cellStyle name="40% - Accent5 4 11 2 3 3" xfId="14379"/>
    <cellStyle name="40% - Accent5 4 11 2 3 4" xfId="26573"/>
    <cellStyle name="40% - Accent5 4 11 2 4" xfId="4628"/>
    <cellStyle name="40% - Accent5 4 11 2 4 2" xfId="6410"/>
    <cellStyle name="40% - Accent5 4 11 2 4 2 2" xfId="26576"/>
    <cellStyle name="40% - Accent5 4 11 2 4 3" xfId="26575"/>
    <cellStyle name="40% - Accent5 4 11 2 5" xfId="6407"/>
    <cellStyle name="40% - Accent5 4 11 2 5 2" xfId="26577"/>
    <cellStyle name="40% - Accent5 4 11 2 6" xfId="14376"/>
    <cellStyle name="40% - Accent5 4 11 2 7" xfId="25005"/>
    <cellStyle name="40% - Accent5 4 11 2 8" xfId="26570"/>
    <cellStyle name="40% - Accent5 4 11 3" xfId="5425"/>
    <cellStyle name="40% - Accent5 4 11 3 2" xfId="6411"/>
    <cellStyle name="40% - Accent5 4 11 3 2 2" xfId="14381"/>
    <cellStyle name="40% - Accent5 4 11 3 2 3" xfId="26579"/>
    <cellStyle name="40% - Accent5 4 11 3 3" xfId="14380"/>
    <cellStyle name="40% - Accent5 4 11 3 4" xfId="26578"/>
    <cellStyle name="40% - Accent5 4 11 4" xfId="5735"/>
    <cellStyle name="40% - Accent5 4 11 4 2" xfId="6412"/>
    <cellStyle name="40% - Accent5 4 11 4 2 2" xfId="14383"/>
    <cellStyle name="40% - Accent5 4 11 4 2 3" xfId="26581"/>
    <cellStyle name="40% - Accent5 4 11 4 3" xfId="14382"/>
    <cellStyle name="40% - Accent5 4 11 4 4" xfId="26580"/>
    <cellStyle name="40% - Accent5 4 11 5" xfId="4627"/>
    <cellStyle name="40% - Accent5 4 11 5 2" xfId="6413"/>
    <cellStyle name="40% - Accent5 4 11 5 2 2" xfId="14386"/>
    <cellStyle name="40% - Accent5 4 11 5 2 3" xfId="14385"/>
    <cellStyle name="40% - Accent5 4 11 5 2 4" xfId="26583"/>
    <cellStyle name="40% - Accent5 4 11 5 3" xfId="14387"/>
    <cellStyle name="40% - Accent5 4 11 5 3 2" xfId="14388"/>
    <cellStyle name="40% - Accent5 4 11 5 4" xfId="14389"/>
    <cellStyle name="40% - Accent5 4 11 5 5" xfId="14384"/>
    <cellStyle name="40% - Accent5 4 11 5 6" xfId="26582"/>
    <cellStyle name="40% - Accent5 4 11 6" xfId="6406"/>
    <cellStyle name="40% - Accent5 4 11 6 2" xfId="14391"/>
    <cellStyle name="40% - Accent5 4 11 6 3" xfId="14390"/>
    <cellStyle name="40% - Accent5 4 11 6 4" xfId="26584"/>
    <cellStyle name="40% - Accent5 4 11 7" xfId="14392"/>
    <cellStyle name="40% - Accent5 4 11 7 2" xfId="14393"/>
    <cellStyle name="40% - Accent5 4 11 8" xfId="14394"/>
    <cellStyle name="40% - Accent5 4 11 9" xfId="14375"/>
    <cellStyle name="40% - Accent5 4 12" xfId="4629"/>
    <cellStyle name="40% - Accent5 4 12 2" xfId="5427"/>
    <cellStyle name="40% - Accent5 4 12 2 2" xfId="6415"/>
    <cellStyle name="40% - Accent5 4 12 2 2 2" xfId="14397"/>
    <cellStyle name="40% - Accent5 4 12 2 2 3" xfId="26587"/>
    <cellStyle name="40% - Accent5 4 12 2 3" xfId="14396"/>
    <cellStyle name="40% - Accent5 4 12 2 4" xfId="26586"/>
    <cellStyle name="40% - Accent5 4 12 3" xfId="5737"/>
    <cellStyle name="40% - Accent5 4 12 3 2" xfId="6416"/>
    <cellStyle name="40% - Accent5 4 12 3 2 2" xfId="14399"/>
    <cellStyle name="40% - Accent5 4 12 3 2 3" xfId="26589"/>
    <cellStyle name="40% - Accent5 4 12 3 3" xfId="14398"/>
    <cellStyle name="40% - Accent5 4 12 3 4" xfId="26588"/>
    <cellStyle name="40% - Accent5 4 12 4" xfId="6414"/>
    <cellStyle name="40% - Accent5 4 12 4 2" xfId="14401"/>
    <cellStyle name="40% - Accent5 4 12 4 3" xfId="14400"/>
    <cellStyle name="40% - Accent5 4 12 4 4" xfId="26590"/>
    <cellStyle name="40% - Accent5 4 12 5" xfId="14402"/>
    <cellStyle name="40% - Accent5 4 12 6" xfId="14395"/>
    <cellStyle name="40% - Accent5 4 12 7" xfId="26585"/>
    <cellStyle name="40% - Accent5 4 13" xfId="5424"/>
    <cellStyle name="40% - Accent5 4 13 2" xfId="6417"/>
    <cellStyle name="40% - Accent5 4 13 2 2" xfId="14405"/>
    <cellStyle name="40% - Accent5 4 13 2 3" xfId="14404"/>
    <cellStyle name="40% - Accent5 4 13 2 4" xfId="26592"/>
    <cellStyle name="40% - Accent5 4 13 3" xfId="14406"/>
    <cellStyle name="40% - Accent5 4 13 3 2" xfId="14407"/>
    <cellStyle name="40% - Accent5 4 13 4" xfId="14408"/>
    <cellStyle name="40% - Accent5 4 13 5" xfId="14403"/>
    <cellStyle name="40% - Accent5 4 13 6" xfId="26591"/>
    <cellStyle name="40% - Accent5 4 14" xfId="5734"/>
    <cellStyle name="40% - Accent5 4 14 2" xfId="6418"/>
    <cellStyle name="40% - Accent5 4 14 2 2" xfId="14410"/>
    <cellStyle name="40% - Accent5 4 14 2 3" xfId="26594"/>
    <cellStyle name="40% - Accent5 4 14 3" xfId="14409"/>
    <cellStyle name="40% - Accent5 4 14 4" xfId="26593"/>
    <cellStyle name="40% - Accent5 4 15" xfId="4625"/>
    <cellStyle name="40% - Accent5 4 15 2" xfId="6419"/>
    <cellStyle name="40% - Accent5 4 15 2 2" xfId="14412"/>
    <cellStyle name="40% - Accent5 4 15 2 3" xfId="26596"/>
    <cellStyle name="40% - Accent5 4 15 3" xfId="14411"/>
    <cellStyle name="40% - Accent5 4 15 4" xfId="26595"/>
    <cellStyle name="40% - Accent5 4 16" xfId="14413"/>
    <cellStyle name="40% - Accent5 4 16 2" xfId="14414"/>
    <cellStyle name="40% - Accent5 4 17" xfId="14415"/>
    <cellStyle name="40% - Accent5 4 17 2" xfId="14416"/>
    <cellStyle name="40% - Accent5 4 17 2 2" xfId="14417"/>
    <cellStyle name="40% - Accent5 4 17 3" xfId="14418"/>
    <cellStyle name="40% - Accent5 4 17 3 2" xfId="14419"/>
    <cellStyle name="40% - Accent5 4 17 4" xfId="14420"/>
    <cellStyle name="40% - Accent5 4 18" xfId="14421"/>
    <cellStyle name="40% - Accent5 4 18 2" xfId="14422"/>
    <cellStyle name="40% - Accent5 4 19" xfId="14423"/>
    <cellStyle name="40% - Accent5 4 19 2" xfId="14424"/>
    <cellStyle name="40% - Accent5 4 2" xfId="1503"/>
    <cellStyle name="40% - Accent5 4 2 10" xfId="14426"/>
    <cellStyle name="40% - Accent5 4 2 10 2" xfId="14427"/>
    <cellStyle name="40% - Accent5 4 2 10 2 2" xfId="14428"/>
    <cellStyle name="40% - Accent5 4 2 10 3" xfId="14429"/>
    <cellStyle name="40% - Accent5 4 2 10 3 2" xfId="14430"/>
    <cellStyle name="40% - Accent5 4 2 10 4" xfId="14431"/>
    <cellStyle name="40% - Accent5 4 2 11" xfId="14432"/>
    <cellStyle name="40% - Accent5 4 2 11 2" xfId="14433"/>
    <cellStyle name="40% - Accent5 4 2 11 2 2" xfId="14434"/>
    <cellStyle name="40% - Accent5 4 2 11 3" xfId="14435"/>
    <cellStyle name="40% - Accent5 4 2 11 3 2" xfId="14436"/>
    <cellStyle name="40% - Accent5 4 2 11 4" xfId="14437"/>
    <cellStyle name="40% - Accent5 4 2 12" xfId="14438"/>
    <cellStyle name="40% - Accent5 4 2 12 2" xfId="14439"/>
    <cellStyle name="40% - Accent5 4 2 12 2 2" xfId="14440"/>
    <cellStyle name="40% - Accent5 4 2 12 3" xfId="14441"/>
    <cellStyle name="40% - Accent5 4 2 12 3 2" xfId="14442"/>
    <cellStyle name="40% - Accent5 4 2 12 4" xfId="14443"/>
    <cellStyle name="40% - Accent5 4 2 13" xfId="14444"/>
    <cellStyle name="40% - Accent5 4 2 13 2" xfId="14445"/>
    <cellStyle name="40% - Accent5 4 2 14" xfId="14446"/>
    <cellStyle name="40% - Accent5 4 2 14 2" xfId="14447"/>
    <cellStyle name="40% - Accent5 4 2 15" xfId="14448"/>
    <cellStyle name="40% - Accent5 4 2 15 2" xfId="14449"/>
    <cellStyle name="40% - Accent5 4 2 16" xfId="14450"/>
    <cellStyle name="40% - Accent5 4 2 16 2" xfId="14451"/>
    <cellStyle name="40% - Accent5 4 2 17" xfId="14452"/>
    <cellStyle name="40% - Accent5 4 2 18" xfId="14425"/>
    <cellStyle name="40% - Accent5 4 2 2" xfId="4630"/>
    <cellStyle name="40% - Accent5 4 2 2 2" xfId="14454"/>
    <cellStyle name="40% - Accent5 4 2 2 2 2" xfId="14455"/>
    <cellStyle name="40% - Accent5 4 2 2 3" xfId="14456"/>
    <cellStyle name="40% - Accent5 4 2 2 3 2" xfId="14457"/>
    <cellStyle name="40% - Accent5 4 2 2 4" xfId="14458"/>
    <cellStyle name="40% - Accent5 4 2 2 5" xfId="14453"/>
    <cellStyle name="40% - Accent5 4 2 3" xfId="14459"/>
    <cellStyle name="40% - Accent5 4 2 3 2" xfId="14460"/>
    <cellStyle name="40% - Accent5 4 2 3 2 2" xfId="14461"/>
    <cellStyle name="40% - Accent5 4 2 3 3" xfId="14462"/>
    <cellStyle name="40% - Accent5 4 2 3 3 2" xfId="14463"/>
    <cellStyle name="40% - Accent5 4 2 3 4" xfId="14464"/>
    <cellStyle name="40% - Accent5 4 2 4" xfId="14465"/>
    <cellStyle name="40% - Accent5 4 2 4 2" xfId="14466"/>
    <cellStyle name="40% - Accent5 4 2 4 2 2" xfId="14467"/>
    <cellStyle name="40% - Accent5 4 2 4 3" xfId="14468"/>
    <cellStyle name="40% - Accent5 4 2 4 3 2" xfId="14469"/>
    <cellStyle name="40% - Accent5 4 2 4 4" xfId="14470"/>
    <cellStyle name="40% - Accent5 4 2 5" xfId="14471"/>
    <cellStyle name="40% - Accent5 4 2 5 2" xfId="14472"/>
    <cellStyle name="40% - Accent5 4 2 5 2 2" xfId="14473"/>
    <cellStyle name="40% - Accent5 4 2 5 3" xfId="14474"/>
    <cellStyle name="40% - Accent5 4 2 5 3 2" xfId="14475"/>
    <cellStyle name="40% - Accent5 4 2 5 4" xfId="14476"/>
    <cellStyle name="40% - Accent5 4 2 6" xfId="14477"/>
    <cellStyle name="40% - Accent5 4 2 6 2" xfId="14478"/>
    <cellStyle name="40% - Accent5 4 2 6 2 2" xfId="14479"/>
    <cellStyle name="40% - Accent5 4 2 6 3" xfId="14480"/>
    <cellStyle name="40% - Accent5 4 2 6 3 2" xfId="14481"/>
    <cellStyle name="40% - Accent5 4 2 6 4" xfId="14482"/>
    <cellStyle name="40% - Accent5 4 2 7" xfId="14483"/>
    <cellStyle name="40% - Accent5 4 2 7 2" xfId="14484"/>
    <cellStyle name="40% - Accent5 4 2 7 2 2" xfId="14485"/>
    <cellStyle name="40% - Accent5 4 2 7 3" xfId="14486"/>
    <cellStyle name="40% - Accent5 4 2 7 3 2" xfId="14487"/>
    <cellStyle name="40% - Accent5 4 2 7 4" xfId="14488"/>
    <cellStyle name="40% - Accent5 4 2 8" xfId="14489"/>
    <cellStyle name="40% - Accent5 4 2 8 2" xfId="14490"/>
    <cellStyle name="40% - Accent5 4 2 8 2 2" xfId="14491"/>
    <cellStyle name="40% - Accent5 4 2 8 3" xfId="14492"/>
    <cellStyle name="40% - Accent5 4 2 8 3 2" xfId="14493"/>
    <cellStyle name="40% - Accent5 4 2 8 4" xfId="14494"/>
    <cellStyle name="40% - Accent5 4 2 9" xfId="14495"/>
    <cellStyle name="40% - Accent5 4 2 9 2" xfId="14496"/>
    <cellStyle name="40% - Accent5 4 2 9 2 2" xfId="14497"/>
    <cellStyle name="40% - Accent5 4 2 9 3" xfId="14498"/>
    <cellStyle name="40% - Accent5 4 2 9 3 2" xfId="14499"/>
    <cellStyle name="40% - Accent5 4 2 9 4" xfId="14500"/>
    <cellStyle name="40% - Accent5 4 20" xfId="14501"/>
    <cellStyle name="40% - Accent5 4 21" xfId="14364"/>
    <cellStyle name="40% - Accent5 4 3" xfId="1628"/>
    <cellStyle name="40% - Accent5 4 3 2" xfId="4631"/>
    <cellStyle name="40% - Accent5 4 3 2 2" xfId="14504"/>
    <cellStyle name="40% - Accent5 4 3 2 3" xfId="14503"/>
    <cellStyle name="40% - Accent5 4 3 3" xfId="14505"/>
    <cellStyle name="40% - Accent5 4 3 3 2" xfId="14506"/>
    <cellStyle name="40% - Accent5 4 3 4" xfId="14507"/>
    <cellStyle name="40% - Accent5 4 3 4 2" xfId="14508"/>
    <cellStyle name="40% - Accent5 4 3 5" xfId="14509"/>
    <cellStyle name="40% - Accent5 4 3 5 2" xfId="14510"/>
    <cellStyle name="40% - Accent5 4 3 6" xfId="14511"/>
    <cellStyle name="40% - Accent5 4 3 7" xfId="14502"/>
    <cellStyle name="40% - Accent5 4 4" xfId="1751"/>
    <cellStyle name="40% - Accent5 4 4 2" xfId="14513"/>
    <cellStyle name="40% - Accent5 4 4 2 2" xfId="14514"/>
    <cellStyle name="40% - Accent5 4 4 3" xfId="14515"/>
    <cellStyle name="40% - Accent5 4 4 3 2" xfId="14516"/>
    <cellStyle name="40% - Accent5 4 4 4" xfId="14517"/>
    <cellStyle name="40% - Accent5 4 4 4 2" xfId="14518"/>
    <cellStyle name="40% - Accent5 4 4 5" xfId="14519"/>
    <cellStyle name="40% - Accent5 4 4 6" xfId="14512"/>
    <cellStyle name="40% - Accent5 4 5" xfId="2086"/>
    <cellStyle name="40% - Accent5 4 5 2" xfId="14521"/>
    <cellStyle name="40% - Accent5 4 5 2 2" xfId="14522"/>
    <cellStyle name="40% - Accent5 4 5 3" xfId="14523"/>
    <cellStyle name="40% - Accent5 4 5 3 2" xfId="14524"/>
    <cellStyle name="40% - Accent5 4 5 4" xfId="14525"/>
    <cellStyle name="40% - Accent5 4 5 4 2" xfId="14526"/>
    <cellStyle name="40% - Accent5 4 5 5" xfId="14527"/>
    <cellStyle name="40% - Accent5 4 5 6" xfId="14520"/>
    <cellStyle name="40% - Accent5 4 6" xfId="2460"/>
    <cellStyle name="40% - Accent5 4 6 2" xfId="14529"/>
    <cellStyle name="40% - Accent5 4 6 2 2" xfId="14530"/>
    <cellStyle name="40% - Accent5 4 6 3" xfId="14531"/>
    <cellStyle name="40% - Accent5 4 6 3 2" xfId="14532"/>
    <cellStyle name="40% - Accent5 4 6 4" xfId="14533"/>
    <cellStyle name="40% - Accent5 4 6 4 2" xfId="14534"/>
    <cellStyle name="40% - Accent5 4 6 5" xfId="14535"/>
    <cellStyle name="40% - Accent5 4 6 6" xfId="14528"/>
    <cellStyle name="40% - Accent5 4 7" xfId="2832"/>
    <cellStyle name="40% - Accent5 4 7 2" xfId="14537"/>
    <cellStyle name="40% - Accent5 4 7 2 2" xfId="14538"/>
    <cellStyle name="40% - Accent5 4 7 3" xfId="14539"/>
    <cellStyle name="40% - Accent5 4 7 3 2" xfId="14540"/>
    <cellStyle name="40% - Accent5 4 7 4" xfId="14541"/>
    <cellStyle name="40% - Accent5 4 7 4 2" xfId="14542"/>
    <cellStyle name="40% - Accent5 4 7 5" xfId="14543"/>
    <cellStyle name="40% - Accent5 4 7 6" xfId="14536"/>
    <cellStyle name="40% - Accent5 4 8" xfId="3203"/>
    <cellStyle name="40% - Accent5 4 8 2" xfId="14545"/>
    <cellStyle name="40% - Accent5 4 8 2 2" xfId="14546"/>
    <cellStyle name="40% - Accent5 4 8 3" xfId="14547"/>
    <cellStyle name="40% - Accent5 4 8 3 2" xfId="14548"/>
    <cellStyle name="40% - Accent5 4 8 4" xfId="14549"/>
    <cellStyle name="40% - Accent5 4 8 4 2" xfId="14550"/>
    <cellStyle name="40% - Accent5 4 8 5" xfId="14551"/>
    <cellStyle name="40% - Accent5 4 8 6" xfId="14544"/>
    <cellStyle name="40% - Accent5 4 9" xfId="3592"/>
    <cellStyle name="40% - Accent5 4 9 2" xfId="4632"/>
    <cellStyle name="40% - Accent5 4 9 2 2" xfId="14554"/>
    <cellStyle name="40% - Accent5 4 9 2 3" xfId="14553"/>
    <cellStyle name="40% - Accent5 4 9 3" xfId="14555"/>
    <cellStyle name="40% - Accent5 4 9 3 2" xfId="14556"/>
    <cellStyle name="40% - Accent5 4 9 4" xfId="14557"/>
    <cellStyle name="40% - Accent5 4 9 4 2" xfId="14558"/>
    <cellStyle name="40% - Accent5 4 9 5" xfId="14559"/>
    <cellStyle name="40% - Accent5 4 9 5 2" xfId="14560"/>
    <cellStyle name="40% - Accent5 4 9 6" xfId="14561"/>
    <cellStyle name="40% - Accent5 4 9 7" xfId="14552"/>
    <cellStyle name="40% - Accent5 5" xfId="399"/>
    <cellStyle name="40% - Accent5 5 10" xfId="14563"/>
    <cellStyle name="40% - Accent5 5 10 2" xfId="14564"/>
    <cellStyle name="40% - Accent5 5 10 2 2" xfId="14565"/>
    <cellStyle name="40% - Accent5 5 10 3" xfId="14566"/>
    <cellStyle name="40% - Accent5 5 10 3 2" xfId="14567"/>
    <cellStyle name="40% - Accent5 5 10 4" xfId="14568"/>
    <cellStyle name="40% - Accent5 5 11" xfId="14569"/>
    <cellStyle name="40% - Accent5 5 11 2" xfId="14570"/>
    <cellStyle name="40% - Accent5 5 11 2 2" xfId="14571"/>
    <cellStyle name="40% - Accent5 5 11 3" xfId="14572"/>
    <cellStyle name="40% - Accent5 5 11 3 2" xfId="14573"/>
    <cellStyle name="40% - Accent5 5 11 4" xfId="14574"/>
    <cellStyle name="40% - Accent5 5 12" xfId="14575"/>
    <cellStyle name="40% - Accent5 5 12 2" xfId="14576"/>
    <cellStyle name="40% - Accent5 5 12 2 2" xfId="14577"/>
    <cellStyle name="40% - Accent5 5 12 3" xfId="14578"/>
    <cellStyle name="40% - Accent5 5 12 3 2" xfId="14579"/>
    <cellStyle name="40% - Accent5 5 12 4" xfId="14580"/>
    <cellStyle name="40% - Accent5 5 13" xfId="14581"/>
    <cellStyle name="40% - Accent5 5 13 2" xfId="14582"/>
    <cellStyle name="40% - Accent5 5 13 2 2" xfId="14583"/>
    <cellStyle name="40% - Accent5 5 13 3" xfId="14584"/>
    <cellStyle name="40% - Accent5 5 13 3 2" xfId="14585"/>
    <cellStyle name="40% - Accent5 5 13 4" xfId="14586"/>
    <cellStyle name="40% - Accent5 5 14" xfId="14587"/>
    <cellStyle name="40% - Accent5 5 14 2" xfId="14588"/>
    <cellStyle name="40% - Accent5 5 15" xfId="14589"/>
    <cellStyle name="40% - Accent5 5 15 2" xfId="14590"/>
    <cellStyle name="40% - Accent5 5 16" xfId="14591"/>
    <cellStyle name="40% - Accent5 5 16 2" xfId="14592"/>
    <cellStyle name="40% - Accent5 5 17" xfId="14593"/>
    <cellStyle name="40% - Accent5 5 17 2" xfId="14594"/>
    <cellStyle name="40% - Accent5 5 18" xfId="14595"/>
    <cellStyle name="40% - Accent5 5 19" xfId="14562"/>
    <cellStyle name="40% - Accent5 5 2" xfId="1875"/>
    <cellStyle name="40% - Accent5 5 2 10" xfId="14597"/>
    <cellStyle name="40% - Accent5 5 2 10 2" xfId="14598"/>
    <cellStyle name="40% - Accent5 5 2 10 2 2" xfId="14599"/>
    <cellStyle name="40% - Accent5 5 2 10 3" xfId="14600"/>
    <cellStyle name="40% - Accent5 5 2 10 3 2" xfId="14601"/>
    <cellStyle name="40% - Accent5 5 2 10 4" xfId="14602"/>
    <cellStyle name="40% - Accent5 5 2 11" xfId="14603"/>
    <cellStyle name="40% - Accent5 5 2 11 2" xfId="14604"/>
    <cellStyle name="40% - Accent5 5 2 11 2 2" xfId="14605"/>
    <cellStyle name="40% - Accent5 5 2 11 3" xfId="14606"/>
    <cellStyle name="40% - Accent5 5 2 11 3 2" xfId="14607"/>
    <cellStyle name="40% - Accent5 5 2 11 4" xfId="14608"/>
    <cellStyle name="40% - Accent5 5 2 12" xfId="14609"/>
    <cellStyle name="40% - Accent5 5 2 12 2" xfId="14610"/>
    <cellStyle name="40% - Accent5 5 2 12 2 2" xfId="14611"/>
    <cellStyle name="40% - Accent5 5 2 12 3" xfId="14612"/>
    <cellStyle name="40% - Accent5 5 2 12 3 2" xfId="14613"/>
    <cellStyle name="40% - Accent5 5 2 12 4" xfId="14614"/>
    <cellStyle name="40% - Accent5 5 2 13" xfId="14615"/>
    <cellStyle name="40% - Accent5 5 2 13 2" xfId="14616"/>
    <cellStyle name="40% - Accent5 5 2 14" xfId="14617"/>
    <cellStyle name="40% - Accent5 5 2 14 2" xfId="14618"/>
    <cellStyle name="40% - Accent5 5 2 15" xfId="14619"/>
    <cellStyle name="40% - Accent5 5 2 15 2" xfId="14620"/>
    <cellStyle name="40% - Accent5 5 2 16" xfId="14621"/>
    <cellStyle name="40% - Accent5 5 2 17" xfId="14596"/>
    <cellStyle name="40% - Accent5 5 2 2" xfId="14622"/>
    <cellStyle name="40% - Accent5 5 2 2 2" xfId="14623"/>
    <cellStyle name="40% - Accent5 5 2 2 2 2" xfId="14624"/>
    <cellStyle name="40% - Accent5 5 2 2 3" xfId="14625"/>
    <cellStyle name="40% - Accent5 5 2 2 3 2" xfId="14626"/>
    <cellStyle name="40% - Accent5 5 2 2 4" xfId="14627"/>
    <cellStyle name="40% - Accent5 5 2 3" xfId="14628"/>
    <cellStyle name="40% - Accent5 5 2 3 2" xfId="14629"/>
    <cellStyle name="40% - Accent5 5 2 3 2 2" xfId="14630"/>
    <cellStyle name="40% - Accent5 5 2 3 3" xfId="14631"/>
    <cellStyle name="40% - Accent5 5 2 3 3 2" xfId="14632"/>
    <cellStyle name="40% - Accent5 5 2 3 4" xfId="14633"/>
    <cellStyle name="40% - Accent5 5 2 4" xfId="14634"/>
    <cellStyle name="40% - Accent5 5 2 4 2" xfId="14635"/>
    <cellStyle name="40% - Accent5 5 2 4 2 2" xfId="14636"/>
    <cellStyle name="40% - Accent5 5 2 4 3" xfId="14637"/>
    <cellStyle name="40% - Accent5 5 2 4 3 2" xfId="14638"/>
    <cellStyle name="40% - Accent5 5 2 4 4" xfId="14639"/>
    <cellStyle name="40% - Accent5 5 2 5" xfId="14640"/>
    <cellStyle name="40% - Accent5 5 2 5 2" xfId="14641"/>
    <cellStyle name="40% - Accent5 5 2 5 2 2" xfId="14642"/>
    <cellStyle name="40% - Accent5 5 2 5 3" xfId="14643"/>
    <cellStyle name="40% - Accent5 5 2 5 3 2" xfId="14644"/>
    <cellStyle name="40% - Accent5 5 2 5 4" xfId="14645"/>
    <cellStyle name="40% - Accent5 5 2 6" xfId="14646"/>
    <cellStyle name="40% - Accent5 5 2 6 2" xfId="14647"/>
    <cellStyle name="40% - Accent5 5 2 6 2 2" xfId="14648"/>
    <cellStyle name="40% - Accent5 5 2 6 3" xfId="14649"/>
    <cellStyle name="40% - Accent5 5 2 6 3 2" xfId="14650"/>
    <cellStyle name="40% - Accent5 5 2 6 4" xfId="14651"/>
    <cellStyle name="40% - Accent5 5 2 7" xfId="14652"/>
    <cellStyle name="40% - Accent5 5 2 7 2" xfId="14653"/>
    <cellStyle name="40% - Accent5 5 2 7 2 2" xfId="14654"/>
    <cellStyle name="40% - Accent5 5 2 7 3" xfId="14655"/>
    <cellStyle name="40% - Accent5 5 2 7 3 2" xfId="14656"/>
    <cellStyle name="40% - Accent5 5 2 7 4" xfId="14657"/>
    <cellStyle name="40% - Accent5 5 2 8" xfId="14658"/>
    <cellStyle name="40% - Accent5 5 2 8 2" xfId="14659"/>
    <cellStyle name="40% - Accent5 5 2 8 2 2" xfId="14660"/>
    <cellStyle name="40% - Accent5 5 2 8 3" xfId="14661"/>
    <cellStyle name="40% - Accent5 5 2 8 3 2" xfId="14662"/>
    <cellStyle name="40% - Accent5 5 2 8 4" xfId="14663"/>
    <cellStyle name="40% - Accent5 5 2 9" xfId="14664"/>
    <cellStyle name="40% - Accent5 5 2 9 2" xfId="14665"/>
    <cellStyle name="40% - Accent5 5 2 9 2 2" xfId="14666"/>
    <cellStyle name="40% - Accent5 5 2 9 3" xfId="14667"/>
    <cellStyle name="40% - Accent5 5 2 9 3 2" xfId="14668"/>
    <cellStyle name="40% - Accent5 5 2 9 4" xfId="14669"/>
    <cellStyle name="40% - Accent5 5 3" xfId="2250"/>
    <cellStyle name="40% - Accent5 5 3 2" xfId="14671"/>
    <cellStyle name="40% - Accent5 5 3 2 2" xfId="14672"/>
    <cellStyle name="40% - Accent5 5 3 3" xfId="14673"/>
    <cellStyle name="40% - Accent5 5 3 3 2" xfId="14674"/>
    <cellStyle name="40% - Accent5 5 3 4" xfId="14675"/>
    <cellStyle name="40% - Accent5 5 3 4 2" xfId="14676"/>
    <cellStyle name="40% - Accent5 5 3 5" xfId="14677"/>
    <cellStyle name="40% - Accent5 5 3 6" xfId="14670"/>
    <cellStyle name="40% - Accent5 5 4" xfId="2624"/>
    <cellStyle name="40% - Accent5 5 4 2" xfId="14679"/>
    <cellStyle name="40% - Accent5 5 4 2 2" xfId="14680"/>
    <cellStyle name="40% - Accent5 5 4 3" xfId="14681"/>
    <cellStyle name="40% - Accent5 5 4 3 2" xfId="14682"/>
    <cellStyle name="40% - Accent5 5 4 4" xfId="14683"/>
    <cellStyle name="40% - Accent5 5 4 4 2" xfId="14684"/>
    <cellStyle name="40% - Accent5 5 4 5" xfId="14685"/>
    <cellStyle name="40% - Accent5 5 4 6" xfId="14678"/>
    <cellStyle name="40% - Accent5 5 5" xfId="2996"/>
    <cellStyle name="40% - Accent5 5 5 2" xfId="14687"/>
    <cellStyle name="40% - Accent5 5 5 2 2" xfId="14688"/>
    <cellStyle name="40% - Accent5 5 5 3" xfId="14689"/>
    <cellStyle name="40% - Accent5 5 5 3 2" xfId="14690"/>
    <cellStyle name="40% - Accent5 5 5 4" xfId="14691"/>
    <cellStyle name="40% - Accent5 5 5 4 2" xfId="14692"/>
    <cellStyle name="40% - Accent5 5 5 5" xfId="14693"/>
    <cellStyle name="40% - Accent5 5 5 6" xfId="14686"/>
    <cellStyle name="40% - Accent5 5 6" xfId="3368"/>
    <cellStyle name="40% - Accent5 5 6 2" xfId="14695"/>
    <cellStyle name="40% - Accent5 5 6 2 2" xfId="14696"/>
    <cellStyle name="40% - Accent5 5 6 3" xfId="14697"/>
    <cellStyle name="40% - Accent5 5 6 3 2" xfId="14698"/>
    <cellStyle name="40% - Accent5 5 6 4" xfId="14699"/>
    <cellStyle name="40% - Accent5 5 6 4 2" xfId="14700"/>
    <cellStyle name="40% - Accent5 5 6 5" xfId="14701"/>
    <cellStyle name="40% - Accent5 5 6 6" xfId="14694"/>
    <cellStyle name="40% - Accent5 5 7" xfId="4633"/>
    <cellStyle name="40% - Accent5 5 7 2" xfId="14703"/>
    <cellStyle name="40% - Accent5 5 7 2 2" xfId="14704"/>
    <cellStyle name="40% - Accent5 5 7 3" xfId="14705"/>
    <cellStyle name="40% - Accent5 5 7 3 2" xfId="14706"/>
    <cellStyle name="40% - Accent5 5 7 4" xfId="14707"/>
    <cellStyle name="40% - Accent5 5 7 5" xfId="14702"/>
    <cellStyle name="40% - Accent5 5 8" xfId="14708"/>
    <cellStyle name="40% - Accent5 5 8 2" xfId="14709"/>
    <cellStyle name="40% - Accent5 5 8 2 2" xfId="14710"/>
    <cellStyle name="40% - Accent5 5 8 3" xfId="14711"/>
    <cellStyle name="40% - Accent5 5 8 3 2" xfId="14712"/>
    <cellStyle name="40% - Accent5 5 8 4" xfId="14713"/>
    <cellStyle name="40% - Accent5 5 9" xfId="14714"/>
    <cellStyle name="40% - Accent5 5 9 2" xfId="14715"/>
    <cellStyle name="40% - Accent5 5 9 2 2" xfId="14716"/>
    <cellStyle name="40% - Accent5 5 9 3" xfId="14717"/>
    <cellStyle name="40% - Accent5 5 9 3 2" xfId="14718"/>
    <cellStyle name="40% - Accent5 5 9 4" xfId="14719"/>
    <cellStyle name="40% - Accent5 6" xfId="400"/>
    <cellStyle name="40% - Accent5 6 10" xfId="5428"/>
    <cellStyle name="40% - Accent5 6 10 2" xfId="6421"/>
    <cellStyle name="40% - Accent5 6 10 2 2" xfId="14723"/>
    <cellStyle name="40% - Accent5 6 10 2 3" xfId="14722"/>
    <cellStyle name="40% - Accent5 6 10 2 4" xfId="26599"/>
    <cellStyle name="40% - Accent5 6 10 3" xfId="14724"/>
    <cellStyle name="40% - Accent5 6 10 3 2" xfId="14725"/>
    <cellStyle name="40% - Accent5 6 10 4" xfId="14726"/>
    <cellStyle name="40% - Accent5 6 10 5" xfId="14721"/>
    <cellStyle name="40% - Accent5 6 10 6" xfId="26598"/>
    <cellStyle name="40% - Accent5 6 11" xfId="5738"/>
    <cellStyle name="40% - Accent5 6 11 2" xfId="6422"/>
    <cellStyle name="40% - Accent5 6 11 2 2" xfId="14729"/>
    <cellStyle name="40% - Accent5 6 11 2 3" xfId="14728"/>
    <cellStyle name="40% - Accent5 6 11 2 4" xfId="26601"/>
    <cellStyle name="40% - Accent5 6 11 3" xfId="14730"/>
    <cellStyle name="40% - Accent5 6 11 3 2" xfId="14731"/>
    <cellStyle name="40% - Accent5 6 11 4" xfId="14732"/>
    <cellStyle name="40% - Accent5 6 11 5" xfId="14727"/>
    <cellStyle name="40% - Accent5 6 11 6" xfId="26600"/>
    <cellStyle name="40% - Accent5 6 12" xfId="4634"/>
    <cellStyle name="40% - Accent5 6 12 2" xfId="6423"/>
    <cellStyle name="40% - Accent5 6 12 2 2" xfId="14735"/>
    <cellStyle name="40% - Accent5 6 12 2 3" xfId="14734"/>
    <cellStyle name="40% - Accent5 6 12 2 4" xfId="26603"/>
    <cellStyle name="40% - Accent5 6 12 3" xfId="14736"/>
    <cellStyle name="40% - Accent5 6 12 3 2" xfId="14737"/>
    <cellStyle name="40% - Accent5 6 12 4" xfId="14738"/>
    <cellStyle name="40% - Accent5 6 12 5" xfId="14733"/>
    <cellStyle name="40% - Accent5 6 12 6" xfId="26602"/>
    <cellStyle name="40% - Accent5 6 13" xfId="6420"/>
    <cellStyle name="40% - Accent5 6 13 2" xfId="14740"/>
    <cellStyle name="40% - Accent5 6 13 3" xfId="14739"/>
    <cellStyle name="40% - Accent5 6 13 4" xfId="26604"/>
    <cellStyle name="40% - Accent5 6 14" xfId="14741"/>
    <cellStyle name="40% - Accent5 6 14 2" xfId="14742"/>
    <cellStyle name="40% - Accent5 6 15" xfId="14743"/>
    <cellStyle name="40% - Accent5 6 15 2" xfId="14744"/>
    <cellStyle name="40% - Accent5 6 16" xfId="14745"/>
    <cellStyle name="40% - Accent5 6 16 2" xfId="14746"/>
    <cellStyle name="40% - Accent5 6 16 2 2" xfId="14747"/>
    <cellStyle name="40% - Accent5 6 16 3" xfId="14748"/>
    <cellStyle name="40% - Accent5 6 16 3 2" xfId="14749"/>
    <cellStyle name="40% - Accent5 6 16 4" xfId="14750"/>
    <cellStyle name="40% - Accent5 6 17" xfId="14751"/>
    <cellStyle name="40% - Accent5 6 17 2" xfId="14752"/>
    <cellStyle name="40% - Accent5 6 18" xfId="14753"/>
    <cellStyle name="40% - Accent5 6 18 2" xfId="14754"/>
    <cellStyle name="40% - Accent5 6 19" xfId="14755"/>
    <cellStyle name="40% - Accent5 6 2" xfId="1979"/>
    <cellStyle name="40% - Accent5 6 2 2" xfId="4635"/>
    <cellStyle name="40% - Accent5 6 2 2 2" xfId="14758"/>
    <cellStyle name="40% - Accent5 6 2 2 3" xfId="14757"/>
    <cellStyle name="40% - Accent5 6 2 3" xfId="14759"/>
    <cellStyle name="40% - Accent5 6 2 3 2" xfId="14760"/>
    <cellStyle name="40% - Accent5 6 2 4" xfId="14761"/>
    <cellStyle name="40% - Accent5 6 2 4 2" xfId="14762"/>
    <cellStyle name="40% - Accent5 6 2 5" xfId="14763"/>
    <cellStyle name="40% - Accent5 6 2 5 2" xfId="14764"/>
    <cellStyle name="40% - Accent5 6 2 6" xfId="14765"/>
    <cellStyle name="40% - Accent5 6 2 7" xfId="14756"/>
    <cellStyle name="40% - Accent5 6 20" xfId="14720"/>
    <cellStyle name="40% - Accent5 6 21" xfId="24841"/>
    <cellStyle name="40% - Accent5 6 22" xfId="26597"/>
    <cellStyle name="40% - Accent5 6 3" xfId="2354"/>
    <cellStyle name="40% - Accent5 6 3 2" xfId="4636"/>
    <cellStyle name="40% - Accent5 6 3 2 2" xfId="14768"/>
    <cellStyle name="40% - Accent5 6 3 2 3" xfId="14767"/>
    <cellStyle name="40% - Accent5 6 3 3" xfId="14769"/>
    <cellStyle name="40% - Accent5 6 3 3 2" xfId="14770"/>
    <cellStyle name="40% - Accent5 6 3 4" xfId="14771"/>
    <cellStyle name="40% - Accent5 6 3 4 2" xfId="14772"/>
    <cellStyle name="40% - Accent5 6 3 5" xfId="14773"/>
    <cellStyle name="40% - Accent5 6 3 5 2" xfId="14774"/>
    <cellStyle name="40% - Accent5 6 3 6" xfId="14775"/>
    <cellStyle name="40% - Accent5 6 3 7" xfId="14766"/>
    <cellStyle name="40% - Accent5 6 4" xfId="2727"/>
    <cellStyle name="40% - Accent5 6 4 2" xfId="4637"/>
    <cellStyle name="40% - Accent5 6 4 2 2" xfId="14778"/>
    <cellStyle name="40% - Accent5 6 4 2 3" xfId="14777"/>
    <cellStyle name="40% - Accent5 6 4 3" xfId="14779"/>
    <cellStyle name="40% - Accent5 6 4 3 2" xfId="14780"/>
    <cellStyle name="40% - Accent5 6 4 4" xfId="14781"/>
    <cellStyle name="40% - Accent5 6 4 4 2" xfId="14782"/>
    <cellStyle name="40% - Accent5 6 4 5" xfId="14783"/>
    <cellStyle name="40% - Accent5 6 4 5 2" xfId="14784"/>
    <cellStyle name="40% - Accent5 6 4 6" xfId="14785"/>
    <cellStyle name="40% - Accent5 6 4 7" xfId="14776"/>
    <cellStyle name="40% - Accent5 6 5" xfId="3100"/>
    <cellStyle name="40% - Accent5 6 5 2" xfId="4638"/>
    <cellStyle name="40% - Accent5 6 5 2 2" xfId="14788"/>
    <cellStyle name="40% - Accent5 6 5 2 3" xfId="14787"/>
    <cellStyle name="40% - Accent5 6 5 3" xfId="14789"/>
    <cellStyle name="40% - Accent5 6 5 3 2" xfId="14790"/>
    <cellStyle name="40% - Accent5 6 5 4" xfId="14791"/>
    <cellStyle name="40% - Accent5 6 5 4 2" xfId="14792"/>
    <cellStyle name="40% - Accent5 6 5 5" xfId="14793"/>
    <cellStyle name="40% - Accent5 6 5 5 2" xfId="14794"/>
    <cellStyle name="40% - Accent5 6 5 6" xfId="14795"/>
    <cellStyle name="40% - Accent5 6 5 7" xfId="14786"/>
    <cellStyle name="40% - Accent5 6 6" xfId="3471"/>
    <cellStyle name="40% - Accent5 6 6 2" xfId="4639"/>
    <cellStyle name="40% - Accent5 6 6 2 2" xfId="14798"/>
    <cellStyle name="40% - Accent5 6 6 2 3" xfId="14797"/>
    <cellStyle name="40% - Accent5 6 6 3" xfId="14799"/>
    <cellStyle name="40% - Accent5 6 6 3 2" xfId="14800"/>
    <cellStyle name="40% - Accent5 6 6 4" xfId="14801"/>
    <cellStyle name="40% - Accent5 6 6 4 2" xfId="14802"/>
    <cellStyle name="40% - Accent5 6 6 5" xfId="14803"/>
    <cellStyle name="40% - Accent5 6 6 5 2" xfId="14804"/>
    <cellStyle name="40% - Accent5 6 6 6" xfId="14805"/>
    <cellStyle name="40% - Accent5 6 6 7" xfId="14796"/>
    <cellStyle name="40% - Accent5 6 7" xfId="3777"/>
    <cellStyle name="40% - Accent5 6 7 2" xfId="4640"/>
    <cellStyle name="40% - Accent5 6 7 2 2" xfId="14808"/>
    <cellStyle name="40% - Accent5 6 7 2 3" xfId="14807"/>
    <cellStyle name="40% - Accent5 6 7 3" xfId="14809"/>
    <cellStyle name="40% - Accent5 6 7 3 2" xfId="14810"/>
    <cellStyle name="40% - Accent5 6 7 4" xfId="14811"/>
    <cellStyle name="40% - Accent5 6 7 4 2" xfId="14812"/>
    <cellStyle name="40% - Accent5 6 7 5" xfId="14813"/>
    <cellStyle name="40% - Accent5 6 7 5 2" xfId="14814"/>
    <cellStyle name="40% - Accent5 6 7 6" xfId="14815"/>
    <cellStyle name="40% - Accent5 6 7 7" xfId="14806"/>
    <cellStyle name="40% - Accent5 6 8" xfId="1368"/>
    <cellStyle name="40% - Accent5 6 8 10" xfId="24900"/>
    <cellStyle name="40% - Accent5 6 8 11" xfId="26605"/>
    <cellStyle name="40% - Accent5 6 8 2" xfId="4168"/>
    <cellStyle name="40% - Accent5 6 8 2 2" xfId="5430"/>
    <cellStyle name="40% - Accent5 6 8 2 2 2" xfId="6426"/>
    <cellStyle name="40% - Accent5 6 8 2 2 2 2" xfId="14819"/>
    <cellStyle name="40% - Accent5 6 8 2 2 2 3" xfId="26608"/>
    <cellStyle name="40% - Accent5 6 8 2 2 3" xfId="14818"/>
    <cellStyle name="40% - Accent5 6 8 2 2 4" xfId="26607"/>
    <cellStyle name="40% - Accent5 6 8 2 3" xfId="5740"/>
    <cellStyle name="40% - Accent5 6 8 2 3 2" xfId="6427"/>
    <cellStyle name="40% - Accent5 6 8 2 3 2 2" xfId="26610"/>
    <cellStyle name="40% - Accent5 6 8 2 3 3" xfId="14820"/>
    <cellStyle name="40% - Accent5 6 8 2 3 4" xfId="26609"/>
    <cellStyle name="40% - Accent5 6 8 2 4" xfId="4642"/>
    <cellStyle name="40% - Accent5 6 8 2 4 2" xfId="6428"/>
    <cellStyle name="40% - Accent5 6 8 2 4 2 2" xfId="26612"/>
    <cellStyle name="40% - Accent5 6 8 2 4 3" xfId="26611"/>
    <cellStyle name="40% - Accent5 6 8 2 5" xfId="6425"/>
    <cellStyle name="40% - Accent5 6 8 2 5 2" xfId="26613"/>
    <cellStyle name="40% - Accent5 6 8 2 6" xfId="14817"/>
    <cellStyle name="40% - Accent5 6 8 2 7" xfId="25020"/>
    <cellStyle name="40% - Accent5 6 8 2 8" xfId="26606"/>
    <cellStyle name="40% - Accent5 6 8 3" xfId="5429"/>
    <cellStyle name="40% - Accent5 6 8 3 2" xfId="6429"/>
    <cellStyle name="40% - Accent5 6 8 3 2 2" xfId="14822"/>
    <cellStyle name="40% - Accent5 6 8 3 2 3" xfId="26615"/>
    <cellStyle name="40% - Accent5 6 8 3 3" xfId="14821"/>
    <cellStyle name="40% - Accent5 6 8 3 4" xfId="26614"/>
    <cellStyle name="40% - Accent5 6 8 4" xfId="5739"/>
    <cellStyle name="40% - Accent5 6 8 4 2" xfId="6430"/>
    <cellStyle name="40% - Accent5 6 8 4 2 2" xfId="14824"/>
    <cellStyle name="40% - Accent5 6 8 4 2 3" xfId="26617"/>
    <cellStyle name="40% - Accent5 6 8 4 3" xfId="14823"/>
    <cellStyle name="40% - Accent5 6 8 4 4" xfId="26616"/>
    <cellStyle name="40% - Accent5 6 8 5" xfId="4641"/>
    <cellStyle name="40% - Accent5 6 8 5 2" xfId="6431"/>
    <cellStyle name="40% - Accent5 6 8 5 2 2" xfId="14827"/>
    <cellStyle name="40% - Accent5 6 8 5 2 3" xfId="14826"/>
    <cellStyle name="40% - Accent5 6 8 5 2 4" xfId="26619"/>
    <cellStyle name="40% - Accent5 6 8 5 3" xfId="14828"/>
    <cellStyle name="40% - Accent5 6 8 5 3 2" xfId="14829"/>
    <cellStyle name="40% - Accent5 6 8 5 4" xfId="14830"/>
    <cellStyle name="40% - Accent5 6 8 5 5" xfId="14825"/>
    <cellStyle name="40% - Accent5 6 8 5 6" xfId="26618"/>
    <cellStyle name="40% - Accent5 6 8 6" xfId="6424"/>
    <cellStyle name="40% - Accent5 6 8 6 2" xfId="14832"/>
    <cellStyle name="40% - Accent5 6 8 6 3" xfId="14831"/>
    <cellStyle name="40% - Accent5 6 8 6 4" xfId="26620"/>
    <cellStyle name="40% - Accent5 6 8 7" xfId="14833"/>
    <cellStyle name="40% - Accent5 6 8 7 2" xfId="14834"/>
    <cellStyle name="40% - Accent5 6 8 8" xfId="14835"/>
    <cellStyle name="40% - Accent5 6 8 9" xfId="14816"/>
    <cellStyle name="40% - Accent5 6 9" xfId="3827"/>
    <cellStyle name="40% - Accent5 6 9 2" xfId="5431"/>
    <cellStyle name="40% - Accent5 6 9 2 2" xfId="6433"/>
    <cellStyle name="40% - Accent5 6 9 2 2 2" xfId="14838"/>
    <cellStyle name="40% - Accent5 6 9 2 2 3" xfId="26623"/>
    <cellStyle name="40% - Accent5 6 9 2 3" xfId="14837"/>
    <cellStyle name="40% - Accent5 6 9 2 4" xfId="26622"/>
    <cellStyle name="40% - Accent5 6 9 3" xfId="5741"/>
    <cellStyle name="40% - Accent5 6 9 3 2" xfId="6434"/>
    <cellStyle name="40% - Accent5 6 9 3 2 2" xfId="14840"/>
    <cellStyle name="40% - Accent5 6 9 3 2 3" xfId="26625"/>
    <cellStyle name="40% - Accent5 6 9 3 3" xfId="14839"/>
    <cellStyle name="40% - Accent5 6 9 3 4" xfId="26624"/>
    <cellStyle name="40% - Accent5 6 9 4" xfId="4643"/>
    <cellStyle name="40% - Accent5 6 9 4 2" xfId="6435"/>
    <cellStyle name="40% - Accent5 6 9 4 2 2" xfId="14842"/>
    <cellStyle name="40% - Accent5 6 9 4 2 3" xfId="26627"/>
    <cellStyle name="40% - Accent5 6 9 4 3" xfId="14841"/>
    <cellStyle name="40% - Accent5 6 9 4 4" xfId="26626"/>
    <cellStyle name="40% - Accent5 6 9 5" xfId="6432"/>
    <cellStyle name="40% - Accent5 6 9 5 2" xfId="14843"/>
    <cellStyle name="40% - Accent5 6 9 5 3" xfId="26628"/>
    <cellStyle name="40% - Accent5 6 9 6" xfId="14836"/>
    <cellStyle name="40% - Accent5 6 9 7" xfId="24963"/>
    <cellStyle name="40% - Accent5 6 9 8" xfId="26621"/>
    <cellStyle name="40% - Accent5 7" xfId="401"/>
    <cellStyle name="40% - Accent5 7 10" xfId="14845"/>
    <cellStyle name="40% - Accent5 7 10 2" xfId="14846"/>
    <cellStyle name="40% - Accent5 7 10 2 2" xfId="14847"/>
    <cellStyle name="40% - Accent5 7 10 3" xfId="14848"/>
    <cellStyle name="40% - Accent5 7 10 3 2" xfId="14849"/>
    <cellStyle name="40% - Accent5 7 10 4" xfId="14850"/>
    <cellStyle name="40% - Accent5 7 11" xfId="14851"/>
    <cellStyle name="40% - Accent5 7 11 2" xfId="14852"/>
    <cellStyle name="40% - Accent5 7 11 2 2" xfId="14853"/>
    <cellStyle name="40% - Accent5 7 11 3" xfId="14854"/>
    <cellStyle name="40% - Accent5 7 11 3 2" xfId="14855"/>
    <cellStyle name="40% - Accent5 7 11 4" xfId="14856"/>
    <cellStyle name="40% - Accent5 7 12" xfId="14857"/>
    <cellStyle name="40% - Accent5 7 12 2" xfId="14858"/>
    <cellStyle name="40% - Accent5 7 12 2 2" xfId="14859"/>
    <cellStyle name="40% - Accent5 7 12 3" xfId="14860"/>
    <cellStyle name="40% - Accent5 7 12 3 2" xfId="14861"/>
    <cellStyle name="40% - Accent5 7 12 4" xfId="14862"/>
    <cellStyle name="40% - Accent5 7 13" xfId="14863"/>
    <cellStyle name="40% - Accent5 7 13 2" xfId="14864"/>
    <cellStyle name="40% - Accent5 7 14" xfId="14865"/>
    <cellStyle name="40% - Accent5 7 14 2" xfId="14866"/>
    <cellStyle name="40% - Accent5 7 15" xfId="14867"/>
    <cellStyle name="40% - Accent5 7 15 2" xfId="14868"/>
    <cellStyle name="40% - Accent5 7 16" xfId="14869"/>
    <cellStyle name="40% - Accent5 7 16 2" xfId="14870"/>
    <cellStyle name="40% - Accent5 7 17" xfId="14871"/>
    <cellStyle name="40% - Accent5 7 18" xfId="14844"/>
    <cellStyle name="40% - Accent5 7 2" xfId="4644"/>
    <cellStyle name="40% - Accent5 7 2 2" xfId="14873"/>
    <cellStyle name="40% - Accent5 7 2 2 2" xfId="14874"/>
    <cellStyle name="40% - Accent5 7 2 3" xfId="14875"/>
    <cellStyle name="40% - Accent5 7 2 3 2" xfId="14876"/>
    <cellStyle name="40% - Accent5 7 2 4" xfId="14877"/>
    <cellStyle name="40% - Accent5 7 2 5" xfId="14872"/>
    <cellStyle name="40% - Accent5 7 3" xfId="14878"/>
    <cellStyle name="40% - Accent5 7 3 2" xfId="14879"/>
    <cellStyle name="40% - Accent5 7 3 2 2" xfId="14880"/>
    <cellStyle name="40% - Accent5 7 3 3" xfId="14881"/>
    <cellStyle name="40% - Accent5 7 3 3 2" xfId="14882"/>
    <cellStyle name="40% - Accent5 7 3 4" xfId="14883"/>
    <cellStyle name="40% - Accent5 7 4" xfId="14884"/>
    <cellStyle name="40% - Accent5 7 4 2" xfId="14885"/>
    <cellStyle name="40% - Accent5 7 4 2 2" xfId="14886"/>
    <cellStyle name="40% - Accent5 7 4 3" xfId="14887"/>
    <cellStyle name="40% - Accent5 7 4 3 2" xfId="14888"/>
    <cellStyle name="40% - Accent5 7 4 4" xfId="14889"/>
    <cellStyle name="40% - Accent5 7 5" xfId="14890"/>
    <cellStyle name="40% - Accent5 7 5 2" xfId="14891"/>
    <cellStyle name="40% - Accent5 7 5 2 2" xfId="14892"/>
    <cellStyle name="40% - Accent5 7 5 3" xfId="14893"/>
    <cellStyle name="40% - Accent5 7 5 3 2" xfId="14894"/>
    <cellStyle name="40% - Accent5 7 5 4" xfId="14895"/>
    <cellStyle name="40% - Accent5 7 6" xfId="14896"/>
    <cellStyle name="40% - Accent5 7 6 2" xfId="14897"/>
    <cellStyle name="40% - Accent5 7 6 2 2" xfId="14898"/>
    <cellStyle name="40% - Accent5 7 6 3" xfId="14899"/>
    <cellStyle name="40% - Accent5 7 6 3 2" xfId="14900"/>
    <cellStyle name="40% - Accent5 7 6 4" xfId="14901"/>
    <cellStyle name="40% - Accent5 7 7" xfId="14902"/>
    <cellStyle name="40% - Accent5 7 7 2" xfId="14903"/>
    <cellStyle name="40% - Accent5 7 7 2 2" xfId="14904"/>
    <cellStyle name="40% - Accent5 7 7 3" xfId="14905"/>
    <cellStyle name="40% - Accent5 7 7 3 2" xfId="14906"/>
    <cellStyle name="40% - Accent5 7 7 4" xfId="14907"/>
    <cellStyle name="40% - Accent5 7 8" xfId="14908"/>
    <cellStyle name="40% - Accent5 7 8 2" xfId="14909"/>
    <cellStyle name="40% - Accent5 7 8 2 2" xfId="14910"/>
    <cellStyle name="40% - Accent5 7 8 3" xfId="14911"/>
    <cellStyle name="40% - Accent5 7 8 3 2" xfId="14912"/>
    <cellStyle name="40% - Accent5 7 8 4" xfId="14913"/>
    <cellStyle name="40% - Accent5 7 9" xfId="14914"/>
    <cellStyle name="40% - Accent5 7 9 2" xfId="14915"/>
    <cellStyle name="40% - Accent5 7 9 2 2" xfId="14916"/>
    <cellStyle name="40% - Accent5 7 9 3" xfId="14917"/>
    <cellStyle name="40% - Accent5 7 9 3 2" xfId="14918"/>
    <cellStyle name="40% - Accent5 7 9 4" xfId="14919"/>
    <cellStyle name="40% - Accent5 8" xfId="550"/>
    <cellStyle name="40% - Accent5 8 10" xfId="14920"/>
    <cellStyle name="40% - Accent5 8 11" xfId="24855"/>
    <cellStyle name="40% - Accent5 8 12" xfId="26629"/>
    <cellStyle name="40% - Accent5 8 2" xfId="1381"/>
    <cellStyle name="40% - Accent5 8 2 10" xfId="24913"/>
    <cellStyle name="40% - Accent5 8 2 11" xfId="26630"/>
    <cellStyle name="40% - Accent5 8 2 2" xfId="4181"/>
    <cellStyle name="40% - Accent5 8 2 2 2" xfId="5434"/>
    <cellStyle name="40% - Accent5 8 2 2 2 2" xfId="6439"/>
    <cellStyle name="40% - Accent5 8 2 2 2 2 2" xfId="14924"/>
    <cellStyle name="40% - Accent5 8 2 2 2 2 3" xfId="26633"/>
    <cellStyle name="40% - Accent5 8 2 2 2 3" xfId="14923"/>
    <cellStyle name="40% - Accent5 8 2 2 2 4" xfId="26632"/>
    <cellStyle name="40% - Accent5 8 2 2 3" xfId="5744"/>
    <cellStyle name="40% - Accent5 8 2 2 3 2" xfId="6440"/>
    <cellStyle name="40% - Accent5 8 2 2 3 2 2" xfId="26635"/>
    <cellStyle name="40% - Accent5 8 2 2 3 3" xfId="14925"/>
    <cellStyle name="40% - Accent5 8 2 2 3 4" xfId="26634"/>
    <cellStyle name="40% - Accent5 8 2 2 4" xfId="4647"/>
    <cellStyle name="40% - Accent5 8 2 2 4 2" xfId="6441"/>
    <cellStyle name="40% - Accent5 8 2 2 4 2 2" xfId="26637"/>
    <cellStyle name="40% - Accent5 8 2 2 4 3" xfId="26636"/>
    <cellStyle name="40% - Accent5 8 2 2 5" xfId="6438"/>
    <cellStyle name="40% - Accent5 8 2 2 5 2" xfId="26638"/>
    <cellStyle name="40% - Accent5 8 2 2 6" xfId="14922"/>
    <cellStyle name="40% - Accent5 8 2 2 7" xfId="25033"/>
    <cellStyle name="40% - Accent5 8 2 2 8" xfId="26631"/>
    <cellStyle name="40% - Accent5 8 2 3" xfId="5433"/>
    <cellStyle name="40% - Accent5 8 2 3 2" xfId="6442"/>
    <cellStyle name="40% - Accent5 8 2 3 2 2" xfId="14927"/>
    <cellStyle name="40% - Accent5 8 2 3 2 3" xfId="26640"/>
    <cellStyle name="40% - Accent5 8 2 3 3" xfId="14926"/>
    <cellStyle name="40% - Accent5 8 2 3 4" xfId="26639"/>
    <cellStyle name="40% - Accent5 8 2 4" xfId="5743"/>
    <cellStyle name="40% - Accent5 8 2 4 2" xfId="6443"/>
    <cellStyle name="40% - Accent5 8 2 4 2 2" xfId="14929"/>
    <cellStyle name="40% - Accent5 8 2 4 2 3" xfId="26642"/>
    <cellStyle name="40% - Accent5 8 2 4 3" xfId="14928"/>
    <cellStyle name="40% - Accent5 8 2 4 4" xfId="26641"/>
    <cellStyle name="40% - Accent5 8 2 5" xfId="4646"/>
    <cellStyle name="40% - Accent5 8 2 5 2" xfId="6444"/>
    <cellStyle name="40% - Accent5 8 2 5 2 2" xfId="14932"/>
    <cellStyle name="40% - Accent5 8 2 5 2 3" xfId="14931"/>
    <cellStyle name="40% - Accent5 8 2 5 2 4" xfId="26644"/>
    <cellStyle name="40% - Accent5 8 2 5 3" xfId="14933"/>
    <cellStyle name="40% - Accent5 8 2 5 3 2" xfId="14934"/>
    <cellStyle name="40% - Accent5 8 2 5 4" xfId="14935"/>
    <cellStyle name="40% - Accent5 8 2 5 5" xfId="14930"/>
    <cellStyle name="40% - Accent5 8 2 5 6" xfId="26643"/>
    <cellStyle name="40% - Accent5 8 2 6" xfId="6437"/>
    <cellStyle name="40% - Accent5 8 2 6 2" xfId="14937"/>
    <cellStyle name="40% - Accent5 8 2 6 3" xfId="14936"/>
    <cellStyle name="40% - Accent5 8 2 6 4" xfId="26645"/>
    <cellStyle name="40% - Accent5 8 2 7" xfId="14938"/>
    <cellStyle name="40% - Accent5 8 2 7 2" xfId="14939"/>
    <cellStyle name="40% - Accent5 8 2 8" xfId="14940"/>
    <cellStyle name="40% - Accent5 8 2 9" xfId="14921"/>
    <cellStyle name="40% - Accent5 8 3" xfId="3841"/>
    <cellStyle name="40% - Accent5 8 3 2" xfId="5435"/>
    <cellStyle name="40% - Accent5 8 3 2 2" xfId="6446"/>
    <cellStyle name="40% - Accent5 8 3 2 2 2" xfId="14943"/>
    <cellStyle name="40% - Accent5 8 3 2 2 3" xfId="26648"/>
    <cellStyle name="40% - Accent5 8 3 2 3" xfId="14942"/>
    <cellStyle name="40% - Accent5 8 3 2 4" xfId="26647"/>
    <cellStyle name="40% - Accent5 8 3 3" xfId="5745"/>
    <cellStyle name="40% - Accent5 8 3 3 2" xfId="6447"/>
    <cellStyle name="40% - Accent5 8 3 3 2 2" xfId="26650"/>
    <cellStyle name="40% - Accent5 8 3 3 3" xfId="14944"/>
    <cellStyle name="40% - Accent5 8 3 3 4" xfId="26649"/>
    <cellStyle name="40% - Accent5 8 3 4" xfId="4648"/>
    <cellStyle name="40% - Accent5 8 3 4 2" xfId="6448"/>
    <cellStyle name="40% - Accent5 8 3 4 2 2" xfId="26652"/>
    <cellStyle name="40% - Accent5 8 3 4 3" xfId="26651"/>
    <cellStyle name="40% - Accent5 8 3 5" xfId="6445"/>
    <cellStyle name="40% - Accent5 8 3 5 2" xfId="26653"/>
    <cellStyle name="40% - Accent5 8 3 6" xfId="14941"/>
    <cellStyle name="40% - Accent5 8 3 7" xfId="24977"/>
    <cellStyle name="40% - Accent5 8 3 8" xfId="26646"/>
    <cellStyle name="40% - Accent5 8 4" xfId="5432"/>
    <cellStyle name="40% - Accent5 8 4 2" xfId="6449"/>
    <cellStyle name="40% - Accent5 8 4 2 2" xfId="14946"/>
    <cellStyle name="40% - Accent5 8 4 2 3" xfId="26655"/>
    <cellStyle name="40% - Accent5 8 4 3" xfId="14945"/>
    <cellStyle name="40% - Accent5 8 4 4" xfId="26654"/>
    <cellStyle name="40% - Accent5 8 5" xfId="5742"/>
    <cellStyle name="40% - Accent5 8 5 2" xfId="6450"/>
    <cellStyle name="40% - Accent5 8 5 2 2" xfId="14948"/>
    <cellStyle name="40% - Accent5 8 5 2 3" xfId="26657"/>
    <cellStyle name="40% - Accent5 8 5 3" xfId="14947"/>
    <cellStyle name="40% - Accent5 8 5 4" xfId="26656"/>
    <cellStyle name="40% - Accent5 8 6" xfId="4645"/>
    <cellStyle name="40% - Accent5 8 6 2" xfId="6451"/>
    <cellStyle name="40% - Accent5 8 6 2 2" xfId="14951"/>
    <cellStyle name="40% - Accent5 8 6 2 3" xfId="14950"/>
    <cellStyle name="40% - Accent5 8 6 2 4" xfId="26659"/>
    <cellStyle name="40% - Accent5 8 6 3" xfId="14952"/>
    <cellStyle name="40% - Accent5 8 6 3 2" xfId="14953"/>
    <cellStyle name="40% - Accent5 8 6 4" xfId="14954"/>
    <cellStyle name="40% - Accent5 8 6 5" xfId="14949"/>
    <cellStyle name="40% - Accent5 8 6 6" xfId="26658"/>
    <cellStyle name="40% - Accent5 8 7" xfId="6436"/>
    <cellStyle name="40% - Accent5 8 7 2" xfId="14956"/>
    <cellStyle name="40% - Accent5 8 7 3" xfId="14955"/>
    <cellStyle name="40% - Accent5 8 7 4" xfId="26660"/>
    <cellStyle name="40% - Accent5 8 8" xfId="14957"/>
    <cellStyle name="40% - Accent5 8 8 2" xfId="14958"/>
    <cellStyle name="40% - Accent5 8 9" xfId="14959"/>
    <cellStyle name="40% - Accent5 9" xfId="551"/>
    <cellStyle name="40% - Accent5 9 2" xfId="4649"/>
    <cellStyle name="40% - Accent5 9 2 2" xfId="14962"/>
    <cellStyle name="40% - Accent5 9 2 2 2" xfId="14963"/>
    <cellStyle name="40% - Accent5 9 2 3" xfId="14964"/>
    <cellStyle name="40% - Accent5 9 2 3 2" xfId="14965"/>
    <cellStyle name="40% - Accent5 9 2 4" xfId="14966"/>
    <cellStyle name="40% - Accent5 9 2 5" xfId="14961"/>
    <cellStyle name="40% - Accent5 9 3" xfId="14967"/>
    <cellStyle name="40% - Accent5 9 3 2" xfId="14968"/>
    <cellStyle name="40% - Accent5 9 4" xfId="14969"/>
    <cellStyle name="40% - Accent5 9 4 2" xfId="14970"/>
    <cellStyle name="40% - Accent5 9 5" xfId="14971"/>
    <cellStyle name="40% - Accent5 9 5 2" xfId="14972"/>
    <cellStyle name="40% - Accent5 9 6" xfId="14973"/>
    <cellStyle name="40% - Accent5 9 6 2" xfId="14974"/>
    <cellStyle name="40% - Accent5 9 7" xfId="14975"/>
    <cellStyle name="40% - Accent5 9 8" xfId="14960"/>
    <cellStyle name="40% - Accent6 10" xfId="684"/>
    <cellStyle name="40% - Accent6 10 2" xfId="4650"/>
    <cellStyle name="40% - Accent6 10 2 2" xfId="14979"/>
    <cellStyle name="40% - Accent6 10 2 3" xfId="14978"/>
    <cellStyle name="40% - Accent6 10 3" xfId="14980"/>
    <cellStyle name="40% - Accent6 10 3 2" xfId="14981"/>
    <cellStyle name="40% - Accent6 10 4" xfId="14982"/>
    <cellStyle name="40% - Accent6 10 4 2" xfId="14983"/>
    <cellStyle name="40% - Accent6 10 5" xfId="14984"/>
    <cellStyle name="40% - Accent6 10 5 2" xfId="14985"/>
    <cellStyle name="40% - Accent6 10 6" xfId="14986"/>
    <cellStyle name="40% - Accent6 10 7" xfId="14977"/>
    <cellStyle name="40% - Accent6 11" xfId="685"/>
    <cellStyle name="40% - Accent6 11 2" xfId="4651"/>
    <cellStyle name="40% - Accent6 11 2 2" xfId="14989"/>
    <cellStyle name="40% - Accent6 11 2 3" xfId="14988"/>
    <cellStyle name="40% - Accent6 11 3" xfId="14990"/>
    <cellStyle name="40% - Accent6 11 3 2" xfId="14991"/>
    <cellStyle name="40% - Accent6 11 4" xfId="14992"/>
    <cellStyle name="40% - Accent6 11 4 2" xfId="14993"/>
    <cellStyle name="40% - Accent6 11 5" xfId="14994"/>
    <cellStyle name="40% - Accent6 11 5 2" xfId="14995"/>
    <cellStyle name="40% - Accent6 11 6" xfId="14996"/>
    <cellStyle name="40% - Accent6 11 7" xfId="14987"/>
    <cellStyle name="40% - Accent6 12" xfId="831"/>
    <cellStyle name="40% - Accent6 12 2" xfId="14998"/>
    <cellStyle name="40% - Accent6 12 2 2" xfId="14999"/>
    <cellStyle name="40% - Accent6 12 3" xfId="15000"/>
    <cellStyle name="40% - Accent6 12 3 2" xfId="15001"/>
    <cellStyle name="40% - Accent6 12 4" xfId="15002"/>
    <cellStyle name="40% - Accent6 12 5" xfId="14997"/>
    <cellStyle name="40% - Accent6 13" xfId="832"/>
    <cellStyle name="40% - Accent6 13 2" xfId="3856"/>
    <cellStyle name="40% - Accent6 13 2 2" xfId="6453"/>
    <cellStyle name="40% - Accent6 13 2 2 2" xfId="15005"/>
    <cellStyle name="40% - Accent6 13 2 2 3" xfId="26663"/>
    <cellStyle name="40% - Accent6 13 2 3" xfId="15004"/>
    <cellStyle name="40% - Accent6 13 2 4" xfId="24992"/>
    <cellStyle name="40% - Accent6 13 2 5" xfId="26662"/>
    <cellStyle name="40% - Accent6 13 3" xfId="6452"/>
    <cellStyle name="40% - Accent6 13 3 2" xfId="15007"/>
    <cellStyle name="40% - Accent6 13 3 3" xfId="15006"/>
    <cellStyle name="40% - Accent6 13 3 4" xfId="26664"/>
    <cellStyle name="40% - Accent6 13 4" xfId="15008"/>
    <cellStyle name="40% - Accent6 13 5" xfId="15003"/>
    <cellStyle name="40% - Accent6 13 6" xfId="24871"/>
    <cellStyle name="40% - Accent6 13 7" xfId="26661"/>
    <cellStyle name="40% - Accent6 14" xfId="943"/>
    <cellStyle name="40% - Accent6 14 2" xfId="15010"/>
    <cellStyle name="40% - Accent6 14 2 2" xfId="15011"/>
    <cellStyle name="40% - Accent6 14 3" xfId="15012"/>
    <cellStyle name="40% - Accent6 14 3 2" xfId="15013"/>
    <cellStyle name="40% - Accent6 14 4" xfId="15014"/>
    <cellStyle name="40% - Accent6 14 5" xfId="15009"/>
    <cellStyle name="40% - Accent6 15" xfId="15015"/>
    <cellStyle name="40% - Accent6 15 2" xfId="15016"/>
    <cellStyle name="40% - Accent6 15 2 2" xfId="15017"/>
    <cellStyle name="40% - Accent6 15 3" xfId="15018"/>
    <cellStyle name="40% - Accent6 15 3 2" xfId="15019"/>
    <cellStyle name="40% - Accent6 15 4" xfId="15020"/>
    <cellStyle name="40% - Accent6 16" xfId="15021"/>
    <cellStyle name="40% - Accent6 16 2" xfId="15022"/>
    <cellStyle name="40% - Accent6 16 2 2" xfId="15023"/>
    <cellStyle name="40% - Accent6 16 3" xfId="15024"/>
    <cellStyle name="40% - Accent6 16 3 2" xfId="15025"/>
    <cellStyle name="40% - Accent6 16 4" xfId="15026"/>
    <cellStyle name="40% - Accent6 17" xfId="15027"/>
    <cellStyle name="40% - Accent6 17 2" xfId="15028"/>
    <cellStyle name="40% - Accent6 17 2 2" xfId="15029"/>
    <cellStyle name="40% - Accent6 17 3" xfId="15030"/>
    <cellStyle name="40% - Accent6 17 3 2" xfId="15031"/>
    <cellStyle name="40% - Accent6 17 4" xfId="15032"/>
    <cellStyle name="40% - Accent6 18" xfId="15033"/>
    <cellStyle name="40% - Accent6 18 2" xfId="15034"/>
    <cellStyle name="40% - Accent6 18 2 2" xfId="15035"/>
    <cellStyle name="40% - Accent6 18 3" xfId="15036"/>
    <cellStyle name="40% - Accent6 18 3 2" xfId="15037"/>
    <cellStyle name="40% - Accent6 18 4" xfId="15038"/>
    <cellStyle name="40% - Accent6 19" xfId="15039"/>
    <cellStyle name="40% - Accent6 19 2" xfId="15040"/>
    <cellStyle name="40% - Accent6 19 2 2" xfId="15041"/>
    <cellStyle name="40% - Accent6 19 3" xfId="15042"/>
    <cellStyle name="40% - Accent6 2" xfId="79"/>
    <cellStyle name="40% - Accent6 2 10" xfId="1678"/>
    <cellStyle name="40% - Accent6 2 10 2" xfId="4652"/>
    <cellStyle name="40% - Accent6 2 10 2 2" xfId="15046"/>
    <cellStyle name="40% - Accent6 2 10 2 3" xfId="15045"/>
    <cellStyle name="40% - Accent6 2 10 3" xfId="15047"/>
    <cellStyle name="40% - Accent6 2 10 3 2" xfId="15048"/>
    <cellStyle name="40% - Accent6 2 10 4" xfId="15049"/>
    <cellStyle name="40% - Accent6 2 10 4 2" xfId="15050"/>
    <cellStyle name="40% - Accent6 2 10 5" xfId="15051"/>
    <cellStyle name="40% - Accent6 2 10 5 2" xfId="15052"/>
    <cellStyle name="40% - Accent6 2 10 6" xfId="15053"/>
    <cellStyle name="40% - Accent6 2 10 7" xfId="15044"/>
    <cellStyle name="40% - Accent6 2 11" xfId="2013"/>
    <cellStyle name="40% - Accent6 2 11 2" xfId="4653"/>
    <cellStyle name="40% - Accent6 2 11 2 2" xfId="15056"/>
    <cellStyle name="40% - Accent6 2 11 2 3" xfId="15055"/>
    <cellStyle name="40% - Accent6 2 11 3" xfId="15057"/>
    <cellStyle name="40% - Accent6 2 11 3 2" xfId="15058"/>
    <cellStyle name="40% - Accent6 2 11 4" xfId="15059"/>
    <cellStyle name="40% - Accent6 2 11 4 2" xfId="15060"/>
    <cellStyle name="40% - Accent6 2 11 5" xfId="15061"/>
    <cellStyle name="40% - Accent6 2 11 5 2" xfId="15062"/>
    <cellStyle name="40% - Accent6 2 11 6" xfId="15063"/>
    <cellStyle name="40% - Accent6 2 11 7" xfId="15054"/>
    <cellStyle name="40% - Accent6 2 12" xfId="2387"/>
    <cellStyle name="40% - Accent6 2 12 2" xfId="4654"/>
    <cellStyle name="40% - Accent6 2 12 2 2" xfId="15066"/>
    <cellStyle name="40% - Accent6 2 12 2 3" xfId="15065"/>
    <cellStyle name="40% - Accent6 2 12 3" xfId="15067"/>
    <cellStyle name="40% - Accent6 2 12 3 2" xfId="15068"/>
    <cellStyle name="40% - Accent6 2 12 4" xfId="15069"/>
    <cellStyle name="40% - Accent6 2 12 4 2" xfId="15070"/>
    <cellStyle name="40% - Accent6 2 12 5" xfId="15071"/>
    <cellStyle name="40% - Accent6 2 12 5 2" xfId="15072"/>
    <cellStyle name="40% - Accent6 2 12 6" xfId="15073"/>
    <cellStyle name="40% - Accent6 2 12 7" xfId="15064"/>
    <cellStyle name="40% - Accent6 2 13" xfId="2760"/>
    <cellStyle name="40% - Accent6 2 13 2" xfId="4655"/>
    <cellStyle name="40% - Accent6 2 13 2 2" xfId="15076"/>
    <cellStyle name="40% - Accent6 2 13 2 3" xfId="15075"/>
    <cellStyle name="40% - Accent6 2 13 3" xfId="15077"/>
    <cellStyle name="40% - Accent6 2 13 3 2" xfId="15078"/>
    <cellStyle name="40% - Accent6 2 13 4" xfId="15079"/>
    <cellStyle name="40% - Accent6 2 13 4 2" xfId="15080"/>
    <cellStyle name="40% - Accent6 2 13 5" xfId="15081"/>
    <cellStyle name="40% - Accent6 2 13 5 2" xfId="15082"/>
    <cellStyle name="40% - Accent6 2 13 6" xfId="15083"/>
    <cellStyle name="40% - Accent6 2 13 7" xfId="15074"/>
    <cellStyle name="40% - Accent6 2 14" xfId="3134"/>
    <cellStyle name="40% - Accent6 2 14 2" xfId="4656"/>
    <cellStyle name="40% - Accent6 2 14 2 2" xfId="15086"/>
    <cellStyle name="40% - Accent6 2 14 2 3" xfId="15085"/>
    <cellStyle name="40% - Accent6 2 14 3" xfId="15087"/>
    <cellStyle name="40% - Accent6 2 14 3 2" xfId="15088"/>
    <cellStyle name="40% - Accent6 2 14 4" xfId="15089"/>
    <cellStyle name="40% - Accent6 2 14 4 2" xfId="15090"/>
    <cellStyle name="40% - Accent6 2 14 5" xfId="15091"/>
    <cellStyle name="40% - Accent6 2 14 5 2" xfId="15092"/>
    <cellStyle name="40% - Accent6 2 14 6" xfId="15093"/>
    <cellStyle name="40% - Accent6 2 14 7" xfId="15084"/>
    <cellStyle name="40% - Accent6 2 15" xfId="3505"/>
    <cellStyle name="40% - Accent6 2 15 2" xfId="4657"/>
    <cellStyle name="40% - Accent6 2 15 2 2" xfId="15096"/>
    <cellStyle name="40% - Accent6 2 15 2 3" xfId="15095"/>
    <cellStyle name="40% - Accent6 2 15 3" xfId="15097"/>
    <cellStyle name="40% - Accent6 2 15 3 2" xfId="15098"/>
    <cellStyle name="40% - Accent6 2 15 4" xfId="15099"/>
    <cellStyle name="40% - Accent6 2 15 5" xfId="15094"/>
    <cellStyle name="40% - Accent6 2 16" xfId="3643"/>
    <cellStyle name="40% - Accent6 2 16 2" xfId="4658"/>
    <cellStyle name="40% - Accent6 2 16 2 2" xfId="15102"/>
    <cellStyle name="40% - Accent6 2 16 2 3" xfId="15101"/>
    <cellStyle name="40% - Accent6 2 16 3" xfId="15103"/>
    <cellStyle name="40% - Accent6 2 16 3 2" xfId="15104"/>
    <cellStyle name="40% - Accent6 2 16 4" xfId="15105"/>
    <cellStyle name="40% - Accent6 2 16 5" xfId="15100"/>
    <cellStyle name="40% - Accent6 2 17" xfId="15106"/>
    <cellStyle name="40% - Accent6 2 18" xfId="15043"/>
    <cellStyle name="40% - Accent6 2 19" xfId="24477"/>
    <cellStyle name="40% - Accent6 2 2" xfId="123"/>
    <cellStyle name="40% - Accent6 2 2 10" xfId="15108"/>
    <cellStyle name="40% - Accent6 2 2 10 2" xfId="15109"/>
    <cellStyle name="40% - Accent6 2 2 10 2 2" xfId="15110"/>
    <cellStyle name="40% - Accent6 2 2 10 3" xfId="15111"/>
    <cellStyle name="40% - Accent6 2 2 10 3 2" xfId="15112"/>
    <cellStyle name="40% - Accent6 2 2 10 4" xfId="15113"/>
    <cellStyle name="40% - Accent6 2 2 11" xfId="15114"/>
    <cellStyle name="40% - Accent6 2 2 11 2" xfId="15115"/>
    <cellStyle name="40% - Accent6 2 2 11 2 2" xfId="15116"/>
    <cellStyle name="40% - Accent6 2 2 11 3" xfId="15117"/>
    <cellStyle name="40% - Accent6 2 2 11 3 2" xfId="15118"/>
    <cellStyle name="40% - Accent6 2 2 11 4" xfId="15119"/>
    <cellStyle name="40% - Accent6 2 2 12" xfId="15120"/>
    <cellStyle name="40% - Accent6 2 2 12 2" xfId="15121"/>
    <cellStyle name="40% - Accent6 2 2 12 2 2" xfId="15122"/>
    <cellStyle name="40% - Accent6 2 2 12 3" xfId="15123"/>
    <cellStyle name="40% - Accent6 2 2 12 3 2" xfId="15124"/>
    <cellStyle name="40% - Accent6 2 2 12 4" xfId="15125"/>
    <cellStyle name="40% - Accent6 2 2 13" xfId="15126"/>
    <cellStyle name="40% - Accent6 2 2 13 2" xfId="15127"/>
    <cellStyle name="40% - Accent6 2 2 14" xfId="15128"/>
    <cellStyle name="40% - Accent6 2 2 14 2" xfId="15129"/>
    <cellStyle name="40% - Accent6 2 2 15" xfId="15130"/>
    <cellStyle name="40% - Accent6 2 2 15 2" xfId="15131"/>
    <cellStyle name="40% - Accent6 2 2 16" xfId="15132"/>
    <cellStyle name="40% - Accent6 2 2 17" xfId="15107"/>
    <cellStyle name="40% - Accent6 2 2 2" xfId="192"/>
    <cellStyle name="40% - Accent6 2 2 2 2" xfId="15134"/>
    <cellStyle name="40% - Accent6 2 2 2 2 2" xfId="15135"/>
    <cellStyle name="40% - Accent6 2 2 2 3" xfId="15136"/>
    <cellStyle name="40% - Accent6 2 2 2 3 2" xfId="15137"/>
    <cellStyle name="40% - Accent6 2 2 2 4" xfId="15138"/>
    <cellStyle name="40% - Accent6 2 2 2 5" xfId="15133"/>
    <cellStyle name="40% - Accent6 2 2 3" xfId="356"/>
    <cellStyle name="40% - Accent6 2 2 3 2" xfId="15140"/>
    <cellStyle name="40% - Accent6 2 2 3 2 2" xfId="15141"/>
    <cellStyle name="40% - Accent6 2 2 3 3" xfId="15142"/>
    <cellStyle name="40% - Accent6 2 2 3 3 2" xfId="15143"/>
    <cellStyle name="40% - Accent6 2 2 3 4" xfId="15144"/>
    <cellStyle name="40% - Accent6 2 2 3 5" xfId="15139"/>
    <cellStyle name="40% - Accent6 2 2 4" xfId="2178"/>
    <cellStyle name="40% - Accent6 2 2 4 2" xfId="15146"/>
    <cellStyle name="40% - Accent6 2 2 4 2 2" xfId="15147"/>
    <cellStyle name="40% - Accent6 2 2 4 3" xfId="15148"/>
    <cellStyle name="40% - Accent6 2 2 4 3 2" xfId="15149"/>
    <cellStyle name="40% - Accent6 2 2 4 4" xfId="15150"/>
    <cellStyle name="40% - Accent6 2 2 4 5" xfId="15145"/>
    <cellStyle name="40% - Accent6 2 2 5" xfId="2552"/>
    <cellStyle name="40% - Accent6 2 2 5 2" xfId="15152"/>
    <cellStyle name="40% - Accent6 2 2 5 2 2" xfId="15153"/>
    <cellStyle name="40% - Accent6 2 2 5 3" xfId="15154"/>
    <cellStyle name="40% - Accent6 2 2 5 3 2" xfId="15155"/>
    <cellStyle name="40% - Accent6 2 2 5 4" xfId="15156"/>
    <cellStyle name="40% - Accent6 2 2 5 5" xfId="15151"/>
    <cellStyle name="40% - Accent6 2 2 6" xfId="2924"/>
    <cellStyle name="40% - Accent6 2 2 6 2" xfId="15158"/>
    <cellStyle name="40% - Accent6 2 2 6 2 2" xfId="15159"/>
    <cellStyle name="40% - Accent6 2 2 6 3" xfId="15160"/>
    <cellStyle name="40% - Accent6 2 2 6 3 2" xfId="15161"/>
    <cellStyle name="40% - Accent6 2 2 6 4" xfId="15162"/>
    <cellStyle name="40% - Accent6 2 2 6 5" xfId="15157"/>
    <cellStyle name="40% - Accent6 2 2 7" xfId="3296"/>
    <cellStyle name="40% - Accent6 2 2 7 2" xfId="15164"/>
    <cellStyle name="40% - Accent6 2 2 7 2 2" xfId="15165"/>
    <cellStyle name="40% - Accent6 2 2 7 3" xfId="15166"/>
    <cellStyle name="40% - Accent6 2 2 7 3 2" xfId="15167"/>
    <cellStyle name="40% - Accent6 2 2 7 4" xfId="15168"/>
    <cellStyle name="40% - Accent6 2 2 7 5" xfId="15163"/>
    <cellStyle name="40% - Accent6 2 2 8" xfId="4659"/>
    <cellStyle name="40% - Accent6 2 2 8 2" xfId="15170"/>
    <cellStyle name="40% - Accent6 2 2 8 2 2" xfId="15171"/>
    <cellStyle name="40% - Accent6 2 2 8 3" xfId="15172"/>
    <cellStyle name="40% - Accent6 2 2 8 3 2" xfId="15173"/>
    <cellStyle name="40% - Accent6 2 2 8 4" xfId="15174"/>
    <cellStyle name="40% - Accent6 2 2 8 5" xfId="15169"/>
    <cellStyle name="40% - Accent6 2 2 9" xfId="15175"/>
    <cellStyle name="40% - Accent6 2 2 9 2" xfId="15176"/>
    <cellStyle name="40% - Accent6 2 2 9 2 2" xfId="15177"/>
    <cellStyle name="40% - Accent6 2 2 9 3" xfId="15178"/>
    <cellStyle name="40% - Accent6 2 2 9 3 2" xfId="15179"/>
    <cellStyle name="40% - Accent6 2 2 9 4" xfId="15180"/>
    <cellStyle name="40% - Accent6 2 3" xfId="288"/>
    <cellStyle name="40% - Accent6 2 3 2" xfId="1354"/>
    <cellStyle name="40% - Accent6 2 3 2 2" xfId="15183"/>
    <cellStyle name="40% - Accent6 2 3 2 2 2" xfId="15184"/>
    <cellStyle name="40% - Accent6 2 3 2 3" xfId="15185"/>
    <cellStyle name="40% - Accent6 2 3 2 3 2" xfId="15186"/>
    <cellStyle name="40% - Accent6 2 3 2 4" xfId="15187"/>
    <cellStyle name="40% - Accent6 2 3 2 5" xfId="15182"/>
    <cellStyle name="40% - Accent6 2 3 3" xfId="15188"/>
    <cellStyle name="40% - Accent6 2 3 3 2" xfId="15189"/>
    <cellStyle name="40% - Accent6 2 3 4" xfId="15190"/>
    <cellStyle name="40% - Accent6 2 3 4 2" xfId="15191"/>
    <cellStyle name="40% - Accent6 2 3 5" xfId="15192"/>
    <cellStyle name="40% - Accent6 2 3 6" xfId="15181"/>
    <cellStyle name="40% - Accent6 2 4" xfId="402"/>
    <cellStyle name="40% - Accent6 2 4 2" xfId="15194"/>
    <cellStyle name="40% - Accent6 2 4 2 2" xfId="15195"/>
    <cellStyle name="40% - Accent6 2 4 2 2 2" xfId="15196"/>
    <cellStyle name="40% - Accent6 2 4 2 3" xfId="15197"/>
    <cellStyle name="40% - Accent6 2 4 2 3 2" xfId="15198"/>
    <cellStyle name="40% - Accent6 2 4 2 4" xfId="15199"/>
    <cellStyle name="40% - Accent6 2 4 3" xfId="15200"/>
    <cellStyle name="40% - Accent6 2 4 3 2" xfId="15201"/>
    <cellStyle name="40% - Accent6 2 4 4" xfId="15202"/>
    <cellStyle name="40% - Accent6 2 4 4 2" xfId="15203"/>
    <cellStyle name="40% - Accent6 2 4 5" xfId="15204"/>
    <cellStyle name="40% - Accent6 2 4 6" xfId="15193"/>
    <cellStyle name="40% - Accent6 2 5" xfId="552"/>
    <cellStyle name="40% - Accent6 2 5 2" xfId="15206"/>
    <cellStyle name="40% - Accent6 2 5 2 2" xfId="15207"/>
    <cellStyle name="40% - Accent6 2 5 3" xfId="15208"/>
    <cellStyle name="40% - Accent6 2 5 3 2" xfId="15209"/>
    <cellStyle name="40% - Accent6 2 5 4" xfId="15210"/>
    <cellStyle name="40% - Accent6 2 5 5" xfId="15205"/>
    <cellStyle name="40% - Accent6 2 6" xfId="686"/>
    <cellStyle name="40% - Accent6 2 6 2" xfId="15212"/>
    <cellStyle name="40% - Accent6 2 6 2 2" xfId="15213"/>
    <cellStyle name="40% - Accent6 2 6 3" xfId="15214"/>
    <cellStyle name="40% - Accent6 2 6 3 2" xfId="15215"/>
    <cellStyle name="40% - Accent6 2 6 4" xfId="15216"/>
    <cellStyle name="40% - Accent6 2 6 5" xfId="15211"/>
    <cellStyle name="40% - Accent6 2 7" xfId="687"/>
    <cellStyle name="40% - Accent6 2 7 2" xfId="15218"/>
    <cellStyle name="40% - Accent6 2 7 2 2" xfId="15219"/>
    <cellStyle name="40% - Accent6 2 7 3" xfId="15220"/>
    <cellStyle name="40% - Accent6 2 7 3 2" xfId="15221"/>
    <cellStyle name="40% - Accent6 2 7 4" xfId="15222"/>
    <cellStyle name="40% - Accent6 2 7 5" xfId="15217"/>
    <cellStyle name="40% - Accent6 2 8" xfId="833"/>
    <cellStyle name="40% - Accent6 2 8 2" xfId="1407"/>
    <cellStyle name="40% - Accent6 2 8 2 2" xfId="15225"/>
    <cellStyle name="40% - Accent6 2 8 2 3" xfId="15224"/>
    <cellStyle name="40% - Accent6 2 8 3" xfId="15226"/>
    <cellStyle name="40% - Accent6 2 8 3 2" xfId="15227"/>
    <cellStyle name="40% - Accent6 2 8 4" xfId="15228"/>
    <cellStyle name="40% - Accent6 2 8 4 2" xfId="15229"/>
    <cellStyle name="40% - Accent6 2 8 5" xfId="15230"/>
    <cellStyle name="40% - Accent6 2 8 5 2" xfId="15231"/>
    <cellStyle name="40% - Accent6 2 8 6" xfId="15232"/>
    <cellStyle name="40% - Accent6 2 8 7" xfId="15223"/>
    <cellStyle name="40% - Accent6 2 9" xfId="944"/>
    <cellStyle name="40% - Accent6 2 9 2" xfId="1439"/>
    <cellStyle name="40% - Accent6 2 9 2 2" xfId="15235"/>
    <cellStyle name="40% - Accent6 2 9 2 3" xfId="15234"/>
    <cellStyle name="40% - Accent6 2 9 3" xfId="15236"/>
    <cellStyle name="40% - Accent6 2 9 3 2" xfId="15237"/>
    <cellStyle name="40% - Accent6 2 9 4" xfId="15238"/>
    <cellStyle name="40% - Accent6 2 9 4 2" xfId="15239"/>
    <cellStyle name="40% - Accent6 2 9 5" xfId="15240"/>
    <cellStyle name="40% - Accent6 2 9 5 2" xfId="15241"/>
    <cellStyle name="40% - Accent6 2 9 6" xfId="15242"/>
    <cellStyle name="40% - Accent6 2 9 7" xfId="15233"/>
    <cellStyle name="40% - Accent6 20" xfId="15243"/>
    <cellStyle name="40% - Accent6 20 2" xfId="15244"/>
    <cellStyle name="40% - Accent6 21" xfId="15245"/>
    <cellStyle name="40% - Accent6 21 2" xfId="15246"/>
    <cellStyle name="40% - Accent6 21 2 2" xfId="15247"/>
    <cellStyle name="40% - Accent6 21 2 2 2" xfId="15248"/>
    <cellStyle name="40% - Accent6 21 2 3" xfId="15249"/>
    <cellStyle name="40% - Accent6 21 2 3 2" xfId="15250"/>
    <cellStyle name="40% - Accent6 21 2 4" xfId="15251"/>
    <cellStyle name="40% - Accent6 21 3" xfId="15252"/>
    <cellStyle name="40% - Accent6 21 3 2" xfId="15253"/>
    <cellStyle name="40% - Accent6 21 4" xfId="15254"/>
    <cellStyle name="40% - Accent6 21 4 2" xfId="15255"/>
    <cellStyle name="40% - Accent6 21 5" xfId="15256"/>
    <cellStyle name="40% - Accent6 22" xfId="15257"/>
    <cellStyle name="40% - Accent6 22 2" xfId="15258"/>
    <cellStyle name="40% - Accent6 22 2 2" xfId="15259"/>
    <cellStyle name="40% - Accent6 22 2 2 2" xfId="15260"/>
    <cellStyle name="40% - Accent6 22 2 3" xfId="15261"/>
    <cellStyle name="40% - Accent6 22 2 3 2" xfId="15262"/>
    <cellStyle name="40% - Accent6 22 2 4" xfId="15263"/>
    <cellStyle name="40% - Accent6 22 3" xfId="15264"/>
    <cellStyle name="40% - Accent6 22 3 2" xfId="15265"/>
    <cellStyle name="40% - Accent6 22 4" xfId="15266"/>
    <cellStyle name="40% - Accent6 22 4 2" xfId="15267"/>
    <cellStyle name="40% - Accent6 22 5" xfId="15268"/>
    <cellStyle name="40% - Accent6 23" xfId="15269"/>
    <cellStyle name="40% - Accent6 23 2" xfId="15270"/>
    <cellStyle name="40% - Accent6 24" xfId="15271"/>
    <cellStyle name="40% - Accent6 24 2" xfId="15272"/>
    <cellStyle name="40% - Accent6 24 2 2" xfId="15273"/>
    <cellStyle name="40% - Accent6 24 2 2 2" xfId="15274"/>
    <cellStyle name="40% - Accent6 24 2 3" xfId="15275"/>
    <cellStyle name="40% - Accent6 24 2 3 2" xfId="15276"/>
    <cellStyle name="40% - Accent6 24 2 4" xfId="15277"/>
    <cellStyle name="40% - Accent6 24 3" xfId="15278"/>
    <cellStyle name="40% - Accent6 24 3 2" xfId="15279"/>
    <cellStyle name="40% - Accent6 24 4" xfId="15280"/>
    <cellStyle name="40% - Accent6 24 4 2" xfId="15281"/>
    <cellStyle name="40% - Accent6 24 5" xfId="15282"/>
    <cellStyle name="40% - Accent6 25" xfId="15283"/>
    <cellStyle name="40% - Accent6 25 2" xfId="15284"/>
    <cellStyle name="40% - Accent6 25 2 2" xfId="15285"/>
    <cellStyle name="40% - Accent6 25 2 2 2" xfId="15286"/>
    <cellStyle name="40% - Accent6 25 2 3" xfId="15287"/>
    <cellStyle name="40% - Accent6 25 2 3 2" xfId="15288"/>
    <cellStyle name="40% - Accent6 25 2 4" xfId="15289"/>
    <cellStyle name="40% - Accent6 25 3" xfId="15290"/>
    <cellStyle name="40% - Accent6 25 3 2" xfId="15291"/>
    <cellStyle name="40% - Accent6 25 4" xfId="15292"/>
    <cellStyle name="40% - Accent6 25 4 2" xfId="15293"/>
    <cellStyle name="40% - Accent6 25 5" xfId="15294"/>
    <cellStyle name="40% - Accent6 26" xfId="15295"/>
    <cellStyle name="40% - Accent6 26 2" xfId="15296"/>
    <cellStyle name="40% - Accent6 27" xfId="15297"/>
    <cellStyle name="40% - Accent6 27 2" xfId="15298"/>
    <cellStyle name="40% - Accent6 27 2 2" xfId="15299"/>
    <cellStyle name="40% - Accent6 27 2 2 2" xfId="15300"/>
    <cellStyle name="40% - Accent6 27 2 3" xfId="15301"/>
    <cellStyle name="40% - Accent6 27 2 3 2" xfId="15302"/>
    <cellStyle name="40% - Accent6 27 2 4" xfId="15303"/>
    <cellStyle name="40% - Accent6 27 3" xfId="15304"/>
    <cellStyle name="40% - Accent6 27 3 2" xfId="15305"/>
    <cellStyle name="40% - Accent6 27 4" xfId="15306"/>
    <cellStyle name="40% - Accent6 27 4 2" xfId="15307"/>
    <cellStyle name="40% - Accent6 27 5" xfId="15308"/>
    <cellStyle name="40% - Accent6 28" xfId="15309"/>
    <cellStyle name="40% - Accent6 28 2" xfId="15310"/>
    <cellStyle name="40% - Accent6 28 2 2" xfId="15311"/>
    <cellStyle name="40% - Accent6 28 3" xfId="15312"/>
    <cellStyle name="40% - Accent6 28 3 2" xfId="15313"/>
    <cellStyle name="40% - Accent6 28 4" xfId="15314"/>
    <cellStyle name="40% - Accent6 29" xfId="15315"/>
    <cellStyle name="40% - Accent6 29 2" xfId="15316"/>
    <cellStyle name="40% - Accent6 3" xfId="233"/>
    <cellStyle name="40% - Accent6 3 10" xfId="3686"/>
    <cellStyle name="40% - Accent6 3 10 2" xfId="4660"/>
    <cellStyle name="40% - Accent6 3 10 2 2" xfId="15320"/>
    <cellStyle name="40% - Accent6 3 10 2 3" xfId="15319"/>
    <cellStyle name="40% - Accent6 3 10 3" xfId="15321"/>
    <cellStyle name="40% - Accent6 3 10 3 2" xfId="15322"/>
    <cellStyle name="40% - Accent6 3 10 4" xfId="15323"/>
    <cellStyle name="40% - Accent6 3 10 4 2" xfId="15324"/>
    <cellStyle name="40% - Accent6 3 10 5" xfId="15325"/>
    <cellStyle name="40% - Accent6 3 10 5 2" xfId="15326"/>
    <cellStyle name="40% - Accent6 3 10 6" xfId="15327"/>
    <cellStyle name="40% - Accent6 3 10 7" xfId="15318"/>
    <cellStyle name="40% - Accent6 3 11" xfId="15328"/>
    <cellStyle name="40% - Accent6 3 11 2" xfId="15329"/>
    <cellStyle name="40% - Accent6 3 11 2 2" xfId="15330"/>
    <cellStyle name="40% - Accent6 3 11 3" xfId="15331"/>
    <cellStyle name="40% - Accent6 3 11 3 2" xfId="15332"/>
    <cellStyle name="40% - Accent6 3 11 4" xfId="15333"/>
    <cellStyle name="40% - Accent6 3 12" xfId="15334"/>
    <cellStyle name="40% - Accent6 3 12 2" xfId="15335"/>
    <cellStyle name="40% - Accent6 3 12 2 2" xfId="15336"/>
    <cellStyle name="40% - Accent6 3 12 3" xfId="15337"/>
    <cellStyle name="40% - Accent6 3 12 3 2" xfId="15338"/>
    <cellStyle name="40% - Accent6 3 12 4" xfId="15339"/>
    <cellStyle name="40% - Accent6 3 13" xfId="15340"/>
    <cellStyle name="40% - Accent6 3 13 2" xfId="15341"/>
    <cellStyle name="40% - Accent6 3 13 2 2" xfId="15342"/>
    <cellStyle name="40% - Accent6 3 13 3" xfId="15343"/>
    <cellStyle name="40% - Accent6 3 13 3 2" xfId="15344"/>
    <cellStyle name="40% - Accent6 3 13 4" xfId="15345"/>
    <cellStyle name="40% - Accent6 3 14" xfId="15346"/>
    <cellStyle name="40% - Accent6 3 14 2" xfId="15347"/>
    <cellStyle name="40% - Accent6 3 15" xfId="15348"/>
    <cellStyle name="40% - Accent6 3 15 2" xfId="15349"/>
    <cellStyle name="40% - Accent6 3 16" xfId="15350"/>
    <cellStyle name="40% - Accent6 3 17" xfId="15317"/>
    <cellStyle name="40% - Accent6 3 2" xfId="1459"/>
    <cellStyle name="40% - Accent6 3 2 10" xfId="15352"/>
    <cellStyle name="40% - Accent6 3 2 10 2" xfId="15353"/>
    <cellStyle name="40% - Accent6 3 2 10 2 2" xfId="15354"/>
    <cellStyle name="40% - Accent6 3 2 10 3" xfId="15355"/>
    <cellStyle name="40% - Accent6 3 2 10 3 2" xfId="15356"/>
    <cellStyle name="40% - Accent6 3 2 10 4" xfId="15357"/>
    <cellStyle name="40% - Accent6 3 2 11" xfId="15358"/>
    <cellStyle name="40% - Accent6 3 2 11 2" xfId="15359"/>
    <cellStyle name="40% - Accent6 3 2 11 2 2" xfId="15360"/>
    <cellStyle name="40% - Accent6 3 2 11 3" xfId="15361"/>
    <cellStyle name="40% - Accent6 3 2 11 3 2" xfId="15362"/>
    <cellStyle name="40% - Accent6 3 2 11 4" xfId="15363"/>
    <cellStyle name="40% - Accent6 3 2 12" xfId="15364"/>
    <cellStyle name="40% - Accent6 3 2 12 2" xfId="15365"/>
    <cellStyle name="40% - Accent6 3 2 12 2 2" xfId="15366"/>
    <cellStyle name="40% - Accent6 3 2 12 3" xfId="15367"/>
    <cellStyle name="40% - Accent6 3 2 12 3 2" xfId="15368"/>
    <cellStyle name="40% - Accent6 3 2 12 4" xfId="15369"/>
    <cellStyle name="40% - Accent6 3 2 13" xfId="15370"/>
    <cellStyle name="40% - Accent6 3 2 13 2" xfId="15371"/>
    <cellStyle name="40% - Accent6 3 2 14" xfId="15372"/>
    <cellStyle name="40% - Accent6 3 2 14 2" xfId="15373"/>
    <cellStyle name="40% - Accent6 3 2 15" xfId="15374"/>
    <cellStyle name="40% - Accent6 3 2 15 2" xfId="15375"/>
    <cellStyle name="40% - Accent6 3 2 16" xfId="15376"/>
    <cellStyle name="40% - Accent6 3 2 17" xfId="15351"/>
    <cellStyle name="40% - Accent6 3 2 2" xfId="1844"/>
    <cellStyle name="40% - Accent6 3 2 2 2" xfId="15378"/>
    <cellStyle name="40% - Accent6 3 2 2 2 2" xfId="15379"/>
    <cellStyle name="40% - Accent6 3 2 2 3" xfId="15380"/>
    <cellStyle name="40% - Accent6 3 2 2 3 2" xfId="15381"/>
    <cellStyle name="40% - Accent6 3 2 2 4" xfId="15382"/>
    <cellStyle name="40% - Accent6 3 2 2 5" xfId="15377"/>
    <cellStyle name="40% - Accent6 3 2 3" xfId="2219"/>
    <cellStyle name="40% - Accent6 3 2 3 2" xfId="15384"/>
    <cellStyle name="40% - Accent6 3 2 3 2 2" xfId="15385"/>
    <cellStyle name="40% - Accent6 3 2 3 3" xfId="15386"/>
    <cellStyle name="40% - Accent6 3 2 3 3 2" xfId="15387"/>
    <cellStyle name="40% - Accent6 3 2 3 4" xfId="15388"/>
    <cellStyle name="40% - Accent6 3 2 3 5" xfId="15383"/>
    <cellStyle name="40% - Accent6 3 2 4" xfId="2593"/>
    <cellStyle name="40% - Accent6 3 2 4 2" xfId="15390"/>
    <cellStyle name="40% - Accent6 3 2 4 2 2" xfId="15391"/>
    <cellStyle name="40% - Accent6 3 2 4 3" xfId="15392"/>
    <cellStyle name="40% - Accent6 3 2 4 3 2" xfId="15393"/>
    <cellStyle name="40% - Accent6 3 2 4 4" xfId="15394"/>
    <cellStyle name="40% - Accent6 3 2 4 5" xfId="15389"/>
    <cellStyle name="40% - Accent6 3 2 5" xfId="2965"/>
    <cellStyle name="40% - Accent6 3 2 5 2" xfId="15396"/>
    <cellStyle name="40% - Accent6 3 2 5 2 2" xfId="15397"/>
    <cellStyle name="40% - Accent6 3 2 5 3" xfId="15398"/>
    <cellStyle name="40% - Accent6 3 2 5 3 2" xfId="15399"/>
    <cellStyle name="40% - Accent6 3 2 5 4" xfId="15400"/>
    <cellStyle name="40% - Accent6 3 2 5 5" xfId="15395"/>
    <cellStyle name="40% - Accent6 3 2 6" xfId="3337"/>
    <cellStyle name="40% - Accent6 3 2 6 2" xfId="15402"/>
    <cellStyle name="40% - Accent6 3 2 6 2 2" xfId="15403"/>
    <cellStyle name="40% - Accent6 3 2 6 3" xfId="15404"/>
    <cellStyle name="40% - Accent6 3 2 6 3 2" xfId="15405"/>
    <cellStyle name="40% - Accent6 3 2 6 4" xfId="15406"/>
    <cellStyle name="40% - Accent6 3 2 6 5" xfId="15401"/>
    <cellStyle name="40% - Accent6 3 2 7" xfId="4661"/>
    <cellStyle name="40% - Accent6 3 2 7 2" xfId="15408"/>
    <cellStyle name="40% - Accent6 3 2 7 2 2" xfId="15409"/>
    <cellStyle name="40% - Accent6 3 2 7 3" xfId="15410"/>
    <cellStyle name="40% - Accent6 3 2 7 3 2" xfId="15411"/>
    <cellStyle name="40% - Accent6 3 2 7 4" xfId="15412"/>
    <cellStyle name="40% - Accent6 3 2 7 5" xfId="15407"/>
    <cellStyle name="40% - Accent6 3 2 8" xfId="15413"/>
    <cellStyle name="40% - Accent6 3 2 8 2" xfId="15414"/>
    <cellStyle name="40% - Accent6 3 2 8 2 2" xfId="15415"/>
    <cellStyle name="40% - Accent6 3 2 8 3" xfId="15416"/>
    <cellStyle name="40% - Accent6 3 2 8 3 2" xfId="15417"/>
    <cellStyle name="40% - Accent6 3 2 8 4" xfId="15418"/>
    <cellStyle name="40% - Accent6 3 2 9" xfId="15419"/>
    <cellStyle name="40% - Accent6 3 2 9 2" xfId="15420"/>
    <cellStyle name="40% - Accent6 3 2 9 2 2" xfId="15421"/>
    <cellStyle name="40% - Accent6 3 2 9 3" xfId="15422"/>
    <cellStyle name="40% - Accent6 3 2 9 3 2" xfId="15423"/>
    <cellStyle name="40% - Accent6 3 2 9 4" xfId="15424"/>
    <cellStyle name="40% - Accent6 3 3" xfId="1586"/>
    <cellStyle name="40% - Accent6 3 3 2" xfId="1921"/>
    <cellStyle name="40% - Accent6 3 3 2 2" xfId="15427"/>
    <cellStyle name="40% - Accent6 3 3 2 3" xfId="15426"/>
    <cellStyle name="40% - Accent6 3 3 3" xfId="2296"/>
    <cellStyle name="40% - Accent6 3 3 3 2" xfId="15429"/>
    <cellStyle name="40% - Accent6 3 3 3 3" xfId="15428"/>
    <cellStyle name="40% - Accent6 3 3 4" xfId="2669"/>
    <cellStyle name="40% - Accent6 3 3 4 2" xfId="15431"/>
    <cellStyle name="40% - Accent6 3 3 4 3" xfId="15430"/>
    <cellStyle name="40% - Accent6 3 3 5" xfId="3042"/>
    <cellStyle name="40% - Accent6 3 3 5 2" xfId="15433"/>
    <cellStyle name="40% - Accent6 3 3 5 3" xfId="15432"/>
    <cellStyle name="40% - Accent6 3 3 6" xfId="3413"/>
    <cellStyle name="40% - Accent6 3 3 6 2" xfId="15435"/>
    <cellStyle name="40% - Accent6 3 3 6 3" xfId="15434"/>
    <cellStyle name="40% - Accent6 3 3 7" xfId="4662"/>
    <cellStyle name="40% - Accent6 3 3 7 2" xfId="15437"/>
    <cellStyle name="40% - Accent6 3 3 7 3" xfId="15436"/>
    <cellStyle name="40% - Accent6 3 3 8" xfId="15438"/>
    <cellStyle name="40% - Accent6 3 3 9" xfId="15425"/>
    <cellStyle name="40% - Accent6 3 4" xfId="1723"/>
    <cellStyle name="40% - Accent6 3 4 2" xfId="1965"/>
    <cellStyle name="40% - Accent6 3 4 2 2" xfId="15441"/>
    <cellStyle name="40% - Accent6 3 4 2 3" xfId="15440"/>
    <cellStyle name="40% - Accent6 3 4 3" xfId="2340"/>
    <cellStyle name="40% - Accent6 3 4 3 2" xfId="15443"/>
    <cellStyle name="40% - Accent6 3 4 3 3" xfId="15442"/>
    <cellStyle name="40% - Accent6 3 4 4" xfId="2713"/>
    <cellStyle name="40% - Accent6 3 4 4 2" xfId="15445"/>
    <cellStyle name="40% - Accent6 3 4 4 3" xfId="15444"/>
    <cellStyle name="40% - Accent6 3 4 5" xfId="3086"/>
    <cellStyle name="40% - Accent6 3 4 5 2" xfId="15447"/>
    <cellStyle name="40% - Accent6 3 4 5 3" xfId="15446"/>
    <cellStyle name="40% - Accent6 3 4 6" xfId="3457"/>
    <cellStyle name="40% - Accent6 3 4 6 2" xfId="15449"/>
    <cellStyle name="40% - Accent6 3 4 6 3" xfId="15448"/>
    <cellStyle name="40% - Accent6 3 4 7" xfId="15450"/>
    <cellStyle name="40% - Accent6 3 4 8" xfId="15439"/>
    <cellStyle name="40% - Accent6 3 5" xfId="2058"/>
    <cellStyle name="40% - Accent6 3 5 2" xfId="15452"/>
    <cellStyle name="40% - Accent6 3 5 2 2" xfId="15453"/>
    <cellStyle name="40% - Accent6 3 5 3" xfId="15454"/>
    <cellStyle name="40% - Accent6 3 5 3 2" xfId="15455"/>
    <cellStyle name="40% - Accent6 3 5 4" xfId="15456"/>
    <cellStyle name="40% - Accent6 3 5 4 2" xfId="15457"/>
    <cellStyle name="40% - Accent6 3 5 5" xfId="15458"/>
    <cellStyle name="40% - Accent6 3 5 6" xfId="15451"/>
    <cellStyle name="40% - Accent6 3 6" xfId="2432"/>
    <cellStyle name="40% - Accent6 3 6 2" xfId="15460"/>
    <cellStyle name="40% - Accent6 3 6 2 2" xfId="15461"/>
    <cellStyle name="40% - Accent6 3 6 3" xfId="15462"/>
    <cellStyle name="40% - Accent6 3 6 3 2" xfId="15463"/>
    <cellStyle name="40% - Accent6 3 6 4" xfId="15464"/>
    <cellStyle name="40% - Accent6 3 6 4 2" xfId="15465"/>
    <cellStyle name="40% - Accent6 3 6 5" xfId="15466"/>
    <cellStyle name="40% - Accent6 3 6 6" xfId="15459"/>
    <cellStyle name="40% - Accent6 3 7" xfId="2804"/>
    <cellStyle name="40% - Accent6 3 7 2" xfId="15468"/>
    <cellStyle name="40% - Accent6 3 7 2 2" xfId="15469"/>
    <cellStyle name="40% - Accent6 3 7 3" xfId="15470"/>
    <cellStyle name="40% - Accent6 3 7 3 2" xfId="15471"/>
    <cellStyle name="40% - Accent6 3 7 4" xfId="15472"/>
    <cellStyle name="40% - Accent6 3 7 4 2" xfId="15473"/>
    <cellStyle name="40% - Accent6 3 7 5" xfId="15474"/>
    <cellStyle name="40% - Accent6 3 7 6" xfId="15467"/>
    <cellStyle name="40% - Accent6 3 8" xfId="3175"/>
    <cellStyle name="40% - Accent6 3 8 2" xfId="15476"/>
    <cellStyle name="40% - Accent6 3 8 2 2" xfId="15477"/>
    <cellStyle name="40% - Accent6 3 8 3" xfId="15478"/>
    <cellStyle name="40% - Accent6 3 8 3 2" xfId="15479"/>
    <cellStyle name="40% - Accent6 3 8 4" xfId="15480"/>
    <cellStyle name="40% - Accent6 3 8 4 2" xfId="15481"/>
    <cellStyle name="40% - Accent6 3 8 5" xfId="15482"/>
    <cellStyle name="40% - Accent6 3 8 6" xfId="15475"/>
    <cellStyle name="40% - Accent6 3 9" xfId="3550"/>
    <cellStyle name="40% - Accent6 3 9 2" xfId="4663"/>
    <cellStyle name="40% - Accent6 3 9 2 2" xfId="15485"/>
    <cellStyle name="40% - Accent6 3 9 2 3" xfId="15484"/>
    <cellStyle name="40% - Accent6 3 9 3" xfId="15486"/>
    <cellStyle name="40% - Accent6 3 9 3 2" xfId="15487"/>
    <cellStyle name="40% - Accent6 3 9 4" xfId="15488"/>
    <cellStyle name="40% - Accent6 3 9 4 2" xfId="15489"/>
    <cellStyle name="40% - Accent6 3 9 5" xfId="15490"/>
    <cellStyle name="40% - Accent6 3 9 5 2" xfId="15491"/>
    <cellStyle name="40% - Accent6 3 9 6" xfId="15492"/>
    <cellStyle name="40% - Accent6 3 9 7" xfId="15483"/>
    <cellStyle name="40% - Accent6 30" xfId="15493"/>
    <cellStyle name="40% - Accent6 31" xfId="14976"/>
    <cellStyle name="40% - Accent6 4" xfId="246"/>
    <cellStyle name="40% - Accent6 4 10" xfId="3730"/>
    <cellStyle name="40% - Accent6 4 10 2" xfId="4665"/>
    <cellStyle name="40% - Accent6 4 10 2 2" xfId="15497"/>
    <cellStyle name="40% - Accent6 4 10 2 3" xfId="15496"/>
    <cellStyle name="40% - Accent6 4 10 3" xfId="15498"/>
    <cellStyle name="40% - Accent6 4 10 3 2" xfId="15499"/>
    <cellStyle name="40% - Accent6 4 10 4" xfId="15500"/>
    <cellStyle name="40% - Accent6 4 10 4 2" xfId="15501"/>
    <cellStyle name="40% - Accent6 4 10 5" xfId="15502"/>
    <cellStyle name="40% - Accent6 4 10 5 2" xfId="15503"/>
    <cellStyle name="40% - Accent6 4 10 6" xfId="15504"/>
    <cellStyle name="40% - Accent6 4 10 7" xfId="15495"/>
    <cellStyle name="40% - Accent6 4 11" xfId="1315"/>
    <cellStyle name="40% - Accent6 4 11 10" xfId="24887"/>
    <cellStyle name="40% - Accent6 4 11 11" xfId="26665"/>
    <cellStyle name="40% - Accent6 4 11 2" xfId="4155"/>
    <cellStyle name="40% - Accent6 4 11 2 2" xfId="5438"/>
    <cellStyle name="40% - Accent6 4 11 2 2 2" xfId="6456"/>
    <cellStyle name="40% - Accent6 4 11 2 2 2 2" xfId="15508"/>
    <cellStyle name="40% - Accent6 4 11 2 2 2 3" xfId="26668"/>
    <cellStyle name="40% - Accent6 4 11 2 2 3" xfId="15507"/>
    <cellStyle name="40% - Accent6 4 11 2 2 4" xfId="26667"/>
    <cellStyle name="40% - Accent6 4 11 2 3" xfId="5748"/>
    <cellStyle name="40% - Accent6 4 11 2 3 2" xfId="6457"/>
    <cellStyle name="40% - Accent6 4 11 2 3 2 2" xfId="26670"/>
    <cellStyle name="40% - Accent6 4 11 2 3 3" xfId="15509"/>
    <cellStyle name="40% - Accent6 4 11 2 3 4" xfId="26669"/>
    <cellStyle name="40% - Accent6 4 11 2 4" xfId="4667"/>
    <cellStyle name="40% - Accent6 4 11 2 4 2" xfId="6458"/>
    <cellStyle name="40% - Accent6 4 11 2 4 2 2" xfId="26672"/>
    <cellStyle name="40% - Accent6 4 11 2 4 3" xfId="26671"/>
    <cellStyle name="40% - Accent6 4 11 2 5" xfId="6455"/>
    <cellStyle name="40% - Accent6 4 11 2 5 2" xfId="26673"/>
    <cellStyle name="40% - Accent6 4 11 2 6" xfId="15506"/>
    <cellStyle name="40% - Accent6 4 11 2 7" xfId="25007"/>
    <cellStyle name="40% - Accent6 4 11 2 8" xfId="26666"/>
    <cellStyle name="40% - Accent6 4 11 3" xfId="5437"/>
    <cellStyle name="40% - Accent6 4 11 3 2" xfId="6459"/>
    <cellStyle name="40% - Accent6 4 11 3 2 2" xfId="15511"/>
    <cellStyle name="40% - Accent6 4 11 3 2 3" xfId="26675"/>
    <cellStyle name="40% - Accent6 4 11 3 3" xfId="15510"/>
    <cellStyle name="40% - Accent6 4 11 3 4" xfId="26674"/>
    <cellStyle name="40% - Accent6 4 11 4" xfId="5747"/>
    <cellStyle name="40% - Accent6 4 11 4 2" xfId="6460"/>
    <cellStyle name="40% - Accent6 4 11 4 2 2" xfId="15513"/>
    <cellStyle name="40% - Accent6 4 11 4 2 3" xfId="26677"/>
    <cellStyle name="40% - Accent6 4 11 4 3" xfId="15512"/>
    <cellStyle name="40% - Accent6 4 11 4 4" xfId="26676"/>
    <cellStyle name="40% - Accent6 4 11 5" xfId="4666"/>
    <cellStyle name="40% - Accent6 4 11 5 2" xfId="6461"/>
    <cellStyle name="40% - Accent6 4 11 5 2 2" xfId="15516"/>
    <cellStyle name="40% - Accent6 4 11 5 2 3" xfId="15515"/>
    <cellStyle name="40% - Accent6 4 11 5 2 4" xfId="26679"/>
    <cellStyle name="40% - Accent6 4 11 5 3" xfId="15517"/>
    <cellStyle name="40% - Accent6 4 11 5 3 2" xfId="15518"/>
    <cellStyle name="40% - Accent6 4 11 5 4" xfId="15519"/>
    <cellStyle name="40% - Accent6 4 11 5 5" xfId="15514"/>
    <cellStyle name="40% - Accent6 4 11 5 6" xfId="26678"/>
    <cellStyle name="40% - Accent6 4 11 6" xfId="6454"/>
    <cellStyle name="40% - Accent6 4 11 6 2" xfId="15521"/>
    <cellStyle name="40% - Accent6 4 11 6 3" xfId="15520"/>
    <cellStyle name="40% - Accent6 4 11 6 4" xfId="26680"/>
    <cellStyle name="40% - Accent6 4 11 7" xfId="15522"/>
    <cellStyle name="40% - Accent6 4 11 7 2" xfId="15523"/>
    <cellStyle name="40% - Accent6 4 11 8" xfId="15524"/>
    <cellStyle name="40% - Accent6 4 11 9" xfId="15505"/>
    <cellStyle name="40% - Accent6 4 12" xfId="4668"/>
    <cellStyle name="40% - Accent6 4 12 2" xfId="5439"/>
    <cellStyle name="40% - Accent6 4 12 2 2" xfId="6463"/>
    <cellStyle name="40% - Accent6 4 12 2 2 2" xfId="15527"/>
    <cellStyle name="40% - Accent6 4 12 2 2 3" xfId="26683"/>
    <cellStyle name="40% - Accent6 4 12 2 3" xfId="15526"/>
    <cellStyle name="40% - Accent6 4 12 2 4" xfId="26682"/>
    <cellStyle name="40% - Accent6 4 12 3" xfId="5749"/>
    <cellStyle name="40% - Accent6 4 12 3 2" xfId="6464"/>
    <cellStyle name="40% - Accent6 4 12 3 2 2" xfId="15529"/>
    <cellStyle name="40% - Accent6 4 12 3 2 3" xfId="26685"/>
    <cellStyle name="40% - Accent6 4 12 3 3" xfId="15528"/>
    <cellStyle name="40% - Accent6 4 12 3 4" xfId="26684"/>
    <cellStyle name="40% - Accent6 4 12 4" xfId="6462"/>
    <cellStyle name="40% - Accent6 4 12 4 2" xfId="15531"/>
    <cellStyle name="40% - Accent6 4 12 4 3" xfId="15530"/>
    <cellStyle name="40% - Accent6 4 12 4 4" xfId="26686"/>
    <cellStyle name="40% - Accent6 4 12 5" xfId="15532"/>
    <cellStyle name="40% - Accent6 4 12 6" xfId="15525"/>
    <cellStyle name="40% - Accent6 4 12 7" xfId="26681"/>
    <cellStyle name="40% - Accent6 4 13" xfId="5436"/>
    <cellStyle name="40% - Accent6 4 13 2" xfId="6465"/>
    <cellStyle name="40% - Accent6 4 13 2 2" xfId="15535"/>
    <cellStyle name="40% - Accent6 4 13 2 3" xfId="15534"/>
    <cellStyle name="40% - Accent6 4 13 2 4" xfId="26688"/>
    <cellStyle name="40% - Accent6 4 13 3" xfId="15536"/>
    <cellStyle name="40% - Accent6 4 13 3 2" xfId="15537"/>
    <cellStyle name="40% - Accent6 4 13 4" xfId="15538"/>
    <cellStyle name="40% - Accent6 4 13 5" xfId="15533"/>
    <cellStyle name="40% - Accent6 4 13 6" xfId="26687"/>
    <cellStyle name="40% - Accent6 4 14" xfId="5746"/>
    <cellStyle name="40% - Accent6 4 14 2" xfId="6466"/>
    <cellStyle name="40% - Accent6 4 14 2 2" xfId="15540"/>
    <cellStyle name="40% - Accent6 4 14 2 3" xfId="26690"/>
    <cellStyle name="40% - Accent6 4 14 3" xfId="15539"/>
    <cellStyle name="40% - Accent6 4 14 4" xfId="26689"/>
    <cellStyle name="40% - Accent6 4 15" xfId="4664"/>
    <cellStyle name="40% - Accent6 4 15 2" xfId="6467"/>
    <cellStyle name="40% - Accent6 4 15 2 2" xfId="15542"/>
    <cellStyle name="40% - Accent6 4 15 2 3" xfId="26692"/>
    <cellStyle name="40% - Accent6 4 15 3" xfId="15541"/>
    <cellStyle name="40% - Accent6 4 15 4" xfId="26691"/>
    <cellStyle name="40% - Accent6 4 16" xfId="15543"/>
    <cellStyle name="40% - Accent6 4 16 2" xfId="15544"/>
    <cellStyle name="40% - Accent6 4 17" xfId="15545"/>
    <cellStyle name="40% - Accent6 4 17 2" xfId="15546"/>
    <cellStyle name="40% - Accent6 4 17 2 2" xfId="15547"/>
    <cellStyle name="40% - Accent6 4 17 3" xfId="15548"/>
    <cellStyle name="40% - Accent6 4 17 3 2" xfId="15549"/>
    <cellStyle name="40% - Accent6 4 17 4" xfId="15550"/>
    <cellStyle name="40% - Accent6 4 18" xfId="15551"/>
    <cellStyle name="40% - Accent6 4 18 2" xfId="15552"/>
    <cellStyle name="40% - Accent6 4 19" xfId="15553"/>
    <cellStyle name="40% - Accent6 4 19 2" xfId="15554"/>
    <cellStyle name="40% - Accent6 4 2" xfId="1504"/>
    <cellStyle name="40% - Accent6 4 2 10" xfId="15556"/>
    <cellStyle name="40% - Accent6 4 2 10 2" xfId="15557"/>
    <cellStyle name="40% - Accent6 4 2 10 2 2" xfId="15558"/>
    <cellStyle name="40% - Accent6 4 2 10 3" xfId="15559"/>
    <cellStyle name="40% - Accent6 4 2 10 3 2" xfId="15560"/>
    <cellStyle name="40% - Accent6 4 2 10 4" xfId="15561"/>
    <cellStyle name="40% - Accent6 4 2 11" xfId="15562"/>
    <cellStyle name="40% - Accent6 4 2 11 2" xfId="15563"/>
    <cellStyle name="40% - Accent6 4 2 11 2 2" xfId="15564"/>
    <cellStyle name="40% - Accent6 4 2 11 3" xfId="15565"/>
    <cellStyle name="40% - Accent6 4 2 11 3 2" xfId="15566"/>
    <cellStyle name="40% - Accent6 4 2 11 4" xfId="15567"/>
    <cellStyle name="40% - Accent6 4 2 12" xfId="15568"/>
    <cellStyle name="40% - Accent6 4 2 12 2" xfId="15569"/>
    <cellStyle name="40% - Accent6 4 2 12 2 2" xfId="15570"/>
    <cellStyle name="40% - Accent6 4 2 12 3" xfId="15571"/>
    <cellStyle name="40% - Accent6 4 2 12 3 2" xfId="15572"/>
    <cellStyle name="40% - Accent6 4 2 12 4" xfId="15573"/>
    <cellStyle name="40% - Accent6 4 2 13" xfId="15574"/>
    <cellStyle name="40% - Accent6 4 2 13 2" xfId="15575"/>
    <cellStyle name="40% - Accent6 4 2 14" xfId="15576"/>
    <cellStyle name="40% - Accent6 4 2 14 2" xfId="15577"/>
    <cellStyle name="40% - Accent6 4 2 15" xfId="15578"/>
    <cellStyle name="40% - Accent6 4 2 15 2" xfId="15579"/>
    <cellStyle name="40% - Accent6 4 2 16" xfId="15580"/>
    <cellStyle name="40% - Accent6 4 2 16 2" xfId="15581"/>
    <cellStyle name="40% - Accent6 4 2 17" xfId="15582"/>
    <cellStyle name="40% - Accent6 4 2 18" xfId="15555"/>
    <cellStyle name="40% - Accent6 4 2 2" xfId="4669"/>
    <cellStyle name="40% - Accent6 4 2 2 2" xfId="15584"/>
    <cellStyle name="40% - Accent6 4 2 2 2 2" xfId="15585"/>
    <cellStyle name="40% - Accent6 4 2 2 3" xfId="15586"/>
    <cellStyle name="40% - Accent6 4 2 2 3 2" xfId="15587"/>
    <cellStyle name="40% - Accent6 4 2 2 4" xfId="15588"/>
    <cellStyle name="40% - Accent6 4 2 2 5" xfId="15583"/>
    <cellStyle name="40% - Accent6 4 2 3" xfId="15589"/>
    <cellStyle name="40% - Accent6 4 2 3 2" xfId="15590"/>
    <cellStyle name="40% - Accent6 4 2 3 2 2" xfId="15591"/>
    <cellStyle name="40% - Accent6 4 2 3 3" xfId="15592"/>
    <cellStyle name="40% - Accent6 4 2 3 3 2" xfId="15593"/>
    <cellStyle name="40% - Accent6 4 2 3 4" xfId="15594"/>
    <cellStyle name="40% - Accent6 4 2 4" xfId="15595"/>
    <cellStyle name="40% - Accent6 4 2 4 2" xfId="15596"/>
    <cellStyle name="40% - Accent6 4 2 4 2 2" xfId="15597"/>
    <cellStyle name="40% - Accent6 4 2 4 3" xfId="15598"/>
    <cellStyle name="40% - Accent6 4 2 4 3 2" xfId="15599"/>
    <cellStyle name="40% - Accent6 4 2 4 4" xfId="15600"/>
    <cellStyle name="40% - Accent6 4 2 5" xfId="15601"/>
    <cellStyle name="40% - Accent6 4 2 5 2" xfId="15602"/>
    <cellStyle name="40% - Accent6 4 2 5 2 2" xfId="15603"/>
    <cellStyle name="40% - Accent6 4 2 5 3" xfId="15604"/>
    <cellStyle name="40% - Accent6 4 2 5 3 2" xfId="15605"/>
    <cellStyle name="40% - Accent6 4 2 5 4" xfId="15606"/>
    <cellStyle name="40% - Accent6 4 2 6" xfId="15607"/>
    <cellStyle name="40% - Accent6 4 2 6 2" xfId="15608"/>
    <cellStyle name="40% - Accent6 4 2 6 2 2" xfId="15609"/>
    <cellStyle name="40% - Accent6 4 2 6 3" xfId="15610"/>
    <cellStyle name="40% - Accent6 4 2 6 3 2" xfId="15611"/>
    <cellStyle name="40% - Accent6 4 2 6 4" xfId="15612"/>
    <cellStyle name="40% - Accent6 4 2 7" xfId="15613"/>
    <cellStyle name="40% - Accent6 4 2 7 2" xfId="15614"/>
    <cellStyle name="40% - Accent6 4 2 7 2 2" xfId="15615"/>
    <cellStyle name="40% - Accent6 4 2 7 3" xfId="15616"/>
    <cellStyle name="40% - Accent6 4 2 7 3 2" xfId="15617"/>
    <cellStyle name="40% - Accent6 4 2 7 4" xfId="15618"/>
    <cellStyle name="40% - Accent6 4 2 8" xfId="15619"/>
    <cellStyle name="40% - Accent6 4 2 8 2" xfId="15620"/>
    <cellStyle name="40% - Accent6 4 2 8 2 2" xfId="15621"/>
    <cellStyle name="40% - Accent6 4 2 8 3" xfId="15622"/>
    <cellStyle name="40% - Accent6 4 2 8 3 2" xfId="15623"/>
    <cellStyle name="40% - Accent6 4 2 8 4" xfId="15624"/>
    <cellStyle name="40% - Accent6 4 2 9" xfId="15625"/>
    <cellStyle name="40% - Accent6 4 2 9 2" xfId="15626"/>
    <cellStyle name="40% - Accent6 4 2 9 2 2" xfId="15627"/>
    <cellStyle name="40% - Accent6 4 2 9 3" xfId="15628"/>
    <cellStyle name="40% - Accent6 4 2 9 3 2" xfId="15629"/>
    <cellStyle name="40% - Accent6 4 2 9 4" xfId="15630"/>
    <cellStyle name="40% - Accent6 4 20" xfId="15631"/>
    <cellStyle name="40% - Accent6 4 21" xfId="15494"/>
    <cellStyle name="40% - Accent6 4 3" xfId="1629"/>
    <cellStyle name="40% - Accent6 4 3 2" xfId="4670"/>
    <cellStyle name="40% - Accent6 4 3 2 2" xfId="15634"/>
    <cellStyle name="40% - Accent6 4 3 2 3" xfId="15633"/>
    <cellStyle name="40% - Accent6 4 3 3" xfId="15635"/>
    <cellStyle name="40% - Accent6 4 3 3 2" xfId="15636"/>
    <cellStyle name="40% - Accent6 4 3 4" xfId="15637"/>
    <cellStyle name="40% - Accent6 4 3 4 2" xfId="15638"/>
    <cellStyle name="40% - Accent6 4 3 5" xfId="15639"/>
    <cellStyle name="40% - Accent6 4 3 5 2" xfId="15640"/>
    <cellStyle name="40% - Accent6 4 3 6" xfId="15641"/>
    <cellStyle name="40% - Accent6 4 3 7" xfId="15632"/>
    <cellStyle name="40% - Accent6 4 4" xfId="1796"/>
    <cellStyle name="40% - Accent6 4 4 2" xfId="15643"/>
    <cellStyle name="40% - Accent6 4 4 2 2" xfId="15644"/>
    <cellStyle name="40% - Accent6 4 4 3" xfId="15645"/>
    <cellStyle name="40% - Accent6 4 4 3 2" xfId="15646"/>
    <cellStyle name="40% - Accent6 4 4 4" xfId="15647"/>
    <cellStyle name="40% - Accent6 4 4 4 2" xfId="15648"/>
    <cellStyle name="40% - Accent6 4 4 5" xfId="15649"/>
    <cellStyle name="40% - Accent6 4 4 6" xfId="15642"/>
    <cellStyle name="40% - Accent6 4 5" xfId="2132"/>
    <cellStyle name="40% - Accent6 4 5 2" xfId="15651"/>
    <cellStyle name="40% - Accent6 4 5 2 2" xfId="15652"/>
    <cellStyle name="40% - Accent6 4 5 3" xfId="15653"/>
    <cellStyle name="40% - Accent6 4 5 3 2" xfId="15654"/>
    <cellStyle name="40% - Accent6 4 5 4" xfId="15655"/>
    <cellStyle name="40% - Accent6 4 5 4 2" xfId="15656"/>
    <cellStyle name="40% - Accent6 4 5 5" xfId="15657"/>
    <cellStyle name="40% - Accent6 4 5 6" xfId="15650"/>
    <cellStyle name="40% - Accent6 4 6" xfId="2506"/>
    <cellStyle name="40% - Accent6 4 6 2" xfId="15659"/>
    <cellStyle name="40% - Accent6 4 6 2 2" xfId="15660"/>
    <cellStyle name="40% - Accent6 4 6 3" xfId="15661"/>
    <cellStyle name="40% - Accent6 4 6 3 2" xfId="15662"/>
    <cellStyle name="40% - Accent6 4 6 4" xfId="15663"/>
    <cellStyle name="40% - Accent6 4 6 4 2" xfId="15664"/>
    <cellStyle name="40% - Accent6 4 6 5" xfId="15665"/>
    <cellStyle name="40% - Accent6 4 6 6" xfId="15658"/>
    <cellStyle name="40% - Accent6 4 7" xfId="2878"/>
    <cellStyle name="40% - Accent6 4 7 2" xfId="15667"/>
    <cellStyle name="40% - Accent6 4 7 2 2" xfId="15668"/>
    <cellStyle name="40% - Accent6 4 7 3" xfId="15669"/>
    <cellStyle name="40% - Accent6 4 7 3 2" xfId="15670"/>
    <cellStyle name="40% - Accent6 4 7 4" xfId="15671"/>
    <cellStyle name="40% - Accent6 4 7 4 2" xfId="15672"/>
    <cellStyle name="40% - Accent6 4 7 5" xfId="15673"/>
    <cellStyle name="40% - Accent6 4 7 6" xfId="15666"/>
    <cellStyle name="40% - Accent6 4 8" xfId="3249"/>
    <cellStyle name="40% - Accent6 4 8 2" xfId="15675"/>
    <cellStyle name="40% - Accent6 4 8 2 2" xfId="15676"/>
    <cellStyle name="40% - Accent6 4 8 3" xfId="15677"/>
    <cellStyle name="40% - Accent6 4 8 3 2" xfId="15678"/>
    <cellStyle name="40% - Accent6 4 8 4" xfId="15679"/>
    <cellStyle name="40% - Accent6 4 8 4 2" xfId="15680"/>
    <cellStyle name="40% - Accent6 4 8 5" xfId="15681"/>
    <cellStyle name="40% - Accent6 4 8 6" xfId="15674"/>
    <cellStyle name="40% - Accent6 4 9" xfId="3593"/>
    <cellStyle name="40% - Accent6 4 9 2" xfId="4671"/>
    <cellStyle name="40% - Accent6 4 9 2 2" xfId="15684"/>
    <cellStyle name="40% - Accent6 4 9 2 3" xfId="15683"/>
    <cellStyle name="40% - Accent6 4 9 3" xfId="15685"/>
    <cellStyle name="40% - Accent6 4 9 3 2" xfId="15686"/>
    <cellStyle name="40% - Accent6 4 9 4" xfId="15687"/>
    <cellStyle name="40% - Accent6 4 9 4 2" xfId="15688"/>
    <cellStyle name="40% - Accent6 4 9 5" xfId="15689"/>
    <cellStyle name="40% - Accent6 4 9 5 2" xfId="15690"/>
    <cellStyle name="40% - Accent6 4 9 6" xfId="15691"/>
    <cellStyle name="40% - Accent6 4 9 7" xfId="15682"/>
    <cellStyle name="40% - Accent6 5" xfId="403"/>
    <cellStyle name="40% - Accent6 5 10" xfId="15693"/>
    <cellStyle name="40% - Accent6 5 10 2" xfId="15694"/>
    <cellStyle name="40% - Accent6 5 10 2 2" xfId="15695"/>
    <cellStyle name="40% - Accent6 5 10 3" xfId="15696"/>
    <cellStyle name="40% - Accent6 5 10 3 2" xfId="15697"/>
    <cellStyle name="40% - Accent6 5 10 4" xfId="15698"/>
    <cellStyle name="40% - Accent6 5 11" xfId="15699"/>
    <cellStyle name="40% - Accent6 5 11 2" xfId="15700"/>
    <cellStyle name="40% - Accent6 5 11 2 2" xfId="15701"/>
    <cellStyle name="40% - Accent6 5 11 3" xfId="15702"/>
    <cellStyle name="40% - Accent6 5 11 3 2" xfId="15703"/>
    <cellStyle name="40% - Accent6 5 11 4" xfId="15704"/>
    <cellStyle name="40% - Accent6 5 12" xfId="15705"/>
    <cellStyle name="40% - Accent6 5 12 2" xfId="15706"/>
    <cellStyle name="40% - Accent6 5 12 2 2" xfId="15707"/>
    <cellStyle name="40% - Accent6 5 12 3" xfId="15708"/>
    <cellStyle name="40% - Accent6 5 12 3 2" xfId="15709"/>
    <cellStyle name="40% - Accent6 5 12 4" xfId="15710"/>
    <cellStyle name="40% - Accent6 5 13" xfId="15711"/>
    <cellStyle name="40% - Accent6 5 13 2" xfId="15712"/>
    <cellStyle name="40% - Accent6 5 13 2 2" xfId="15713"/>
    <cellStyle name="40% - Accent6 5 13 3" xfId="15714"/>
    <cellStyle name="40% - Accent6 5 13 3 2" xfId="15715"/>
    <cellStyle name="40% - Accent6 5 13 4" xfId="15716"/>
    <cellStyle name="40% - Accent6 5 14" xfId="15717"/>
    <cellStyle name="40% - Accent6 5 14 2" xfId="15718"/>
    <cellStyle name="40% - Accent6 5 15" xfId="15719"/>
    <cellStyle name="40% - Accent6 5 15 2" xfId="15720"/>
    <cellStyle name="40% - Accent6 5 16" xfId="15721"/>
    <cellStyle name="40% - Accent6 5 16 2" xfId="15722"/>
    <cellStyle name="40% - Accent6 5 17" xfId="15723"/>
    <cellStyle name="40% - Accent6 5 17 2" xfId="15724"/>
    <cellStyle name="40% - Accent6 5 18" xfId="15725"/>
    <cellStyle name="40% - Accent6 5 19" xfId="15692"/>
    <cellStyle name="40% - Accent6 5 2" xfId="1859"/>
    <cellStyle name="40% - Accent6 5 2 10" xfId="15727"/>
    <cellStyle name="40% - Accent6 5 2 10 2" xfId="15728"/>
    <cellStyle name="40% - Accent6 5 2 10 2 2" xfId="15729"/>
    <cellStyle name="40% - Accent6 5 2 10 3" xfId="15730"/>
    <cellStyle name="40% - Accent6 5 2 10 3 2" xfId="15731"/>
    <cellStyle name="40% - Accent6 5 2 10 4" xfId="15732"/>
    <cellStyle name="40% - Accent6 5 2 11" xfId="15733"/>
    <cellStyle name="40% - Accent6 5 2 11 2" xfId="15734"/>
    <cellStyle name="40% - Accent6 5 2 11 2 2" xfId="15735"/>
    <cellStyle name="40% - Accent6 5 2 11 3" xfId="15736"/>
    <cellStyle name="40% - Accent6 5 2 11 3 2" xfId="15737"/>
    <cellStyle name="40% - Accent6 5 2 11 4" xfId="15738"/>
    <cellStyle name="40% - Accent6 5 2 12" xfId="15739"/>
    <cellStyle name="40% - Accent6 5 2 12 2" xfId="15740"/>
    <cellStyle name="40% - Accent6 5 2 12 2 2" xfId="15741"/>
    <cellStyle name="40% - Accent6 5 2 12 3" xfId="15742"/>
    <cellStyle name="40% - Accent6 5 2 12 3 2" xfId="15743"/>
    <cellStyle name="40% - Accent6 5 2 12 4" xfId="15744"/>
    <cellStyle name="40% - Accent6 5 2 13" xfId="15745"/>
    <cellStyle name="40% - Accent6 5 2 13 2" xfId="15746"/>
    <cellStyle name="40% - Accent6 5 2 14" xfId="15747"/>
    <cellStyle name="40% - Accent6 5 2 14 2" xfId="15748"/>
    <cellStyle name="40% - Accent6 5 2 15" xfId="15749"/>
    <cellStyle name="40% - Accent6 5 2 15 2" xfId="15750"/>
    <cellStyle name="40% - Accent6 5 2 16" xfId="15751"/>
    <cellStyle name="40% - Accent6 5 2 17" xfId="15726"/>
    <cellStyle name="40% - Accent6 5 2 2" xfId="15752"/>
    <cellStyle name="40% - Accent6 5 2 2 2" xfId="15753"/>
    <cellStyle name="40% - Accent6 5 2 2 2 2" xfId="15754"/>
    <cellStyle name="40% - Accent6 5 2 2 3" xfId="15755"/>
    <cellStyle name="40% - Accent6 5 2 2 3 2" xfId="15756"/>
    <cellStyle name="40% - Accent6 5 2 2 4" xfId="15757"/>
    <cellStyle name="40% - Accent6 5 2 3" xfId="15758"/>
    <cellStyle name="40% - Accent6 5 2 3 2" xfId="15759"/>
    <cellStyle name="40% - Accent6 5 2 3 2 2" xfId="15760"/>
    <cellStyle name="40% - Accent6 5 2 3 3" xfId="15761"/>
    <cellStyle name="40% - Accent6 5 2 3 3 2" xfId="15762"/>
    <cellStyle name="40% - Accent6 5 2 3 4" xfId="15763"/>
    <cellStyle name="40% - Accent6 5 2 4" xfId="15764"/>
    <cellStyle name="40% - Accent6 5 2 4 2" xfId="15765"/>
    <cellStyle name="40% - Accent6 5 2 4 2 2" xfId="15766"/>
    <cellStyle name="40% - Accent6 5 2 4 3" xfId="15767"/>
    <cellStyle name="40% - Accent6 5 2 4 3 2" xfId="15768"/>
    <cellStyle name="40% - Accent6 5 2 4 4" xfId="15769"/>
    <cellStyle name="40% - Accent6 5 2 5" xfId="15770"/>
    <cellStyle name="40% - Accent6 5 2 5 2" xfId="15771"/>
    <cellStyle name="40% - Accent6 5 2 5 2 2" xfId="15772"/>
    <cellStyle name="40% - Accent6 5 2 5 3" xfId="15773"/>
    <cellStyle name="40% - Accent6 5 2 5 3 2" xfId="15774"/>
    <cellStyle name="40% - Accent6 5 2 5 4" xfId="15775"/>
    <cellStyle name="40% - Accent6 5 2 6" xfId="15776"/>
    <cellStyle name="40% - Accent6 5 2 6 2" xfId="15777"/>
    <cellStyle name="40% - Accent6 5 2 6 2 2" xfId="15778"/>
    <cellStyle name="40% - Accent6 5 2 6 3" xfId="15779"/>
    <cellStyle name="40% - Accent6 5 2 6 3 2" xfId="15780"/>
    <cellStyle name="40% - Accent6 5 2 6 4" xfId="15781"/>
    <cellStyle name="40% - Accent6 5 2 7" xfId="15782"/>
    <cellStyle name="40% - Accent6 5 2 7 2" xfId="15783"/>
    <cellStyle name="40% - Accent6 5 2 7 2 2" xfId="15784"/>
    <cellStyle name="40% - Accent6 5 2 7 3" xfId="15785"/>
    <cellStyle name="40% - Accent6 5 2 7 3 2" xfId="15786"/>
    <cellStyle name="40% - Accent6 5 2 7 4" xfId="15787"/>
    <cellStyle name="40% - Accent6 5 2 8" xfId="15788"/>
    <cellStyle name="40% - Accent6 5 2 8 2" xfId="15789"/>
    <cellStyle name="40% - Accent6 5 2 8 2 2" xfId="15790"/>
    <cellStyle name="40% - Accent6 5 2 8 3" xfId="15791"/>
    <cellStyle name="40% - Accent6 5 2 8 3 2" xfId="15792"/>
    <cellStyle name="40% - Accent6 5 2 8 4" xfId="15793"/>
    <cellStyle name="40% - Accent6 5 2 9" xfId="15794"/>
    <cellStyle name="40% - Accent6 5 2 9 2" xfId="15795"/>
    <cellStyle name="40% - Accent6 5 2 9 2 2" xfId="15796"/>
    <cellStyle name="40% - Accent6 5 2 9 3" xfId="15797"/>
    <cellStyle name="40% - Accent6 5 2 9 3 2" xfId="15798"/>
    <cellStyle name="40% - Accent6 5 2 9 4" xfId="15799"/>
    <cellStyle name="40% - Accent6 5 3" xfId="2234"/>
    <cellStyle name="40% - Accent6 5 3 2" xfId="15801"/>
    <cellStyle name="40% - Accent6 5 3 2 2" xfId="15802"/>
    <cellStyle name="40% - Accent6 5 3 3" xfId="15803"/>
    <cellStyle name="40% - Accent6 5 3 3 2" xfId="15804"/>
    <cellStyle name="40% - Accent6 5 3 4" xfId="15805"/>
    <cellStyle name="40% - Accent6 5 3 4 2" xfId="15806"/>
    <cellStyle name="40% - Accent6 5 3 5" xfId="15807"/>
    <cellStyle name="40% - Accent6 5 3 6" xfId="15800"/>
    <cellStyle name="40% - Accent6 5 4" xfId="2608"/>
    <cellStyle name="40% - Accent6 5 4 2" xfId="15809"/>
    <cellStyle name="40% - Accent6 5 4 2 2" xfId="15810"/>
    <cellStyle name="40% - Accent6 5 4 3" xfId="15811"/>
    <cellStyle name="40% - Accent6 5 4 3 2" xfId="15812"/>
    <cellStyle name="40% - Accent6 5 4 4" xfId="15813"/>
    <cellStyle name="40% - Accent6 5 4 4 2" xfId="15814"/>
    <cellStyle name="40% - Accent6 5 4 5" xfId="15815"/>
    <cellStyle name="40% - Accent6 5 4 6" xfId="15808"/>
    <cellStyle name="40% - Accent6 5 5" xfId="2980"/>
    <cellStyle name="40% - Accent6 5 5 2" xfId="15817"/>
    <cellStyle name="40% - Accent6 5 5 2 2" xfId="15818"/>
    <cellStyle name="40% - Accent6 5 5 3" xfId="15819"/>
    <cellStyle name="40% - Accent6 5 5 3 2" xfId="15820"/>
    <cellStyle name="40% - Accent6 5 5 4" xfId="15821"/>
    <cellStyle name="40% - Accent6 5 5 4 2" xfId="15822"/>
    <cellStyle name="40% - Accent6 5 5 5" xfId="15823"/>
    <cellStyle name="40% - Accent6 5 5 6" xfId="15816"/>
    <cellStyle name="40% - Accent6 5 6" xfId="3352"/>
    <cellStyle name="40% - Accent6 5 6 2" xfId="15825"/>
    <cellStyle name="40% - Accent6 5 6 2 2" xfId="15826"/>
    <cellStyle name="40% - Accent6 5 6 3" xfId="15827"/>
    <cellStyle name="40% - Accent6 5 6 3 2" xfId="15828"/>
    <cellStyle name="40% - Accent6 5 6 4" xfId="15829"/>
    <cellStyle name="40% - Accent6 5 6 4 2" xfId="15830"/>
    <cellStyle name="40% - Accent6 5 6 5" xfId="15831"/>
    <cellStyle name="40% - Accent6 5 6 6" xfId="15824"/>
    <cellStyle name="40% - Accent6 5 7" xfId="4672"/>
    <cellStyle name="40% - Accent6 5 7 2" xfId="15833"/>
    <cellStyle name="40% - Accent6 5 7 2 2" xfId="15834"/>
    <cellStyle name="40% - Accent6 5 7 3" xfId="15835"/>
    <cellStyle name="40% - Accent6 5 7 3 2" xfId="15836"/>
    <cellStyle name="40% - Accent6 5 7 4" xfId="15837"/>
    <cellStyle name="40% - Accent6 5 7 5" xfId="15832"/>
    <cellStyle name="40% - Accent6 5 8" xfId="15838"/>
    <cellStyle name="40% - Accent6 5 8 2" xfId="15839"/>
    <cellStyle name="40% - Accent6 5 8 2 2" xfId="15840"/>
    <cellStyle name="40% - Accent6 5 8 3" xfId="15841"/>
    <cellStyle name="40% - Accent6 5 8 3 2" xfId="15842"/>
    <cellStyle name="40% - Accent6 5 8 4" xfId="15843"/>
    <cellStyle name="40% - Accent6 5 9" xfId="15844"/>
    <cellStyle name="40% - Accent6 5 9 2" xfId="15845"/>
    <cellStyle name="40% - Accent6 5 9 2 2" xfId="15846"/>
    <cellStyle name="40% - Accent6 5 9 3" xfId="15847"/>
    <cellStyle name="40% - Accent6 5 9 3 2" xfId="15848"/>
    <cellStyle name="40% - Accent6 5 9 4" xfId="15849"/>
    <cellStyle name="40% - Accent6 6" xfId="404"/>
    <cellStyle name="40% - Accent6 6 10" xfId="5440"/>
    <cellStyle name="40% - Accent6 6 10 2" xfId="6469"/>
    <cellStyle name="40% - Accent6 6 10 2 2" xfId="15853"/>
    <cellStyle name="40% - Accent6 6 10 2 3" xfId="15852"/>
    <cellStyle name="40% - Accent6 6 10 2 4" xfId="26695"/>
    <cellStyle name="40% - Accent6 6 10 3" xfId="15854"/>
    <cellStyle name="40% - Accent6 6 10 3 2" xfId="15855"/>
    <cellStyle name="40% - Accent6 6 10 4" xfId="15856"/>
    <cellStyle name="40% - Accent6 6 10 5" xfId="15851"/>
    <cellStyle name="40% - Accent6 6 10 6" xfId="26694"/>
    <cellStyle name="40% - Accent6 6 11" xfId="5750"/>
    <cellStyle name="40% - Accent6 6 11 2" xfId="6470"/>
    <cellStyle name="40% - Accent6 6 11 2 2" xfId="15859"/>
    <cellStyle name="40% - Accent6 6 11 2 3" xfId="15858"/>
    <cellStyle name="40% - Accent6 6 11 2 4" xfId="26697"/>
    <cellStyle name="40% - Accent6 6 11 3" xfId="15860"/>
    <cellStyle name="40% - Accent6 6 11 3 2" xfId="15861"/>
    <cellStyle name="40% - Accent6 6 11 4" xfId="15862"/>
    <cellStyle name="40% - Accent6 6 11 5" xfId="15857"/>
    <cellStyle name="40% - Accent6 6 11 6" xfId="26696"/>
    <cellStyle name="40% - Accent6 6 12" xfId="4673"/>
    <cellStyle name="40% - Accent6 6 12 2" xfId="6471"/>
    <cellStyle name="40% - Accent6 6 12 2 2" xfId="15865"/>
    <cellStyle name="40% - Accent6 6 12 2 3" xfId="15864"/>
    <cellStyle name="40% - Accent6 6 12 2 4" xfId="26699"/>
    <cellStyle name="40% - Accent6 6 12 3" xfId="15866"/>
    <cellStyle name="40% - Accent6 6 12 3 2" xfId="15867"/>
    <cellStyle name="40% - Accent6 6 12 4" xfId="15868"/>
    <cellStyle name="40% - Accent6 6 12 5" xfId="15863"/>
    <cellStyle name="40% - Accent6 6 12 6" xfId="26698"/>
    <cellStyle name="40% - Accent6 6 13" xfId="6468"/>
    <cellStyle name="40% - Accent6 6 13 2" xfId="15870"/>
    <cellStyle name="40% - Accent6 6 13 3" xfId="15869"/>
    <cellStyle name="40% - Accent6 6 13 4" xfId="26700"/>
    <cellStyle name="40% - Accent6 6 14" xfId="15871"/>
    <cellStyle name="40% - Accent6 6 14 2" xfId="15872"/>
    <cellStyle name="40% - Accent6 6 15" xfId="15873"/>
    <cellStyle name="40% - Accent6 6 15 2" xfId="15874"/>
    <cellStyle name="40% - Accent6 6 16" xfId="15875"/>
    <cellStyle name="40% - Accent6 6 16 2" xfId="15876"/>
    <cellStyle name="40% - Accent6 6 16 2 2" xfId="15877"/>
    <cellStyle name="40% - Accent6 6 16 3" xfId="15878"/>
    <cellStyle name="40% - Accent6 6 16 3 2" xfId="15879"/>
    <cellStyle name="40% - Accent6 6 16 4" xfId="15880"/>
    <cellStyle name="40% - Accent6 6 17" xfId="15881"/>
    <cellStyle name="40% - Accent6 6 17 2" xfId="15882"/>
    <cellStyle name="40% - Accent6 6 18" xfId="15883"/>
    <cellStyle name="40% - Accent6 6 18 2" xfId="15884"/>
    <cellStyle name="40% - Accent6 6 19" xfId="15885"/>
    <cellStyle name="40% - Accent6 6 2" xfId="1980"/>
    <cellStyle name="40% - Accent6 6 2 2" xfId="4674"/>
    <cellStyle name="40% - Accent6 6 2 2 2" xfId="15888"/>
    <cellStyle name="40% - Accent6 6 2 2 3" xfId="15887"/>
    <cellStyle name="40% - Accent6 6 2 3" xfId="15889"/>
    <cellStyle name="40% - Accent6 6 2 3 2" xfId="15890"/>
    <cellStyle name="40% - Accent6 6 2 4" xfId="15891"/>
    <cellStyle name="40% - Accent6 6 2 4 2" xfId="15892"/>
    <cellStyle name="40% - Accent6 6 2 5" xfId="15893"/>
    <cellStyle name="40% - Accent6 6 2 5 2" xfId="15894"/>
    <cellStyle name="40% - Accent6 6 2 6" xfId="15895"/>
    <cellStyle name="40% - Accent6 6 2 7" xfId="15886"/>
    <cellStyle name="40% - Accent6 6 20" xfId="15850"/>
    <cellStyle name="40% - Accent6 6 21" xfId="24842"/>
    <cellStyle name="40% - Accent6 6 22" xfId="26693"/>
    <cellStyle name="40% - Accent6 6 3" xfId="2355"/>
    <cellStyle name="40% - Accent6 6 3 2" xfId="4675"/>
    <cellStyle name="40% - Accent6 6 3 2 2" xfId="15898"/>
    <cellStyle name="40% - Accent6 6 3 2 3" xfId="15897"/>
    <cellStyle name="40% - Accent6 6 3 3" xfId="15899"/>
    <cellStyle name="40% - Accent6 6 3 3 2" xfId="15900"/>
    <cellStyle name="40% - Accent6 6 3 4" xfId="15901"/>
    <cellStyle name="40% - Accent6 6 3 4 2" xfId="15902"/>
    <cellStyle name="40% - Accent6 6 3 5" xfId="15903"/>
    <cellStyle name="40% - Accent6 6 3 5 2" xfId="15904"/>
    <cellStyle name="40% - Accent6 6 3 6" xfId="15905"/>
    <cellStyle name="40% - Accent6 6 3 7" xfId="15896"/>
    <cellStyle name="40% - Accent6 6 4" xfId="2728"/>
    <cellStyle name="40% - Accent6 6 4 2" xfId="4676"/>
    <cellStyle name="40% - Accent6 6 4 2 2" xfId="15908"/>
    <cellStyle name="40% - Accent6 6 4 2 3" xfId="15907"/>
    <cellStyle name="40% - Accent6 6 4 3" xfId="15909"/>
    <cellStyle name="40% - Accent6 6 4 3 2" xfId="15910"/>
    <cellStyle name="40% - Accent6 6 4 4" xfId="15911"/>
    <cellStyle name="40% - Accent6 6 4 4 2" xfId="15912"/>
    <cellStyle name="40% - Accent6 6 4 5" xfId="15913"/>
    <cellStyle name="40% - Accent6 6 4 5 2" xfId="15914"/>
    <cellStyle name="40% - Accent6 6 4 6" xfId="15915"/>
    <cellStyle name="40% - Accent6 6 4 7" xfId="15906"/>
    <cellStyle name="40% - Accent6 6 5" xfId="3101"/>
    <cellStyle name="40% - Accent6 6 5 2" xfId="4677"/>
    <cellStyle name="40% - Accent6 6 5 2 2" xfId="15918"/>
    <cellStyle name="40% - Accent6 6 5 2 3" xfId="15917"/>
    <cellStyle name="40% - Accent6 6 5 3" xfId="15919"/>
    <cellStyle name="40% - Accent6 6 5 3 2" xfId="15920"/>
    <cellStyle name="40% - Accent6 6 5 4" xfId="15921"/>
    <cellStyle name="40% - Accent6 6 5 4 2" xfId="15922"/>
    <cellStyle name="40% - Accent6 6 5 5" xfId="15923"/>
    <cellStyle name="40% - Accent6 6 5 5 2" xfId="15924"/>
    <cellStyle name="40% - Accent6 6 5 6" xfId="15925"/>
    <cellStyle name="40% - Accent6 6 5 7" xfId="15916"/>
    <cellStyle name="40% - Accent6 6 6" xfId="3472"/>
    <cellStyle name="40% - Accent6 6 6 2" xfId="4678"/>
    <cellStyle name="40% - Accent6 6 6 2 2" xfId="15928"/>
    <cellStyle name="40% - Accent6 6 6 2 3" xfId="15927"/>
    <cellStyle name="40% - Accent6 6 6 3" xfId="15929"/>
    <cellStyle name="40% - Accent6 6 6 3 2" xfId="15930"/>
    <cellStyle name="40% - Accent6 6 6 4" xfId="15931"/>
    <cellStyle name="40% - Accent6 6 6 4 2" xfId="15932"/>
    <cellStyle name="40% - Accent6 6 6 5" xfId="15933"/>
    <cellStyle name="40% - Accent6 6 6 5 2" xfId="15934"/>
    <cellStyle name="40% - Accent6 6 6 6" xfId="15935"/>
    <cellStyle name="40% - Accent6 6 6 7" xfId="15926"/>
    <cellStyle name="40% - Accent6 6 7" xfId="3778"/>
    <cellStyle name="40% - Accent6 6 7 2" xfId="4679"/>
    <cellStyle name="40% - Accent6 6 7 2 2" xfId="15938"/>
    <cellStyle name="40% - Accent6 6 7 2 3" xfId="15937"/>
    <cellStyle name="40% - Accent6 6 7 3" xfId="15939"/>
    <cellStyle name="40% - Accent6 6 7 3 2" xfId="15940"/>
    <cellStyle name="40% - Accent6 6 7 4" xfId="15941"/>
    <cellStyle name="40% - Accent6 6 7 4 2" xfId="15942"/>
    <cellStyle name="40% - Accent6 6 7 5" xfId="15943"/>
    <cellStyle name="40% - Accent6 6 7 5 2" xfId="15944"/>
    <cellStyle name="40% - Accent6 6 7 6" xfId="15945"/>
    <cellStyle name="40% - Accent6 6 7 7" xfId="15936"/>
    <cellStyle name="40% - Accent6 6 8" xfId="1364"/>
    <cellStyle name="40% - Accent6 6 8 10" xfId="24896"/>
    <cellStyle name="40% - Accent6 6 8 11" xfId="26701"/>
    <cellStyle name="40% - Accent6 6 8 2" xfId="4164"/>
    <cellStyle name="40% - Accent6 6 8 2 2" xfId="5442"/>
    <cellStyle name="40% - Accent6 6 8 2 2 2" xfId="6474"/>
    <cellStyle name="40% - Accent6 6 8 2 2 2 2" xfId="15949"/>
    <cellStyle name="40% - Accent6 6 8 2 2 2 3" xfId="26704"/>
    <cellStyle name="40% - Accent6 6 8 2 2 3" xfId="15948"/>
    <cellStyle name="40% - Accent6 6 8 2 2 4" xfId="26703"/>
    <cellStyle name="40% - Accent6 6 8 2 3" xfId="5752"/>
    <cellStyle name="40% - Accent6 6 8 2 3 2" xfId="6475"/>
    <cellStyle name="40% - Accent6 6 8 2 3 2 2" xfId="26706"/>
    <cellStyle name="40% - Accent6 6 8 2 3 3" xfId="15950"/>
    <cellStyle name="40% - Accent6 6 8 2 3 4" xfId="26705"/>
    <cellStyle name="40% - Accent6 6 8 2 4" xfId="4681"/>
    <cellStyle name="40% - Accent6 6 8 2 4 2" xfId="6476"/>
    <cellStyle name="40% - Accent6 6 8 2 4 2 2" xfId="26708"/>
    <cellStyle name="40% - Accent6 6 8 2 4 3" xfId="26707"/>
    <cellStyle name="40% - Accent6 6 8 2 5" xfId="6473"/>
    <cellStyle name="40% - Accent6 6 8 2 5 2" xfId="26709"/>
    <cellStyle name="40% - Accent6 6 8 2 6" xfId="15947"/>
    <cellStyle name="40% - Accent6 6 8 2 7" xfId="25016"/>
    <cellStyle name="40% - Accent6 6 8 2 8" xfId="26702"/>
    <cellStyle name="40% - Accent6 6 8 3" xfId="5441"/>
    <cellStyle name="40% - Accent6 6 8 3 2" xfId="6477"/>
    <cellStyle name="40% - Accent6 6 8 3 2 2" xfId="15952"/>
    <cellStyle name="40% - Accent6 6 8 3 2 3" xfId="26711"/>
    <cellStyle name="40% - Accent6 6 8 3 3" xfId="15951"/>
    <cellStyle name="40% - Accent6 6 8 3 4" xfId="26710"/>
    <cellStyle name="40% - Accent6 6 8 4" xfId="5751"/>
    <cellStyle name="40% - Accent6 6 8 4 2" xfId="6478"/>
    <cellStyle name="40% - Accent6 6 8 4 2 2" xfId="15954"/>
    <cellStyle name="40% - Accent6 6 8 4 2 3" xfId="26713"/>
    <cellStyle name="40% - Accent6 6 8 4 3" xfId="15953"/>
    <cellStyle name="40% - Accent6 6 8 4 4" xfId="26712"/>
    <cellStyle name="40% - Accent6 6 8 5" xfId="4680"/>
    <cellStyle name="40% - Accent6 6 8 5 2" xfId="6479"/>
    <cellStyle name="40% - Accent6 6 8 5 2 2" xfId="15957"/>
    <cellStyle name="40% - Accent6 6 8 5 2 3" xfId="15956"/>
    <cellStyle name="40% - Accent6 6 8 5 2 4" xfId="26715"/>
    <cellStyle name="40% - Accent6 6 8 5 3" xfId="15958"/>
    <cellStyle name="40% - Accent6 6 8 5 3 2" xfId="15959"/>
    <cellStyle name="40% - Accent6 6 8 5 4" xfId="15960"/>
    <cellStyle name="40% - Accent6 6 8 5 5" xfId="15955"/>
    <cellStyle name="40% - Accent6 6 8 5 6" xfId="26714"/>
    <cellStyle name="40% - Accent6 6 8 6" xfId="6472"/>
    <cellStyle name="40% - Accent6 6 8 6 2" xfId="15962"/>
    <cellStyle name="40% - Accent6 6 8 6 3" xfId="15961"/>
    <cellStyle name="40% - Accent6 6 8 6 4" xfId="26716"/>
    <cellStyle name="40% - Accent6 6 8 7" xfId="15963"/>
    <cellStyle name="40% - Accent6 6 8 7 2" xfId="15964"/>
    <cellStyle name="40% - Accent6 6 8 8" xfId="15965"/>
    <cellStyle name="40% - Accent6 6 8 9" xfId="15946"/>
    <cellStyle name="40% - Accent6 6 9" xfId="3828"/>
    <cellStyle name="40% - Accent6 6 9 2" xfId="5443"/>
    <cellStyle name="40% - Accent6 6 9 2 2" xfId="6481"/>
    <cellStyle name="40% - Accent6 6 9 2 2 2" xfId="15968"/>
    <cellStyle name="40% - Accent6 6 9 2 2 3" xfId="26719"/>
    <cellStyle name="40% - Accent6 6 9 2 3" xfId="15967"/>
    <cellStyle name="40% - Accent6 6 9 2 4" xfId="26718"/>
    <cellStyle name="40% - Accent6 6 9 3" xfId="5753"/>
    <cellStyle name="40% - Accent6 6 9 3 2" xfId="6482"/>
    <cellStyle name="40% - Accent6 6 9 3 2 2" xfId="15970"/>
    <cellStyle name="40% - Accent6 6 9 3 2 3" xfId="26721"/>
    <cellStyle name="40% - Accent6 6 9 3 3" xfId="15969"/>
    <cellStyle name="40% - Accent6 6 9 3 4" xfId="26720"/>
    <cellStyle name="40% - Accent6 6 9 4" xfId="4682"/>
    <cellStyle name="40% - Accent6 6 9 4 2" xfId="6483"/>
    <cellStyle name="40% - Accent6 6 9 4 2 2" xfId="15972"/>
    <cellStyle name="40% - Accent6 6 9 4 2 3" xfId="26723"/>
    <cellStyle name="40% - Accent6 6 9 4 3" xfId="15971"/>
    <cellStyle name="40% - Accent6 6 9 4 4" xfId="26722"/>
    <cellStyle name="40% - Accent6 6 9 5" xfId="6480"/>
    <cellStyle name="40% - Accent6 6 9 5 2" xfId="15973"/>
    <cellStyle name="40% - Accent6 6 9 5 3" xfId="26724"/>
    <cellStyle name="40% - Accent6 6 9 6" xfId="15966"/>
    <cellStyle name="40% - Accent6 6 9 7" xfId="24964"/>
    <cellStyle name="40% - Accent6 6 9 8" xfId="26717"/>
    <cellStyle name="40% - Accent6 7" xfId="405"/>
    <cellStyle name="40% - Accent6 7 10" xfId="15975"/>
    <cellStyle name="40% - Accent6 7 10 2" xfId="15976"/>
    <cellStyle name="40% - Accent6 7 10 2 2" xfId="15977"/>
    <cellStyle name="40% - Accent6 7 10 3" xfId="15978"/>
    <cellStyle name="40% - Accent6 7 10 3 2" xfId="15979"/>
    <cellStyle name="40% - Accent6 7 10 4" xfId="15980"/>
    <cellStyle name="40% - Accent6 7 11" xfId="15981"/>
    <cellStyle name="40% - Accent6 7 11 2" xfId="15982"/>
    <cellStyle name="40% - Accent6 7 11 2 2" xfId="15983"/>
    <cellStyle name="40% - Accent6 7 11 3" xfId="15984"/>
    <cellStyle name="40% - Accent6 7 11 3 2" xfId="15985"/>
    <cellStyle name="40% - Accent6 7 11 4" xfId="15986"/>
    <cellStyle name="40% - Accent6 7 12" xfId="15987"/>
    <cellStyle name="40% - Accent6 7 12 2" xfId="15988"/>
    <cellStyle name="40% - Accent6 7 12 2 2" xfId="15989"/>
    <cellStyle name="40% - Accent6 7 12 3" xfId="15990"/>
    <cellStyle name="40% - Accent6 7 12 3 2" xfId="15991"/>
    <cellStyle name="40% - Accent6 7 12 4" xfId="15992"/>
    <cellStyle name="40% - Accent6 7 13" xfId="15993"/>
    <cellStyle name="40% - Accent6 7 13 2" xfId="15994"/>
    <cellStyle name="40% - Accent6 7 14" xfId="15995"/>
    <cellStyle name="40% - Accent6 7 14 2" xfId="15996"/>
    <cellStyle name="40% - Accent6 7 15" xfId="15997"/>
    <cellStyle name="40% - Accent6 7 15 2" xfId="15998"/>
    <cellStyle name="40% - Accent6 7 16" xfId="15999"/>
    <cellStyle name="40% - Accent6 7 16 2" xfId="16000"/>
    <cellStyle name="40% - Accent6 7 17" xfId="16001"/>
    <cellStyle name="40% - Accent6 7 18" xfId="15974"/>
    <cellStyle name="40% - Accent6 7 2" xfId="4683"/>
    <cellStyle name="40% - Accent6 7 2 2" xfId="16003"/>
    <cellStyle name="40% - Accent6 7 2 2 2" xfId="16004"/>
    <cellStyle name="40% - Accent6 7 2 3" xfId="16005"/>
    <cellStyle name="40% - Accent6 7 2 3 2" xfId="16006"/>
    <cellStyle name="40% - Accent6 7 2 4" xfId="16007"/>
    <cellStyle name="40% - Accent6 7 2 5" xfId="16002"/>
    <cellStyle name="40% - Accent6 7 3" xfId="16008"/>
    <cellStyle name="40% - Accent6 7 3 2" xfId="16009"/>
    <cellStyle name="40% - Accent6 7 3 2 2" xfId="16010"/>
    <cellStyle name="40% - Accent6 7 3 3" xfId="16011"/>
    <cellStyle name="40% - Accent6 7 3 3 2" xfId="16012"/>
    <cellStyle name="40% - Accent6 7 3 4" xfId="16013"/>
    <cellStyle name="40% - Accent6 7 4" xfId="16014"/>
    <cellStyle name="40% - Accent6 7 4 2" xfId="16015"/>
    <cellStyle name="40% - Accent6 7 4 2 2" xfId="16016"/>
    <cellStyle name="40% - Accent6 7 4 3" xfId="16017"/>
    <cellStyle name="40% - Accent6 7 4 3 2" xfId="16018"/>
    <cellStyle name="40% - Accent6 7 4 4" xfId="16019"/>
    <cellStyle name="40% - Accent6 7 5" xfId="16020"/>
    <cellStyle name="40% - Accent6 7 5 2" xfId="16021"/>
    <cellStyle name="40% - Accent6 7 5 2 2" xfId="16022"/>
    <cellStyle name="40% - Accent6 7 5 3" xfId="16023"/>
    <cellStyle name="40% - Accent6 7 5 3 2" xfId="16024"/>
    <cellStyle name="40% - Accent6 7 5 4" xfId="16025"/>
    <cellStyle name="40% - Accent6 7 6" xfId="16026"/>
    <cellStyle name="40% - Accent6 7 6 2" xfId="16027"/>
    <cellStyle name="40% - Accent6 7 6 2 2" xfId="16028"/>
    <cellStyle name="40% - Accent6 7 6 3" xfId="16029"/>
    <cellStyle name="40% - Accent6 7 6 3 2" xfId="16030"/>
    <cellStyle name="40% - Accent6 7 6 4" xfId="16031"/>
    <cellStyle name="40% - Accent6 7 7" xfId="16032"/>
    <cellStyle name="40% - Accent6 7 7 2" xfId="16033"/>
    <cellStyle name="40% - Accent6 7 7 2 2" xfId="16034"/>
    <cellStyle name="40% - Accent6 7 7 3" xfId="16035"/>
    <cellStyle name="40% - Accent6 7 7 3 2" xfId="16036"/>
    <cellStyle name="40% - Accent6 7 7 4" xfId="16037"/>
    <cellStyle name="40% - Accent6 7 8" xfId="16038"/>
    <cellStyle name="40% - Accent6 7 8 2" xfId="16039"/>
    <cellStyle name="40% - Accent6 7 8 2 2" xfId="16040"/>
    <cellStyle name="40% - Accent6 7 8 3" xfId="16041"/>
    <cellStyle name="40% - Accent6 7 8 3 2" xfId="16042"/>
    <cellStyle name="40% - Accent6 7 8 4" xfId="16043"/>
    <cellStyle name="40% - Accent6 7 9" xfId="16044"/>
    <cellStyle name="40% - Accent6 7 9 2" xfId="16045"/>
    <cellStyle name="40% - Accent6 7 9 2 2" xfId="16046"/>
    <cellStyle name="40% - Accent6 7 9 3" xfId="16047"/>
    <cellStyle name="40% - Accent6 7 9 3 2" xfId="16048"/>
    <cellStyle name="40% - Accent6 7 9 4" xfId="16049"/>
    <cellStyle name="40% - Accent6 8" xfId="553"/>
    <cellStyle name="40% - Accent6 8 10" xfId="16050"/>
    <cellStyle name="40% - Accent6 8 11" xfId="24856"/>
    <cellStyle name="40% - Accent6 8 12" xfId="26725"/>
    <cellStyle name="40% - Accent6 8 2" xfId="1383"/>
    <cellStyle name="40% - Accent6 8 2 10" xfId="24915"/>
    <cellStyle name="40% - Accent6 8 2 11" xfId="26726"/>
    <cellStyle name="40% - Accent6 8 2 2" xfId="4183"/>
    <cellStyle name="40% - Accent6 8 2 2 2" xfId="5446"/>
    <cellStyle name="40% - Accent6 8 2 2 2 2" xfId="6487"/>
    <cellStyle name="40% - Accent6 8 2 2 2 2 2" xfId="16054"/>
    <cellStyle name="40% - Accent6 8 2 2 2 2 3" xfId="26729"/>
    <cellStyle name="40% - Accent6 8 2 2 2 3" xfId="16053"/>
    <cellStyle name="40% - Accent6 8 2 2 2 4" xfId="26728"/>
    <cellStyle name="40% - Accent6 8 2 2 3" xfId="5756"/>
    <cellStyle name="40% - Accent6 8 2 2 3 2" xfId="6488"/>
    <cellStyle name="40% - Accent6 8 2 2 3 2 2" xfId="26731"/>
    <cellStyle name="40% - Accent6 8 2 2 3 3" xfId="16055"/>
    <cellStyle name="40% - Accent6 8 2 2 3 4" xfId="26730"/>
    <cellStyle name="40% - Accent6 8 2 2 4" xfId="4686"/>
    <cellStyle name="40% - Accent6 8 2 2 4 2" xfId="6489"/>
    <cellStyle name="40% - Accent6 8 2 2 4 2 2" xfId="26733"/>
    <cellStyle name="40% - Accent6 8 2 2 4 3" xfId="26732"/>
    <cellStyle name="40% - Accent6 8 2 2 5" xfId="6486"/>
    <cellStyle name="40% - Accent6 8 2 2 5 2" xfId="26734"/>
    <cellStyle name="40% - Accent6 8 2 2 6" xfId="16052"/>
    <cellStyle name="40% - Accent6 8 2 2 7" xfId="25035"/>
    <cellStyle name="40% - Accent6 8 2 2 8" xfId="26727"/>
    <cellStyle name="40% - Accent6 8 2 3" xfId="5445"/>
    <cellStyle name="40% - Accent6 8 2 3 2" xfId="6490"/>
    <cellStyle name="40% - Accent6 8 2 3 2 2" xfId="16057"/>
    <cellStyle name="40% - Accent6 8 2 3 2 3" xfId="26736"/>
    <cellStyle name="40% - Accent6 8 2 3 3" xfId="16056"/>
    <cellStyle name="40% - Accent6 8 2 3 4" xfId="26735"/>
    <cellStyle name="40% - Accent6 8 2 4" xfId="5755"/>
    <cellStyle name="40% - Accent6 8 2 4 2" xfId="6491"/>
    <cellStyle name="40% - Accent6 8 2 4 2 2" xfId="16059"/>
    <cellStyle name="40% - Accent6 8 2 4 2 3" xfId="26738"/>
    <cellStyle name="40% - Accent6 8 2 4 3" xfId="16058"/>
    <cellStyle name="40% - Accent6 8 2 4 4" xfId="26737"/>
    <cellStyle name="40% - Accent6 8 2 5" xfId="4685"/>
    <cellStyle name="40% - Accent6 8 2 5 2" xfId="6492"/>
    <cellStyle name="40% - Accent6 8 2 5 2 2" xfId="16062"/>
    <cellStyle name="40% - Accent6 8 2 5 2 3" xfId="16061"/>
    <cellStyle name="40% - Accent6 8 2 5 2 4" xfId="26740"/>
    <cellStyle name="40% - Accent6 8 2 5 3" xfId="16063"/>
    <cellStyle name="40% - Accent6 8 2 5 3 2" xfId="16064"/>
    <cellStyle name="40% - Accent6 8 2 5 4" xfId="16065"/>
    <cellStyle name="40% - Accent6 8 2 5 5" xfId="16060"/>
    <cellStyle name="40% - Accent6 8 2 5 6" xfId="26739"/>
    <cellStyle name="40% - Accent6 8 2 6" xfId="6485"/>
    <cellStyle name="40% - Accent6 8 2 6 2" xfId="16067"/>
    <cellStyle name="40% - Accent6 8 2 6 3" xfId="16066"/>
    <cellStyle name="40% - Accent6 8 2 6 4" xfId="26741"/>
    <cellStyle name="40% - Accent6 8 2 7" xfId="16068"/>
    <cellStyle name="40% - Accent6 8 2 7 2" xfId="16069"/>
    <cellStyle name="40% - Accent6 8 2 8" xfId="16070"/>
    <cellStyle name="40% - Accent6 8 2 9" xfId="16051"/>
    <cellStyle name="40% - Accent6 8 3" xfId="3842"/>
    <cellStyle name="40% - Accent6 8 3 2" xfId="5447"/>
    <cellStyle name="40% - Accent6 8 3 2 2" xfId="6494"/>
    <cellStyle name="40% - Accent6 8 3 2 2 2" xfId="16073"/>
    <cellStyle name="40% - Accent6 8 3 2 2 3" xfId="26744"/>
    <cellStyle name="40% - Accent6 8 3 2 3" xfId="16072"/>
    <cellStyle name="40% - Accent6 8 3 2 4" xfId="26743"/>
    <cellStyle name="40% - Accent6 8 3 3" xfId="5757"/>
    <cellStyle name="40% - Accent6 8 3 3 2" xfId="6495"/>
    <cellStyle name="40% - Accent6 8 3 3 2 2" xfId="26746"/>
    <cellStyle name="40% - Accent6 8 3 3 3" xfId="16074"/>
    <cellStyle name="40% - Accent6 8 3 3 4" xfId="26745"/>
    <cellStyle name="40% - Accent6 8 3 4" xfId="4687"/>
    <cellStyle name="40% - Accent6 8 3 4 2" xfId="6496"/>
    <cellStyle name="40% - Accent6 8 3 4 2 2" xfId="26748"/>
    <cellStyle name="40% - Accent6 8 3 4 3" xfId="26747"/>
    <cellStyle name="40% - Accent6 8 3 5" xfId="6493"/>
    <cellStyle name="40% - Accent6 8 3 5 2" xfId="26749"/>
    <cellStyle name="40% - Accent6 8 3 6" xfId="16071"/>
    <cellStyle name="40% - Accent6 8 3 7" xfId="24978"/>
    <cellStyle name="40% - Accent6 8 3 8" xfId="26742"/>
    <cellStyle name="40% - Accent6 8 4" xfId="5444"/>
    <cellStyle name="40% - Accent6 8 4 2" xfId="6497"/>
    <cellStyle name="40% - Accent6 8 4 2 2" xfId="16076"/>
    <cellStyle name="40% - Accent6 8 4 2 3" xfId="26751"/>
    <cellStyle name="40% - Accent6 8 4 3" xfId="16075"/>
    <cellStyle name="40% - Accent6 8 4 4" xfId="26750"/>
    <cellStyle name="40% - Accent6 8 5" xfId="5754"/>
    <cellStyle name="40% - Accent6 8 5 2" xfId="6498"/>
    <cellStyle name="40% - Accent6 8 5 2 2" xfId="16078"/>
    <cellStyle name="40% - Accent6 8 5 2 3" xfId="26753"/>
    <cellStyle name="40% - Accent6 8 5 3" xfId="16077"/>
    <cellStyle name="40% - Accent6 8 5 4" xfId="26752"/>
    <cellStyle name="40% - Accent6 8 6" xfId="4684"/>
    <cellStyle name="40% - Accent6 8 6 2" xfId="6499"/>
    <cellStyle name="40% - Accent6 8 6 2 2" xfId="16081"/>
    <cellStyle name="40% - Accent6 8 6 2 3" xfId="16080"/>
    <cellStyle name="40% - Accent6 8 6 2 4" xfId="26755"/>
    <cellStyle name="40% - Accent6 8 6 3" xfId="16082"/>
    <cellStyle name="40% - Accent6 8 6 3 2" xfId="16083"/>
    <cellStyle name="40% - Accent6 8 6 4" xfId="16084"/>
    <cellStyle name="40% - Accent6 8 6 5" xfId="16079"/>
    <cellStyle name="40% - Accent6 8 6 6" xfId="26754"/>
    <cellStyle name="40% - Accent6 8 7" xfId="6484"/>
    <cellStyle name="40% - Accent6 8 7 2" xfId="16086"/>
    <cellStyle name="40% - Accent6 8 7 3" xfId="16085"/>
    <cellStyle name="40% - Accent6 8 7 4" xfId="26756"/>
    <cellStyle name="40% - Accent6 8 8" xfId="16087"/>
    <cellStyle name="40% - Accent6 8 8 2" xfId="16088"/>
    <cellStyle name="40% - Accent6 8 9" xfId="16089"/>
    <cellStyle name="40% - Accent6 9" xfId="554"/>
    <cellStyle name="40% - Accent6 9 2" xfId="4688"/>
    <cellStyle name="40% - Accent6 9 2 2" xfId="16092"/>
    <cellStyle name="40% - Accent6 9 2 2 2" xfId="16093"/>
    <cellStyle name="40% - Accent6 9 2 3" xfId="16094"/>
    <cellStyle name="40% - Accent6 9 2 3 2" xfId="16095"/>
    <cellStyle name="40% - Accent6 9 2 4" xfId="16096"/>
    <cellStyle name="40% - Accent6 9 2 5" xfId="16091"/>
    <cellStyle name="40% - Accent6 9 3" xfId="16097"/>
    <cellStyle name="40% - Accent6 9 3 2" xfId="16098"/>
    <cellStyle name="40% - Accent6 9 4" xfId="16099"/>
    <cellStyle name="40% - Accent6 9 4 2" xfId="16100"/>
    <cellStyle name="40% - Accent6 9 5" xfId="16101"/>
    <cellStyle name="40% - Accent6 9 5 2" xfId="16102"/>
    <cellStyle name="40% - Accent6 9 6" xfId="16103"/>
    <cellStyle name="40% - Accent6 9 6 2" xfId="16104"/>
    <cellStyle name="40% - Accent6 9 7" xfId="16105"/>
    <cellStyle name="40% - Accent6 9 8" xfId="16090"/>
    <cellStyle name="60% - Accent1 10" xfId="688"/>
    <cellStyle name="60% - Accent1 10 2" xfId="16108"/>
    <cellStyle name="60% - Accent1 10 3" xfId="16107"/>
    <cellStyle name="60% - Accent1 11" xfId="689"/>
    <cellStyle name="60% - Accent1 11 2" xfId="16110"/>
    <cellStyle name="60% - Accent1 11 3" xfId="16109"/>
    <cellStyle name="60% - Accent1 12" xfId="834"/>
    <cellStyle name="60% - Accent1 12 2" xfId="16111"/>
    <cellStyle name="60% - Accent1 13" xfId="835"/>
    <cellStyle name="60% - Accent1 13 2" xfId="16106"/>
    <cellStyle name="60% - Accent1 14" xfId="945"/>
    <cellStyle name="60% - Accent1 2" xfId="80"/>
    <cellStyle name="60% - Accent1 2 10" xfId="1679"/>
    <cellStyle name="60% - Accent1 2 10 2" xfId="16114"/>
    <cellStyle name="60% - Accent1 2 10 3" xfId="16113"/>
    <cellStyle name="60% - Accent1 2 11" xfId="2014"/>
    <cellStyle name="60% - Accent1 2 11 2" xfId="16116"/>
    <cellStyle name="60% - Accent1 2 11 3" xfId="16115"/>
    <cellStyle name="60% - Accent1 2 12" xfId="2388"/>
    <cellStyle name="60% - Accent1 2 12 2" xfId="16118"/>
    <cellStyle name="60% - Accent1 2 12 3" xfId="16117"/>
    <cellStyle name="60% - Accent1 2 13" xfId="2761"/>
    <cellStyle name="60% - Accent1 2 13 2" xfId="16120"/>
    <cellStyle name="60% - Accent1 2 13 3" xfId="16119"/>
    <cellStyle name="60% - Accent1 2 14" xfId="3135"/>
    <cellStyle name="60% - Accent1 2 14 2" xfId="16122"/>
    <cellStyle name="60% - Accent1 2 14 3" xfId="16121"/>
    <cellStyle name="60% - Accent1 2 15" xfId="3506"/>
    <cellStyle name="60% - Accent1 2 15 2" xfId="16124"/>
    <cellStyle name="60% - Accent1 2 15 3" xfId="16123"/>
    <cellStyle name="60% - Accent1 2 16" xfId="3644"/>
    <cellStyle name="60% - Accent1 2 16 2" xfId="16126"/>
    <cellStyle name="60% - Accent1 2 16 3" xfId="16125"/>
    <cellStyle name="60% - Accent1 2 17" xfId="16127"/>
    <cellStyle name="60% - Accent1 2 17 2" xfId="16128"/>
    <cellStyle name="60% - Accent1 2 18" xfId="16129"/>
    <cellStyle name="60% - Accent1 2 19" xfId="16112"/>
    <cellStyle name="60% - Accent1 2 2" xfId="124"/>
    <cellStyle name="60% - Accent1 2 2 2" xfId="173"/>
    <cellStyle name="60% - Accent1 2 2 2 2" xfId="16132"/>
    <cellStyle name="60% - Accent1 2 2 2 3" xfId="16131"/>
    <cellStyle name="60% - Accent1 2 2 3" xfId="337"/>
    <cellStyle name="60% - Accent1 2 2 3 2" xfId="16134"/>
    <cellStyle name="60% - Accent1 2 2 3 3" xfId="16133"/>
    <cellStyle name="60% - Accent1 2 2 4" xfId="2159"/>
    <cellStyle name="60% - Accent1 2 2 4 2" xfId="16136"/>
    <cellStyle name="60% - Accent1 2 2 4 3" xfId="16135"/>
    <cellStyle name="60% - Accent1 2 2 5" xfId="2533"/>
    <cellStyle name="60% - Accent1 2 2 5 2" xfId="16138"/>
    <cellStyle name="60% - Accent1 2 2 5 3" xfId="16137"/>
    <cellStyle name="60% - Accent1 2 2 6" xfId="2905"/>
    <cellStyle name="60% - Accent1 2 2 6 2" xfId="16140"/>
    <cellStyle name="60% - Accent1 2 2 6 3" xfId="16139"/>
    <cellStyle name="60% - Accent1 2 2 7" xfId="3277"/>
    <cellStyle name="60% - Accent1 2 2 7 2" xfId="16142"/>
    <cellStyle name="60% - Accent1 2 2 7 3" xfId="16141"/>
    <cellStyle name="60% - Accent1 2 2 8" xfId="16143"/>
    <cellStyle name="60% - Accent1 2 2 9" xfId="16130"/>
    <cellStyle name="60% - Accent1 2 20" xfId="24478"/>
    <cellStyle name="60% - Accent1 2 3" xfId="289"/>
    <cellStyle name="60% - Accent1 2 3 2" xfId="1335"/>
    <cellStyle name="60% - Accent1 2 3 2 2" xfId="16145"/>
    <cellStyle name="60% - Accent1 2 3 3" xfId="16144"/>
    <cellStyle name="60% - Accent1 2 4" xfId="406"/>
    <cellStyle name="60% - Accent1 2 4 2" xfId="16147"/>
    <cellStyle name="60% - Accent1 2 4 3" xfId="16146"/>
    <cellStyle name="60% - Accent1 2 5" xfId="555"/>
    <cellStyle name="60% - Accent1 2 5 2" xfId="16149"/>
    <cellStyle name="60% - Accent1 2 5 3" xfId="16148"/>
    <cellStyle name="60% - Accent1 2 6" xfId="690"/>
    <cellStyle name="60% - Accent1 2 6 2" xfId="16151"/>
    <cellStyle name="60% - Accent1 2 6 3" xfId="16150"/>
    <cellStyle name="60% - Accent1 2 7" xfId="691"/>
    <cellStyle name="60% - Accent1 2 7 2" xfId="16153"/>
    <cellStyle name="60% - Accent1 2 7 3" xfId="16152"/>
    <cellStyle name="60% - Accent1 2 8" xfId="836"/>
    <cellStyle name="60% - Accent1 2 8 2" xfId="1408"/>
    <cellStyle name="60% - Accent1 2 8 2 2" xfId="16155"/>
    <cellStyle name="60% - Accent1 2 8 3" xfId="16154"/>
    <cellStyle name="60% - Accent1 2 9" xfId="946"/>
    <cellStyle name="60% - Accent1 2 9 2" xfId="1437"/>
    <cellStyle name="60% - Accent1 2 9 2 2" xfId="16157"/>
    <cellStyle name="60% - Accent1 2 9 3" xfId="16156"/>
    <cellStyle name="60% - Accent1 3" xfId="214"/>
    <cellStyle name="60% - Accent1 3 10" xfId="3687"/>
    <cellStyle name="60% - Accent1 3 10 2" xfId="16160"/>
    <cellStyle name="60% - Accent1 3 10 3" xfId="16159"/>
    <cellStyle name="60% - Accent1 3 11" xfId="16161"/>
    <cellStyle name="60% - Accent1 3 11 2" xfId="16162"/>
    <cellStyle name="60% - Accent1 3 12" xfId="16163"/>
    <cellStyle name="60% - Accent1 3 13" xfId="16158"/>
    <cellStyle name="60% - Accent1 3 2" xfId="1460"/>
    <cellStyle name="60% - Accent1 3 2 2" xfId="1825"/>
    <cellStyle name="60% - Accent1 3 2 2 2" xfId="16166"/>
    <cellStyle name="60% - Accent1 3 2 2 3" xfId="16165"/>
    <cellStyle name="60% - Accent1 3 2 3" xfId="2200"/>
    <cellStyle name="60% - Accent1 3 2 3 2" xfId="16168"/>
    <cellStyle name="60% - Accent1 3 2 3 3" xfId="16167"/>
    <cellStyle name="60% - Accent1 3 2 4" xfId="2574"/>
    <cellStyle name="60% - Accent1 3 2 4 2" xfId="16170"/>
    <cellStyle name="60% - Accent1 3 2 4 3" xfId="16169"/>
    <cellStyle name="60% - Accent1 3 2 5" xfId="2946"/>
    <cellStyle name="60% - Accent1 3 2 5 2" xfId="16172"/>
    <cellStyle name="60% - Accent1 3 2 5 3" xfId="16171"/>
    <cellStyle name="60% - Accent1 3 2 6" xfId="3318"/>
    <cellStyle name="60% - Accent1 3 2 6 2" xfId="16174"/>
    <cellStyle name="60% - Accent1 3 2 6 3" xfId="16173"/>
    <cellStyle name="60% - Accent1 3 2 7" xfId="16175"/>
    <cellStyle name="60% - Accent1 3 2 8" xfId="16164"/>
    <cellStyle name="60% - Accent1 3 3" xfId="1587"/>
    <cellStyle name="60% - Accent1 3 3 2" xfId="1902"/>
    <cellStyle name="60% - Accent1 3 3 2 2" xfId="16178"/>
    <cellStyle name="60% - Accent1 3 3 2 3" xfId="16177"/>
    <cellStyle name="60% - Accent1 3 3 3" xfId="2277"/>
    <cellStyle name="60% - Accent1 3 3 3 2" xfId="16180"/>
    <cellStyle name="60% - Accent1 3 3 3 3" xfId="16179"/>
    <cellStyle name="60% - Accent1 3 3 4" xfId="2650"/>
    <cellStyle name="60% - Accent1 3 3 4 2" xfId="16182"/>
    <cellStyle name="60% - Accent1 3 3 4 3" xfId="16181"/>
    <cellStyle name="60% - Accent1 3 3 5" xfId="3023"/>
    <cellStyle name="60% - Accent1 3 3 5 2" xfId="16184"/>
    <cellStyle name="60% - Accent1 3 3 5 3" xfId="16183"/>
    <cellStyle name="60% - Accent1 3 3 6" xfId="3394"/>
    <cellStyle name="60% - Accent1 3 3 6 2" xfId="16186"/>
    <cellStyle name="60% - Accent1 3 3 6 3" xfId="16185"/>
    <cellStyle name="60% - Accent1 3 3 7" xfId="16187"/>
    <cellStyle name="60% - Accent1 3 3 8" xfId="16176"/>
    <cellStyle name="60% - Accent1 3 4" xfId="1724"/>
    <cellStyle name="60% - Accent1 3 4 2" xfId="1946"/>
    <cellStyle name="60% - Accent1 3 4 2 2" xfId="16190"/>
    <cellStyle name="60% - Accent1 3 4 2 3" xfId="16189"/>
    <cellStyle name="60% - Accent1 3 4 3" xfId="2321"/>
    <cellStyle name="60% - Accent1 3 4 3 2" xfId="16192"/>
    <cellStyle name="60% - Accent1 3 4 3 3" xfId="16191"/>
    <cellStyle name="60% - Accent1 3 4 4" xfId="2694"/>
    <cellStyle name="60% - Accent1 3 4 4 2" xfId="16194"/>
    <cellStyle name="60% - Accent1 3 4 4 3" xfId="16193"/>
    <cellStyle name="60% - Accent1 3 4 5" xfId="3067"/>
    <cellStyle name="60% - Accent1 3 4 5 2" xfId="16196"/>
    <cellStyle name="60% - Accent1 3 4 5 3" xfId="16195"/>
    <cellStyle name="60% - Accent1 3 4 6" xfId="3438"/>
    <cellStyle name="60% - Accent1 3 4 6 2" xfId="16198"/>
    <cellStyle name="60% - Accent1 3 4 6 3" xfId="16197"/>
    <cellStyle name="60% - Accent1 3 4 7" xfId="16199"/>
    <cellStyle name="60% - Accent1 3 4 8" xfId="16188"/>
    <cellStyle name="60% - Accent1 3 5" xfId="2059"/>
    <cellStyle name="60% - Accent1 3 5 2" xfId="16201"/>
    <cellStyle name="60% - Accent1 3 5 3" xfId="16200"/>
    <cellStyle name="60% - Accent1 3 6" xfId="2433"/>
    <cellStyle name="60% - Accent1 3 6 2" xfId="16203"/>
    <cellStyle name="60% - Accent1 3 6 3" xfId="16202"/>
    <cellStyle name="60% - Accent1 3 7" xfId="2805"/>
    <cellStyle name="60% - Accent1 3 7 2" xfId="16205"/>
    <cellStyle name="60% - Accent1 3 7 3" xfId="16204"/>
    <cellStyle name="60% - Accent1 3 8" xfId="3176"/>
    <cellStyle name="60% - Accent1 3 8 2" xfId="16207"/>
    <cellStyle name="60% - Accent1 3 8 3" xfId="16206"/>
    <cellStyle name="60% - Accent1 3 9" xfId="3551"/>
    <cellStyle name="60% - Accent1 3 9 2" xfId="16209"/>
    <cellStyle name="60% - Accent1 3 9 3" xfId="16208"/>
    <cellStyle name="60% - Accent1 4" xfId="247"/>
    <cellStyle name="60% - Accent1 4 10" xfId="3731"/>
    <cellStyle name="60% - Accent1 4 10 2" xfId="16212"/>
    <cellStyle name="60% - Accent1 4 10 3" xfId="16211"/>
    <cellStyle name="60% - Accent1 4 11" xfId="1296"/>
    <cellStyle name="60% - Accent1 4 11 2" xfId="16214"/>
    <cellStyle name="60% - Accent1 4 11 3" xfId="16213"/>
    <cellStyle name="60% - Accent1 4 12" xfId="16215"/>
    <cellStyle name="60% - Accent1 4 13" xfId="16210"/>
    <cellStyle name="60% - Accent1 4 2" xfId="1505"/>
    <cellStyle name="60% - Accent1 4 2 2" xfId="16217"/>
    <cellStyle name="60% - Accent1 4 2 3" xfId="16216"/>
    <cellStyle name="60% - Accent1 4 3" xfId="1630"/>
    <cellStyle name="60% - Accent1 4 3 2" xfId="16219"/>
    <cellStyle name="60% - Accent1 4 3 3" xfId="16218"/>
    <cellStyle name="60% - Accent1 4 4" xfId="1795"/>
    <cellStyle name="60% - Accent1 4 4 2" xfId="16221"/>
    <cellStyle name="60% - Accent1 4 4 3" xfId="16220"/>
    <cellStyle name="60% - Accent1 4 5" xfId="2131"/>
    <cellStyle name="60% - Accent1 4 5 2" xfId="16223"/>
    <cellStyle name="60% - Accent1 4 5 3" xfId="16222"/>
    <cellStyle name="60% - Accent1 4 6" xfId="2505"/>
    <cellStyle name="60% - Accent1 4 6 2" xfId="16225"/>
    <cellStyle name="60% - Accent1 4 6 3" xfId="16224"/>
    <cellStyle name="60% - Accent1 4 7" xfId="2877"/>
    <cellStyle name="60% - Accent1 4 7 2" xfId="16227"/>
    <cellStyle name="60% - Accent1 4 7 3" xfId="16226"/>
    <cellStyle name="60% - Accent1 4 8" xfId="3248"/>
    <cellStyle name="60% - Accent1 4 8 2" xfId="16229"/>
    <cellStyle name="60% - Accent1 4 8 3" xfId="16228"/>
    <cellStyle name="60% - Accent1 4 9" xfId="3594"/>
    <cellStyle name="60% - Accent1 4 9 2" xfId="16231"/>
    <cellStyle name="60% - Accent1 4 9 3" xfId="16230"/>
    <cellStyle name="60% - Accent1 5" xfId="407"/>
    <cellStyle name="60% - Accent1 5 2" xfId="1769"/>
    <cellStyle name="60% - Accent1 5 2 2" xfId="16234"/>
    <cellStyle name="60% - Accent1 5 2 3" xfId="16233"/>
    <cellStyle name="60% - Accent1 5 3" xfId="2104"/>
    <cellStyle name="60% - Accent1 5 3 2" xfId="16236"/>
    <cellStyle name="60% - Accent1 5 3 3" xfId="16235"/>
    <cellStyle name="60% - Accent1 5 4" xfId="2478"/>
    <cellStyle name="60% - Accent1 5 4 2" xfId="16238"/>
    <cellStyle name="60% - Accent1 5 4 3" xfId="16237"/>
    <cellStyle name="60% - Accent1 5 5" xfId="2850"/>
    <cellStyle name="60% - Accent1 5 5 2" xfId="16240"/>
    <cellStyle name="60% - Accent1 5 5 3" xfId="16239"/>
    <cellStyle name="60% - Accent1 5 6" xfId="3221"/>
    <cellStyle name="60% - Accent1 5 6 2" xfId="16242"/>
    <cellStyle name="60% - Accent1 5 6 3" xfId="16241"/>
    <cellStyle name="60% - Accent1 5 7" xfId="16243"/>
    <cellStyle name="60% - Accent1 5 7 2" xfId="16244"/>
    <cellStyle name="60% - Accent1 5 8" xfId="16245"/>
    <cellStyle name="60% - Accent1 5 9" xfId="16232"/>
    <cellStyle name="60% - Accent1 6" xfId="408"/>
    <cellStyle name="60% - Accent1 6 10" xfId="16246"/>
    <cellStyle name="60% - Accent1 6 2" xfId="1981"/>
    <cellStyle name="60% - Accent1 6 2 2" xfId="16248"/>
    <cellStyle name="60% - Accent1 6 2 3" xfId="16247"/>
    <cellStyle name="60% - Accent1 6 3" xfId="2356"/>
    <cellStyle name="60% - Accent1 6 3 2" xfId="16250"/>
    <cellStyle name="60% - Accent1 6 3 3" xfId="16249"/>
    <cellStyle name="60% - Accent1 6 4" xfId="2729"/>
    <cellStyle name="60% - Accent1 6 4 2" xfId="16252"/>
    <cellStyle name="60% - Accent1 6 4 3" xfId="16251"/>
    <cellStyle name="60% - Accent1 6 5" xfId="3102"/>
    <cellStyle name="60% - Accent1 6 5 2" xfId="16254"/>
    <cellStyle name="60% - Accent1 6 5 3" xfId="16253"/>
    <cellStyle name="60% - Accent1 6 6" xfId="3473"/>
    <cellStyle name="60% - Accent1 6 6 2" xfId="16256"/>
    <cellStyle name="60% - Accent1 6 6 3" xfId="16255"/>
    <cellStyle name="60% - Accent1 6 7" xfId="3779"/>
    <cellStyle name="60% - Accent1 6 7 2" xfId="16258"/>
    <cellStyle name="60% - Accent1 6 7 3" xfId="16257"/>
    <cellStyle name="60% - Accent1 6 8" xfId="16259"/>
    <cellStyle name="60% - Accent1 6 8 2" xfId="16260"/>
    <cellStyle name="60% - Accent1 6 9" xfId="16261"/>
    <cellStyle name="60% - Accent1 7" xfId="409"/>
    <cellStyle name="60% - Accent1 7 2" xfId="16263"/>
    <cellStyle name="60% - Accent1 7 3" xfId="16262"/>
    <cellStyle name="60% - Accent1 8" xfId="556"/>
    <cellStyle name="60% - Accent1 8 2" xfId="16265"/>
    <cellStyle name="60% - Accent1 8 3" xfId="16264"/>
    <cellStyle name="60% - Accent1 9" xfId="557"/>
    <cellStyle name="60% - Accent1 9 2" xfId="16267"/>
    <cellStyle name="60% - Accent1 9 3" xfId="16266"/>
    <cellStyle name="60% - Accent2 10" xfId="692"/>
    <cellStyle name="60% - Accent2 10 2" xfId="16270"/>
    <cellStyle name="60% - Accent2 10 3" xfId="16269"/>
    <cellStyle name="60% - Accent2 11" xfId="693"/>
    <cellStyle name="60% - Accent2 11 2" xfId="16272"/>
    <cellStyle name="60% - Accent2 11 3" xfId="16271"/>
    <cellStyle name="60% - Accent2 12" xfId="837"/>
    <cellStyle name="60% - Accent2 12 2" xfId="16273"/>
    <cellStyle name="60% - Accent2 13" xfId="838"/>
    <cellStyle name="60% - Accent2 13 2" xfId="16268"/>
    <cellStyle name="60% - Accent2 14" xfId="947"/>
    <cellStyle name="60% - Accent2 2" xfId="81"/>
    <cellStyle name="60% - Accent2 2 10" xfId="1680"/>
    <cellStyle name="60% - Accent2 2 10 2" xfId="16276"/>
    <cellStyle name="60% - Accent2 2 10 3" xfId="16275"/>
    <cellStyle name="60% - Accent2 2 11" xfId="2015"/>
    <cellStyle name="60% - Accent2 2 11 2" xfId="16278"/>
    <cellStyle name="60% - Accent2 2 11 3" xfId="16277"/>
    <cellStyle name="60% - Accent2 2 12" xfId="2389"/>
    <cellStyle name="60% - Accent2 2 12 2" xfId="16280"/>
    <cellStyle name="60% - Accent2 2 12 3" xfId="16279"/>
    <cellStyle name="60% - Accent2 2 13" xfId="2762"/>
    <cellStyle name="60% - Accent2 2 13 2" xfId="16282"/>
    <cellStyle name="60% - Accent2 2 13 3" xfId="16281"/>
    <cellStyle name="60% - Accent2 2 14" xfId="3136"/>
    <cellStyle name="60% - Accent2 2 14 2" xfId="16284"/>
    <cellStyle name="60% - Accent2 2 14 3" xfId="16283"/>
    <cellStyle name="60% - Accent2 2 15" xfId="3507"/>
    <cellStyle name="60% - Accent2 2 15 2" xfId="16286"/>
    <cellStyle name="60% - Accent2 2 15 3" xfId="16285"/>
    <cellStyle name="60% - Accent2 2 16" xfId="3645"/>
    <cellStyle name="60% - Accent2 2 16 2" xfId="16288"/>
    <cellStyle name="60% - Accent2 2 16 3" xfId="16287"/>
    <cellStyle name="60% - Accent2 2 17" xfId="16289"/>
    <cellStyle name="60% - Accent2 2 17 2" xfId="16290"/>
    <cellStyle name="60% - Accent2 2 18" xfId="16291"/>
    <cellStyle name="60% - Accent2 2 19" xfId="16274"/>
    <cellStyle name="60% - Accent2 2 2" xfId="125"/>
    <cellStyle name="60% - Accent2 2 2 2" xfId="177"/>
    <cellStyle name="60% - Accent2 2 2 2 2" xfId="16294"/>
    <cellStyle name="60% - Accent2 2 2 2 3" xfId="16293"/>
    <cellStyle name="60% - Accent2 2 2 3" xfId="341"/>
    <cellStyle name="60% - Accent2 2 2 3 2" xfId="16296"/>
    <cellStyle name="60% - Accent2 2 2 3 3" xfId="16295"/>
    <cellStyle name="60% - Accent2 2 2 4" xfId="2163"/>
    <cellStyle name="60% - Accent2 2 2 4 2" xfId="16298"/>
    <cellStyle name="60% - Accent2 2 2 4 3" xfId="16297"/>
    <cellStyle name="60% - Accent2 2 2 5" xfId="2537"/>
    <cellStyle name="60% - Accent2 2 2 5 2" xfId="16300"/>
    <cellStyle name="60% - Accent2 2 2 5 3" xfId="16299"/>
    <cellStyle name="60% - Accent2 2 2 6" xfId="2909"/>
    <cellStyle name="60% - Accent2 2 2 6 2" xfId="16302"/>
    <cellStyle name="60% - Accent2 2 2 6 3" xfId="16301"/>
    <cellStyle name="60% - Accent2 2 2 7" xfId="3281"/>
    <cellStyle name="60% - Accent2 2 2 7 2" xfId="16304"/>
    <cellStyle name="60% - Accent2 2 2 7 3" xfId="16303"/>
    <cellStyle name="60% - Accent2 2 2 8" xfId="16305"/>
    <cellStyle name="60% - Accent2 2 2 9" xfId="16292"/>
    <cellStyle name="60% - Accent2 2 20" xfId="24479"/>
    <cellStyle name="60% - Accent2 2 3" xfId="290"/>
    <cellStyle name="60% - Accent2 2 3 2" xfId="1339"/>
    <cellStyle name="60% - Accent2 2 3 2 2" xfId="16307"/>
    <cellStyle name="60% - Accent2 2 3 3" xfId="16306"/>
    <cellStyle name="60% - Accent2 2 4" xfId="410"/>
    <cellStyle name="60% - Accent2 2 4 2" xfId="16309"/>
    <cellStyle name="60% - Accent2 2 4 3" xfId="16308"/>
    <cellStyle name="60% - Accent2 2 5" xfId="558"/>
    <cellStyle name="60% - Accent2 2 5 2" xfId="16311"/>
    <cellStyle name="60% - Accent2 2 5 3" xfId="16310"/>
    <cellStyle name="60% - Accent2 2 6" xfId="694"/>
    <cellStyle name="60% - Accent2 2 6 2" xfId="16313"/>
    <cellStyle name="60% - Accent2 2 6 3" xfId="16312"/>
    <cellStyle name="60% - Accent2 2 7" xfId="695"/>
    <cellStyle name="60% - Accent2 2 7 2" xfId="16315"/>
    <cellStyle name="60% - Accent2 2 7 3" xfId="16314"/>
    <cellStyle name="60% - Accent2 2 8" xfId="839"/>
    <cellStyle name="60% - Accent2 2 8 2" xfId="1409"/>
    <cellStyle name="60% - Accent2 2 8 2 2" xfId="16317"/>
    <cellStyle name="60% - Accent2 2 8 3" xfId="16316"/>
    <cellStyle name="60% - Accent2 2 9" xfId="948"/>
    <cellStyle name="60% - Accent2 2 9 2" xfId="1567"/>
    <cellStyle name="60% - Accent2 2 9 2 2" xfId="16319"/>
    <cellStyle name="60% - Accent2 2 9 3" xfId="16318"/>
    <cellStyle name="60% - Accent2 3" xfId="218"/>
    <cellStyle name="60% - Accent2 3 10" xfId="3688"/>
    <cellStyle name="60% - Accent2 3 10 2" xfId="16322"/>
    <cellStyle name="60% - Accent2 3 10 3" xfId="16321"/>
    <cellStyle name="60% - Accent2 3 11" xfId="16323"/>
    <cellStyle name="60% - Accent2 3 11 2" xfId="16324"/>
    <cellStyle name="60% - Accent2 3 12" xfId="16325"/>
    <cellStyle name="60% - Accent2 3 13" xfId="16320"/>
    <cellStyle name="60% - Accent2 3 2" xfId="1461"/>
    <cellStyle name="60% - Accent2 3 2 2" xfId="1829"/>
    <cellStyle name="60% - Accent2 3 2 2 2" xfId="16328"/>
    <cellStyle name="60% - Accent2 3 2 2 3" xfId="16327"/>
    <cellStyle name="60% - Accent2 3 2 3" xfId="2204"/>
    <cellStyle name="60% - Accent2 3 2 3 2" xfId="16330"/>
    <cellStyle name="60% - Accent2 3 2 3 3" xfId="16329"/>
    <cellStyle name="60% - Accent2 3 2 4" xfId="2578"/>
    <cellStyle name="60% - Accent2 3 2 4 2" xfId="16332"/>
    <cellStyle name="60% - Accent2 3 2 4 3" xfId="16331"/>
    <cellStyle name="60% - Accent2 3 2 5" xfId="2950"/>
    <cellStyle name="60% - Accent2 3 2 5 2" xfId="16334"/>
    <cellStyle name="60% - Accent2 3 2 5 3" xfId="16333"/>
    <cellStyle name="60% - Accent2 3 2 6" xfId="3322"/>
    <cellStyle name="60% - Accent2 3 2 6 2" xfId="16336"/>
    <cellStyle name="60% - Accent2 3 2 6 3" xfId="16335"/>
    <cellStyle name="60% - Accent2 3 2 7" xfId="16337"/>
    <cellStyle name="60% - Accent2 3 2 8" xfId="16326"/>
    <cellStyle name="60% - Accent2 3 3" xfId="1588"/>
    <cellStyle name="60% - Accent2 3 3 2" xfId="1906"/>
    <cellStyle name="60% - Accent2 3 3 2 2" xfId="16340"/>
    <cellStyle name="60% - Accent2 3 3 2 3" xfId="16339"/>
    <cellStyle name="60% - Accent2 3 3 3" xfId="2281"/>
    <cellStyle name="60% - Accent2 3 3 3 2" xfId="16342"/>
    <cellStyle name="60% - Accent2 3 3 3 3" xfId="16341"/>
    <cellStyle name="60% - Accent2 3 3 4" xfId="2654"/>
    <cellStyle name="60% - Accent2 3 3 4 2" xfId="16344"/>
    <cellStyle name="60% - Accent2 3 3 4 3" xfId="16343"/>
    <cellStyle name="60% - Accent2 3 3 5" xfId="3027"/>
    <cellStyle name="60% - Accent2 3 3 5 2" xfId="16346"/>
    <cellStyle name="60% - Accent2 3 3 5 3" xfId="16345"/>
    <cellStyle name="60% - Accent2 3 3 6" xfId="3398"/>
    <cellStyle name="60% - Accent2 3 3 6 2" xfId="16348"/>
    <cellStyle name="60% - Accent2 3 3 6 3" xfId="16347"/>
    <cellStyle name="60% - Accent2 3 3 7" xfId="16349"/>
    <cellStyle name="60% - Accent2 3 3 8" xfId="16338"/>
    <cellStyle name="60% - Accent2 3 4" xfId="1725"/>
    <cellStyle name="60% - Accent2 3 4 2" xfId="1950"/>
    <cellStyle name="60% - Accent2 3 4 2 2" xfId="16352"/>
    <cellStyle name="60% - Accent2 3 4 2 3" xfId="16351"/>
    <cellStyle name="60% - Accent2 3 4 3" xfId="2325"/>
    <cellStyle name="60% - Accent2 3 4 3 2" xfId="16354"/>
    <cellStyle name="60% - Accent2 3 4 3 3" xfId="16353"/>
    <cellStyle name="60% - Accent2 3 4 4" xfId="2698"/>
    <cellStyle name="60% - Accent2 3 4 4 2" xfId="16356"/>
    <cellStyle name="60% - Accent2 3 4 4 3" xfId="16355"/>
    <cellStyle name="60% - Accent2 3 4 5" xfId="3071"/>
    <cellStyle name="60% - Accent2 3 4 5 2" xfId="16358"/>
    <cellStyle name="60% - Accent2 3 4 5 3" xfId="16357"/>
    <cellStyle name="60% - Accent2 3 4 6" xfId="3442"/>
    <cellStyle name="60% - Accent2 3 4 6 2" xfId="16360"/>
    <cellStyle name="60% - Accent2 3 4 6 3" xfId="16359"/>
    <cellStyle name="60% - Accent2 3 4 7" xfId="16361"/>
    <cellStyle name="60% - Accent2 3 4 8" xfId="16350"/>
    <cellStyle name="60% - Accent2 3 5" xfId="2060"/>
    <cellStyle name="60% - Accent2 3 5 2" xfId="16363"/>
    <cellStyle name="60% - Accent2 3 5 3" xfId="16362"/>
    <cellStyle name="60% - Accent2 3 6" xfId="2434"/>
    <cellStyle name="60% - Accent2 3 6 2" xfId="16365"/>
    <cellStyle name="60% - Accent2 3 6 3" xfId="16364"/>
    <cellStyle name="60% - Accent2 3 7" xfId="2806"/>
    <cellStyle name="60% - Accent2 3 7 2" xfId="16367"/>
    <cellStyle name="60% - Accent2 3 7 3" xfId="16366"/>
    <cellStyle name="60% - Accent2 3 8" xfId="3177"/>
    <cellStyle name="60% - Accent2 3 8 2" xfId="16369"/>
    <cellStyle name="60% - Accent2 3 8 3" xfId="16368"/>
    <cellStyle name="60% - Accent2 3 9" xfId="3552"/>
    <cellStyle name="60% - Accent2 3 9 2" xfId="16371"/>
    <cellStyle name="60% - Accent2 3 9 3" xfId="16370"/>
    <cellStyle name="60% - Accent2 4" xfId="248"/>
    <cellStyle name="60% - Accent2 4 10" xfId="3732"/>
    <cellStyle name="60% - Accent2 4 10 2" xfId="16374"/>
    <cellStyle name="60% - Accent2 4 10 3" xfId="16373"/>
    <cellStyle name="60% - Accent2 4 11" xfId="1300"/>
    <cellStyle name="60% - Accent2 4 11 2" xfId="16376"/>
    <cellStyle name="60% - Accent2 4 11 3" xfId="16375"/>
    <cellStyle name="60% - Accent2 4 12" xfId="16377"/>
    <cellStyle name="60% - Accent2 4 13" xfId="16372"/>
    <cellStyle name="60% - Accent2 4 2" xfId="1506"/>
    <cellStyle name="60% - Accent2 4 2 2" xfId="16379"/>
    <cellStyle name="60% - Accent2 4 2 3" xfId="16378"/>
    <cellStyle name="60% - Accent2 4 3" xfId="1631"/>
    <cellStyle name="60% - Accent2 4 3 2" xfId="16381"/>
    <cellStyle name="60% - Accent2 4 3 3" xfId="16380"/>
    <cellStyle name="60% - Accent2 4 4" xfId="1794"/>
    <cellStyle name="60% - Accent2 4 4 2" xfId="16383"/>
    <cellStyle name="60% - Accent2 4 4 3" xfId="16382"/>
    <cellStyle name="60% - Accent2 4 5" xfId="2130"/>
    <cellStyle name="60% - Accent2 4 5 2" xfId="16385"/>
    <cellStyle name="60% - Accent2 4 5 3" xfId="16384"/>
    <cellStyle name="60% - Accent2 4 6" xfId="2504"/>
    <cellStyle name="60% - Accent2 4 6 2" xfId="16387"/>
    <cellStyle name="60% - Accent2 4 6 3" xfId="16386"/>
    <cellStyle name="60% - Accent2 4 7" xfId="2876"/>
    <cellStyle name="60% - Accent2 4 7 2" xfId="16389"/>
    <cellStyle name="60% - Accent2 4 7 3" xfId="16388"/>
    <cellStyle name="60% - Accent2 4 8" xfId="3247"/>
    <cellStyle name="60% - Accent2 4 8 2" xfId="16391"/>
    <cellStyle name="60% - Accent2 4 8 3" xfId="16390"/>
    <cellStyle name="60% - Accent2 4 9" xfId="3595"/>
    <cellStyle name="60% - Accent2 4 9 2" xfId="16393"/>
    <cellStyle name="60% - Accent2 4 9 3" xfId="16392"/>
    <cellStyle name="60% - Accent2 5" xfId="411"/>
    <cellStyle name="60% - Accent2 5 2" xfId="1770"/>
    <cellStyle name="60% - Accent2 5 2 2" xfId="16396"/>
    <cellStyle name="60% - Accent2 5 2 3" xfId="16395"/>
    <cellStyle name="60% - Accent2 5 3" xfId="2105"/>
    <cellStyle name="60% - Accent2 5 3 2" xfId="16398"/>
    <cellStyle name="60% - Accent2 5 3 3" xfId="16397"/>
    <cellStyle name="60% - Accent2 5 4" xfId="2479"/>
    <cellStyle name="60% - Accent2 5 4 2" xfId="16400"/>
    <cellStyle name="60% - Accent2 5 4 3" xfId="16399"/>
    <cellStyle name="60% - Accent2 5 5" xfId="2851"/>
    <cellStyle name="60% - Accent2 5 5 2" xfId="16402"/>
    <cellStyle name="60% - Accent2 5 5 3" xfId="16401"/>
    <cellStyle name="60% - Accent2 5 6" xfId="3222"/>
    <cellStyle name="60% - Accent2 5 6 2" xfId="16404"/>
    <cellStyle name="60% - Accent2 5 6 3" xfId="16403"/>
    <cellStyle name="60% - Accent2 5 7" xfId="16405"/>
    <cellStyle name="60% - Accent2 5 7 2" xfId="16406"/>
    <cellStyle name="60% - Accent2 5 8" xfId="16407"/>
    <cellStyle name="60% - Accent2 5 9" xfId="16394"/>
    <cellStyle name="60% - Accent2 6" xfId="412"/>
    <cellStyle name="60% - Accent2 6 10" xfId="16408"/>
    <cellStyle name="60% - Accent2 6 2" xfId="1982"/>
    <cellStyle name="60% - Accent2 6 2 2" xfId="16410"/>
    <cellStyle name="60% - Accent2 6 2 3" xfId="16409"/>
    <cellStyle name="60% - Accent2 6 3" xfId="2357"/>
    <cellStyle name="60% - Accent2 6 3 2" xfId="16412"/>
    <cellStyle name="60% - Accent2 6 3 3" xfId="16411"/>
    <cellStyle name="60% - Accent2 6 4" xfId="2730"/>
    <cellStyle name="60% - Accent2 6 4 2" xfId="16414"/>
    <cellStyle name="60% - Accent2 6 4 3" xfId="16413"/>
    <cellStyle name="60% - Accent2 6 5" xfId="3103"/>
    <cellStyle name="60% - Accent2 6 5 2" xfId="16416"/>
    <cellStyle name="60% - Accent2 6 5 3" xfId="16415"/>
    <cellStyle name="60% - Accent2 6 6" xfId="3474"/>
    <cellStyle name="60% - Accent2 6 6 2" xfId="16418"/>
    <cellStyle name="60% - Accent2 6 6 3" xfId="16417"/>
    <cellStyle name="60% - Accent2 6 7" xfId="3780"/>
    <cellStyle name="60% - Accent2 6 7 2" xfId="16420"/>
    <cellStyle name="60% - Accent2 6 7 3" xfId="16419"/>
    <cellStyle name="60% - Accent2 6 8" xfId="16421"/>
    <cellStyle name="60% - Accent2 6 8 2" xfId="16422"/>
    <cellStyle name="60% - Accent2 6 9" xfId="16423"/>
    <cellStyle name="60% - Accent2 7" xfId="413"/>
    <cellStyle name="60% - Accent2 7 2" xfId="16425"/>
    <cellStyle name="60% - Accent2 7 3" xfId="16424"/>
    <cellStyle name="60% - Accent2 8" xfId="559"/>
    <cellStyle name="60% - Accent2 8 2" xfId="16427"/>
    <cellStyle name="60% - Accent2 8 3" xfId="16426"/>
    <cellStyle name="60% - Accent2 9" xfId="560"/>
    <cellStyle name="60% - Accent2 9 2" xfId="16429"/>
    <cellStyle name="60% - Accent2 9 3" xfId="16428"/>
    <cellStyle name="60% - Accent3 10" xfId="696"/>
    <cellStyle name="60% - Accent3 10 2" xfId="16432"/>
    <cellStyle name="60% - Accent3 10 3" xfId="16431"/>
    <cellStyle name="60% - Accent3 11" xfId="697"/>
    <cellStyle name="60% - Accent3 11 2" xfId="16434"/>
    <cellStyle name="60% - Accent3 11 3" xfId="16433"/>
    <cellStyle name="60% - Accent3 12" xfId="840"/>
    <cellStyle name="60% - Accent3 12 2" xfId="16435"/>
    <cellStyle name="60% - Accent3 13" xfId="841"/>
    <cellStyle name="60% - Accent3 13 2" xfId="16430"/>
    <cellStyle name="60% - Accent3 14" xfId="949"/>
    <cellStyle name="60% - Accent3 2" xfId="82"/>
    <cellStyle name="60% - Accent3 2 10" xfId="1681"/>
    <cellStyle name="60% - Accent3 2 10 2" xfId="16438"/>
    <cellStyle name="60% - Accent3 2 10 3" xfId="16437"/>
    <cellStyle name="60% - Accent3 2 11" xfId="2016"/>
    <cellStyle name="60% - Accent3 2 11 2" xfId="16440"/>
    <cellStyle name="60% - Accent3 2 11 3" xfId="16439"/>
    <cellStyle name="60% - Accent3 2 12" xfId="2390"/>
    <cellStyle name="60% - Accent3 2 12 2" xfId="16442"/>
    <cellStyle name="60% - Accent3 2 12 3" xfId="16441"/>
    <cellStyle name="60% - Accent3 2 13" xfId="2763"/>
    <cellStyle name="60% - Accent3 2 13 2" xfId="16444"/>
    <cellStyle name="60% - Accent3 2 13 3" xfId="16443"/>
    <cellStyle name="60% - Accent3 2 14" xfId="3137"/>
    <cellStyle name="60% - Accent3 2 14 2" xfId="16446"/>
    <cellStyle name="60% - Accent3 2 14 3" xfId="16445"/>
    <cellStyle name="60% - Accent3 2 15" xfId="3508"/>
    <cellStyle name="60% - Accent3 2 15 2" xfId="16448"/>
    <cellStyle name="60% - Accent3 2 15 3" xfId="16447"/>
    <cellStyle name="60% - Accent3 2 16" xfId="3646"/>
    <cellStyle name="60% - Accent3 2 16 2" xfId="16450"/>
    <cellStyle name="60% - Accent3 2 16 3" xfId="16449"/>
    <cellStyle name="60% - Accent3 2 17" xfId="16451"/>
    <cellStyle name="60% - Accent3 2 17 2" xfId="16452"/>
    <cellStyle name="60% - Accent3 2 18" xfId="16453"/>
    <cellStyle name="60% - Accent3 2 19" xfId="16436"/>
    <cellStyle name="60% - Accent3 2 2" xfId="126"/>
    <cellStyle name="60% - Accent3 2 2 2" xfId="181"/>
    <cellStyle name="60% - Accent3 2 2 2 2" xfId="16456"/>
    <cellStyle name="60% - Accent3 2 2 2 3" xfId="16455"/>
    <cellStyle name="60% - Accent3 2 2 3" xfId="345"/>
    <cellStyle name="60% - Accent3 2 2 3 2" xfId="16458"/>
    <cellStyle name="60% - Accent3 2 2 3 3" xfId="16457"/>
    <cellStyle name="60% - Accent3 2 2 4" xfId="2167"/>
    <cellStyle name="60% - Accent3 2 2 4 2" xfId="16460"/>
    <cellStyle name="60% - Accent3 2 2 4 3" xfId="16459"/>
    <cellStyle name="60% - Accent3 2 2 5" xfId="2541"/>
    <cellStyle name="60% - Accent3 2 2 5 2" xfId="16462"/>
    <cellStyle name="60% - Accent3 2 2 5 3" xfId="16461"/>
    <cellStyle name="60% - Accent3 2 2 6" xfId="2913"/>
    <cellStyle name="60% - Accent3 2 2 6 2" xfId="16464"/>
    <cellStyle name="60% - Accent3 2 2 6 3" xfId="16463"/>
    <cellStyle name="60% - Accent3 2 2 7" xfId="3285"/>
    <cellStyle name="60% - Accent3 2 2 7 2" xfId="16466"/>
    <cellStyle name="60% - Accent3 2 2 7 3" xfId="16465"/>
    <cellStyle name="60% - Accent3 2 2 8" xfId="16467"/>
    <cellStyle name="60% - Accent3 2 2 9" xfId="16454"/>
    <cellStyle name="60% - Accent3 2 20" xfId="24480"/>
    <cellStyle name="60% - Accent3 2 3" xfId="291"/>
    <cellStyle name="60% - Accent3 2 3 2" xfId="1343"/>
    <cellStyle name="60% - Accent3 2 3 2 2" xfId="16469"/>
    <cellStyle name="60% - Accent3 2 3 3" xfId="16468"/>
    <cellStyle name="60% - Accent3 2 4" xfId="414"/>
    <cellStyle name="60% - Accent3 2 4 2" xfId="16471"/>
    <cellStyle name="60% - Accent3 2 4 3" xfId="16470"/>
    <cellStyle name="60% - Accent3 2 5" xfId="561"/>
    <cellStyle name="60% - Accent3 2 5 2" xfId="16473"/>
    <cellStyle name="60% - Accent3 2 5 3" xfId="16472"/>
    <cellStyle name="60% - Accent3 2 6" xfId="698"/>
    <cellStyle name="60% - Accent3 2 6 2" xfId="16475"/>
    <cellStyle name="60% - Accent3 2 6 3" xfId="16474"/>
    <cellStyle name="60% - Accent3 2 7" xfId="699"/>
    <cellStyle name="60% - Accent3 2 7 2" xfId="16477"/>
    <cellStyle name="60% - Accent3 2 7 3" xfId="16476"/>
    <cellStyle name="60% - Accent3 2 8" xfId="842"/>
    <cellStyle name="60% - Accent3 2 8 2" xfId="1410"/>
    <cellStyle name="60% - Accent3 2 8 2 2" xfId="16479"/>
    <cellStyle name="60% - Accent3 2 8 3" xfId="16478"/>
    <cellStyle name="60% - Accent3 2 9" xfId="950"/>
    <cellStyle name="60% - Accent3 2 9 2" xfId="1566"/>
    <cellStyle name="60% - Accent3 2 9 2 2" xfId="16481"/>
    <cellStyle name="60% - Accent3 2 9 3" xfId="16480"/>
    <cellStyle name="60% - Accent3 3" xfId="222"/>
    <cellStyle name="60% - Accent3 3 10" xfId="3689"/>
    <cellStyle name="60% - Accent3 3 10 2" xfId="16484"/>
    <cellStyle name="60% - Accent3 3 10 3" xfId="16483"/>
    <cellStyle name="60% - Accent3 3 11" xfId="16485"/>
    <cellStyle name="60% - Accent3 3 11 2" xfId="16486"/>
    <cellStyle name="60% - Accent3 3 12" xfId="16487"/>
    <cellStyle name="60% - Accent3 3 13" xfId="16482"/>
    <cellStyle name="60% - Accent3 3 2" xfId="1462"/>
    <cellStyle name="60% - Accent3 3 2 2" xfId="1833"/>
    <cellStyle name="60% - Accent3 3 2 2 2" xfId="16490"/>
    <cellStyle name="60% - Accent3 3 2 2 3" xfId="16489"/>
    <cellStyle name="60% - Accent3 3 2 3" xfId="2208"/>
    <cellStyle name="60% - Accent3 3 2 3 2" xfId="16492"/>
    <cellStyle name="60% - Accent3 3 2 3 3" xfId="16491"/>
    <cellStyle name="60% - Accent3 3 2 4" xfId="2582"/>
    <cellStyle name="60% - Accent3 3 2 4 2" xfId="16494"/>
    <cellStyle name="60% - Accent3 3 2 4 3" xfId="16493"/>
    <cellStyle name="60% - Accent3 3 2 5" xfId="2954"/>
    <cellStyle name="60% - Accent3 3 2 5 2" xfId="16496"/>
    <cellStyle name="60% - Accent3 3 2 5 3" xfId="16495"/>
    <cellStyle name="60% - Accent3 3 2 6" xfId="3326"/>
    <cellStyle name="60% - Accent3 3 2 6 2" xfId="16498"/>
    <cellStyle name="60% - Accent3 3 2 6 3" xfId="16497"/>
    <cellStyle name="60% - Accent3 3 2 7" xfId="16499"/>
    <cellStyle name="60% - Accent3 3 2 8" xfId="16488"/>
    <cellStyle name="60% - Accent3 3 3" xfId="1589"/>
    <cellStyle name="60% - Accent3 3 3 2" xfId="1910"/>
    <cellStyle name="60% - Accent3 3 3 2 2" xfId="16502"/>
    <cellStyle name="60% - Accent3 3 3 2 3" xfId="16501"/>
    <cellStyle name="60% - Accent3 3 3 3" xfId="2285"/>
    <cellStyle name="60% - Accent3 3 3 3 2" xfId="16504"/>
    <cellStyle name="60% - Accent3 3 3 3 3" xfId="16503"/>
    <cellStyle name="60% - Accent3 3 3 4" xfId="2658"/>
    <cellStyle name="60% - Accent3 3 3 4 2" xfId="16506"/>
    <cellStyle name="60% - Accent3 3 3 4 3" xfId="16505"/>
    <cellStyle name="60% - Accent3 3 3 5" xfId="3031"/>
    <cellStyle name="60% - Accent3 3 3 5 2" xfId="16508"/>
    <cellStyle name="60% - Accent3 3 3 5 3" xfId="16507"/>
    <cellStyle name="60% - Accent3 3 3 6" xfId="3402"/>
    <cellStyle name="60% - Accent3 3 3 6 2" xfId="16510"/>
    <cellStyle name="60% - Accent3 3 3 6 3" xfId="16509"/>
    <cellStyle name="60% - Accent3 3 3 7" xfId="16511"/>
    <cellStyle name="60% - Accent3 3 3 8" xfId="16500"/>
    <cellStyle name="60% - Accent3 3 4" xfId="1726"/>
    <cellStyle name="60% - Accent3 3 4 2" xfId="1954"/>
    <cellStyle name="60% - Accent3 3 4 2 2" xfId="16514"/>
    <cellStyle name="60% - Accent3 3 4 2 3" xfId="16513"/>
    <cellStyle name="60% - Accent3 3 4 3" xfId="2329"/>
    <cellStyle name="60% - Accent3 3 4 3 2" xfId="16516"/>
    <cellStyle name="60% - Accent3 3 4 3 3" xfId="16515"/>
    <cellStyle name="60% - Accent3 3 4 4" xfId="2702"/>
    <cellStyle name="60% - Accent3 3 4 4 2" xfId="16518"/>
    <cellStyle name="60% - Accent3 3 4 4 3" xfId="16517"/>
    <cellStyle name="60% - Accent3 3 4 5" xfId="3075"/>
    <cellStyle name="60% - Accent3 3 4 5 2" xfId="16520"/>
    <cellStyle name="60% - Accent3 3 4 5 3" xfId="16519"/>
    <cellStyle name="60% - Accent3 3 4 6" xfId="3446"/>
    <cellStyle name="60% - Accent3 3 4 6 2" xfId="16522"/>
    <cellStyle name="60% - Accent3 3 4 6 3" xfId="16521"/>
    <cellStyle name="60% - Accent3 3 4 7" xfId="16523"/>
    <cellStyle name="60% - Accent3 3 4 8" xfId="16512"/>
    <cellStyle name="60% - Accent3 3 5" xfId="2061"/>
    <cellStyle name="60% - Accent3 3 5 2" xfId="16525"/>
    <cellStyle name="60% - Accent3 3 5 3" xfId="16524"/>
    <cellStyle name="60% - Accent3 3 6" xfId="2435"/>
    <cellStyle name="60% - Accent3 3 6 2" xfId="16527"/>
    <cellStyle name="60% - Accent3 3 6 3" xfId="16526"/>
    <cellStyle name="60% - Accent3 3 7" xfId="2807"/>
    <cellStyle name="60% - Accent3 3 7 2" xfId="16529"/>
    <cellStyle name="60% - Accent3 3 7 3" xfId="16528"/>
    <cellStyle name="60% - Accent3 3 8" xfId="3178"/>
    <cellStyle name="60% - Accent3 3 8 2" xfId="16531"/>
    <cellStyle name="60% - Accent3 3 8 3" xfId="16530"/>
    <cellStyle name="60% - Accent3 3 9" xfId="3553"/>
    <cellStyle name="60% - Accent3 3 9 2" xfId="16533"/>
    <cellStyle name="60% - Accent3 3 9 3" xfId="16532"/>
    <cellStyle name="60% - Accent3 4" xfId="249"/>
    <cellStyle name="60% - Accent3 4 10" xfId="3733"/>
    <cellStyle name="60% - Accent3 4 10 2" xfId="16536"/>
    <cellStyle name="60% - Accent3 4 10 3" xfId="16535"/>
    <cellStyle name="60% - Accent3 4 11" xfId="1304"/>
    <cellStyle name="60% - Accent3 4 11 2" xfId="16538"/>
    <cellStyle name="60% - Accent3 4 11 3" xfId="16537"/>
    <cellStyle name="60% - Accent3 4 12" xfId="16539"/>
    <cellStyle name="60% - Accent3 4 13" xfId="16534"/>
    <cellStyle name="60% - Accent3 4 2" xfId="1507"/>
    <cellStyle name="60% - Accent3 4 2 2" xfId="16541"/>
    <cellStyle name="60% - Accent3 4 2 3" xfId="16540"/>
    <cellStyle name="60% - Accent3 4 3" xfId="1632"/>
    <cellStyle name="60% - Accent3 4 3 2" xfId="16543"/>
    <cellStyle name="60% - Accent3 4 3 3" xfId="16542"/>
    <cellStyle name="60% - Accent3 4 4" xfId="1747"/>
    <cellStyle name="60% - Accent3 4 4 2" xfId="16545"/>
    <cellStyle name="60% - Accent3 4 4 3" xfId="16544"/>
    <cellStyle name="60% - Accent3 4 5" xfId="2082"/>
    <cellStyle name="60% - Accent3 4 5 2" xfId="16547"/>
    <cellStyle name="60% - Accent3 4 5 3" xfId="16546"/>
    <cellStyle name="60% - Accent3 4 6" xfId="2456"/>
    <cellStyle name="60% - Accent3 4 6 2" xfId="16549"/>
    <cellStyle name="60% - Accent3 4 6 3" xfId="16548"/>
    <cellStyle name="60% - Accent3 4 7" xfId="2828"/>
    <cellStyle name="60% - Accent3 4 7 2" xfId="16551"/>
    <cellStyle name="60% - Accent3 4 7 3" xfId="16550"/>
    <cellStyle name="60% - Accent3 4 8" xfId="3199"/>
    <cellStyle name="60% - Accent3 4 8 2" xfId="16553"/>
    <cellStyle name="60% - Accent3 4 8 3" xfId="16552"/>
    <cellStyle name="60% - Accent3 4 9" xfId="3596"/>
    <cellStyle name="60% - Accent3 4 9 2" xfId="16555"/>
    <cellStyle name="60% - Accent3 4 9 3" xfId="16554"/>
    <cellStyle name="60% - Accent3 5" xfId="415"/>
    <cellStyle name="60% - Accent3 5 2" xfId="1771"/>
    <cellStyle name="60% - Accent3 5 2 2" xfId="16558"/>
    <cellStyle name="60% - Accent3 5 2 3" xfId="16557"/>
    <cellStyle name="60% - Accent3 5 3" xfId="2106"/>
    <cellStyle name="60% - Accent3 5 3 2" xfId="16560"/>
    <cellStyle name="60% - Accent3 5 3 3" xfId="16559"/>
    <cellStyle name="60% - Accent3 5 4" xfId="2480"/>
    <cellStyle name="60% - Accent3 5 4 2" xfId="16562"/>
    <cellStyle name="60% - Accent3 5 4 3" xfId="16561"/>
    <cellStyle name="60% - Accent3 5 5" xfId="2852"/>
    <cellStyle name="60% - Accent3 5 5 2" xfId="16564"/>
    <cellStyle name="60% - Accent3 5 5 3" xfId="16563"/>
    <cellStyle name="60% - Accent3 5 6" xfId="3223"/>
    <cellStyle name="60% - Accent3 5 6 2" xfId="16566"/>
    <cellStyle name="60% - Accent3 5 6 3" xfId="16565"/>
    <cellStyle name="60% - Accent3 5 7" xfId="16567"/>
    <cellStyle name="60% - Accent3 5 7 2" xfId="16568"/>
    <cellStyle name="60% - Accent3 5 8" xfId="16569"/>
    <cellStyle name="60% - Accent3 5 9" xfId="16556"/>
    <cellStyle name="60% - Accent3 6" xfId="416"/>
    <cellStyle name="60% - Accent3 6 10" xfId="16570"/>
    <cellStyle name="60% - Accent3 6 2" xfId="1983"/>
    <cellStyle name="60% - Accent3 6 2 2" xfId="16572"/>
    <cellStyle name="60% - Accent3 6 2 3" xfId="16571"/>
    <cellStyle name="60% - Accent3 6 3" xfId="2358"/>
    <cellStyle name="60% - Accent3 6 3 2" xfId="16574"/>
    <cellStyle name="60% - Accent3 6 3 3" xfId="16573"/>
    <cellStyle name="60% - Accent3 6 4" xfId="2731"/>
    <cellStyle name="60% - Accent3 6 4 2" xfId="16576"/>
    <cellStyle name="60% - Accent3 6 4 3" xfId="16575"/>
    <cellStyle name="60% - Accent3 6 5" xfId="3104"/>
    <cellStyle name="60% - Accent3 6 5 2" xfId="16578"/>
    <cellStyle name="60% - Accent3 6 5 3" xfId="16577"/>
    <cellStyle name="60% - Accent3 6 6" xfId="3475"/>
    <cellStyle name="60% - Accent3 6 6 2" xfId="16580"/>
    <cellStyle name="60% - Accent3 6 6 3" xfId="16579"/>
    <cellStyle name="60% - Accent3 6 7" xfId="3781"/>
    <cellStyle name="60% - Accent3 6 7 2" xfId="16582"/>
    <cellStyle name="60% - Accent3 6 7 3" xfId="16581"/>
    <cellStyle name="60% - Accent3 6 8" xfId="16583"/>
    <cellStyle name="60% - Accent3 6 8 2" xfId="16584"/>
    <cellStyle name="60% - Accent3 6 9" xfId="16585"/>
    <cellStyle name="60% - Accent3 7" xfId="417"/>
    <cellStyle name="60% - Accent3 7 2" xfId="16587"/>
    <cellStyle name="60% - Accent3 7 3" xfId="16586"/>
    <cellStyle name="60% - Accent3 8" xfId="562"/>
    <cellStyle name="60% - Accent3 8 2" xfId="16589"/>
    <cellStyle name="60% - Accent3 8 3" xfId="16588"/>
    <cellStyle name="60% - Accent3 9" xfId="563"/>
    <cellStyle name="60% - Accent3 9 2" xfId="16591"/>
    <cellStyle name="60% - Accent3 9 3" xfId="16590"/>
    <cellStyle name="60% - Accent4 10" xfId="700"/>
    <cellStyle name="60% - Accent4 10 2" xfId="16594"/>
    <cellStyle name="60% - Accent4 10 3" xfId="16593"/>
    <cellStyle name="60% - Accent4 11" xfId="701"/>
    <cellStyle name="60% - Accent4 11 2" xfId="16596"/>
    <cellStyle name="60% - Accent4 11 3" xfId="16595"/>
    <cellStyle name="60% - Accent4 12" xfId="843"/>
    <cellStyle name="60% - Accent4 12 2" xfId="16597"/>
    <cellStyle name="60% - Accent4 13" xfId="844"/>
    <cellStyle name="60% - Accent4 13 2" xfId="16592"/>
    <cellStyle name="60% - Accent4 14" xfId="951"/>
    <cellStyle name="60% - Accent4 2" xfId="83"/>
    <cellStyle name="60% - Accent4 2 10" xfId="1682"/>
    <cellStyle name="60% - Accent4 2 10 2" xfId="16600"/>
    <cellStyle name="60% - Accent4 2 10 3" xfId="16599"/>
    <cellStyle name="60% - Accent4 2 11" xfId="2017"/>
    <cellStyle name="60% - Accent4 2 11 2" xfId="16602"/>
    <cellStyle name="60% - Accent4 2 11 3" xfId="16601"/>
    <cellStyle name="60% - Accent4 2 12" xfId="2391"/>
    <cellStyle name="60% - Accent4 2 12 2" xfId="16604"/>
    <cellStyle name="60% - Accent4 2 12 3" xfId="16603"/>
    <cellStyle name="60% - Accent4 2 13" xfId="2764"/>
    <cellStyle name="60% - Accent4 2 13 2" xfId="16606"/>
    <cellStyle name="60% - Accent4 2 13 3" xfId="16605"/>
    <cellStyle name="60% - Accent4 2 14" xfId="3138"/>
    <cellStyle name="60% - Accent4 2 14 2" xfId="16608"/>
    <cellStyle name="60% - Accent4 2 14 3" xfId="16607"/>
    <cellStyle name="60% - Accent4 2 15" xfId="3509"/>
    <cellStyle name="60% - Accent4 2 15 2" xfId="16610"/>
    <cellStyle name="60% - Accent4 2 15 3" xfId="16609"/>
    <cellStyle name="60% - Accent4 2 16" xfId="3647"/>
    <cellStyle name="60% - Accent4 2 16 2" xfId="16612"/>
    <cellStyle name="60% - Accent4 2 16 3" xfId="16611"/>
    <cellStyle name="60% - Accent4 2 17" xfId="16613"/>
    <cellStyle name="60% - Accent4 2 17 2" xfId="16614"/>
    <cellStyle name="60% - Accent4 2 18" xfId="16615"/>
    <cellStyle name="60% - Accent4 2 19" xfId="16598"/>
    <cellStyle name="60% - Accent4 2 2" xfId="127"/>
    <cellStyle name="60% - Accent4 2 2 2" xfId="185"/>
    <cellStyle name="60% - Accent4 2 2 2 2" xfId="16618"/>
    <cellStyle name="60% - Accent4 2 2 2 3" xfId="16617"/>
    <cellStyle name="60% - Accent4 2 2 3" xfId="349"/>
    <cellStyle name="60% - Accent4 2 2 3 2" xfId="16620"/>
    <cellStyle name="60% - Accent4 2 2 3 3" xfId="16619"/>
    <cellStyle name="60% - Accent4 2 2 4" xfId="2171"/>
    <cellStyle name="60% - Accent4 2 2 4 2" xfId="16622"/>
    <cellStyle name="60% - Accent4 2 2 4 3" xfId="16621"/>
    <cellStyle name="60% - Accent4 2 2 5" xfId="2545"/>
    <cellStyle name="60% - Accent4 2 2 5 2" xfId="16624"/>
    <cellStyle name="60% - Accent4 2 2 5 3" xfId="16623"/>
    <cellStyle name="60% - Accent4 2 2 6" xfId="2917"/>
    <cellStyle name="60% - Accent4 2 2 6 2" xfId="16626"/>
    <cellStyle name="60% - Accent4 2 2 6 3" xfId="16625"/>
    <cellStyle name="60% - Accent4 2 2 7" xfId="3289"/>
    <cellStyle name="60% - Accent4 2 2 7 2" xfId="16628"/>
    <cellStyle name="60% - Accent4 2 2 7 3" xfId="16627"/>
    <cellStyle name="60% - Accent4 2 2 8" xfId="16629"/>
    <cellStyle name="60% - Accent4 2 2 9" xfId="16616"/>
    <cellStyle name="60% - Accent4 2 20" xfId="24481"/>
    <cellStyle name="60% - Accent4 2 3" xfId="292"/>
    <cellStyle name="60% - Accent4 2 3 2" xfId="1347"/>
    <cellStyle name="60% - Accent4 2 3 2 2" xfId="16631"/>
    <cellStyle name="60% - Accent4 2 3 3" xfId="16630"/>
    <cellStyle name="60% - Accent4 2 4" xfId="418"/>
    <cellStyle name="60% - Accent4 2 4 2" xfId="16633"/>
    <cellStyle name="60% - Accent4 2 4 3" xfId="16632"/>
    <cellStyle name="60% - Accent4 2 5" xfId="564"/>
    <cellStyle name="60% - Accent4 2 5 2" xfId="16635"/>
    <cellStyle name="60% - Accent4 2 5 3" xfId="16634"/>
    <cellStyle name="60% - Accent4 2 6" xfId="702"/>
    <cellStyle name="60% - Accent4 2 6 2" xfId="16637"/>
    <cellStyle name="60% - Accent4 2 6 3" xfId="16636"/>
    <cellStyle name="60% - Accent4 2 7" xfId="703"/>
    <cellStyle name="60% - Accent4 2 7 2" xfId="16639"/>
    <cellStyle name="60% - Accent4 2 7 3" xfId="16638"/>
    <cellStyle name="60% - Accent4 2 8" xfId="845"/>
    <cellStyle name="60% - Accent4 2 8 2" xfId="1411"/>
    <cellStyle name="60% - Accent4 2 8 2 2" xfId="16641"/>
    <cellStyle name="60% - Accent4 2 8 3" xfId="16640"/>
    <cellStyle name="60% - Accent4 2 9" xfId="952"/>
    <cellStyle name="60% - Accent4 2 9 2" xfId="1565"/>
    <cellStyle name="60% - Accent4 2 9 2 2" xfId="16643"/>
    <cellStyle name="60% - Accent4 2 9 3" xfId="16642"/>
    <cellStyle name="60% - Accent4 3" xfId="226"/>
    <cellStyle name="60% - Accent4 3 10" xfId="3690"/>
    <cellStyle name="60% - Accent4 3 10 2" xfId="16646"/>
    <cellStyle name="60% - Accent4 3 10 3" xfId="16645"/>
    <cellStyle name="60% - Accent4 3 11" xfId="16647"/>
    <cellStyle name="60% - Accent4 3 11 2" xfId="16648"/>
    <cellStyle name="60% - Accent4 3 12" xfId="16649"/>
    <cellStyle name="60% - Accent4 3 13" xfId="16644"/>
    <cellStyle name="60% - Accent4 3 2" xfId="1463"/>
    <cellStyle name="60% - Accent4 3 2 2" xfId="1837"/>
    <cellStyle name="60% - Accent4 3 2 2 2" xfId="16652"/>
    <cellStyle name="60% - Accent4 3 2 2 3" xfId="16651"/>
    <cellStyle name="60% - Accent4 3 2 3" xfId="2212"/>
    <cellStyle name="60% - Accent4 3 2 3 2" xfId="16654"/>
    <cellStyle name="60% - Accent4 3 2 3 3" xfId="16653"/>
    <cellStyle name="60% - Accent4 3 2 4" xfId="2586"/>
    <cellStyle name="60% - Accent4 3 2 4 2" xfId="16656"/>
    <cellStyle name="60% - Accent4 3 2 4 3" xfId="16655"/>
    <cellStyle name="60% - Accent4 3 2 5" xfId="2958"/>
    <cellStyle name="60% - Accent4 3 2 5 2" xfId="16658"/>
    <cellStyle name="60% - Accent4 3 2 5 3" xfId="16657"/>
    <cellStyle name="60% - Accent4 3 2 6" xfId="3330"/>
    <cellStyle name="60% - Accent4 3 2 6 2" xfId="16660"/>
    <cellStyle name="60% - Accent4 3 2 6 3" xfId="16659"/>
    <cellStyle name="60% - Accent4 3 2 7" xfId="16661"/>
    <cellStyle name="60% - Accent4 3 2 8" xfId="16650"/>
    <cellStyle name="60% - Accent4 3 3" xfId="1590"/>
    <cellStyle name="60% - Accent4 3 3 2" xfId="1914"/>
    <cellStyle name="60% - Accent4 3 3 2 2" xfId="16664"/>
    <cellStyle name="60% - Accent4 3 3 2 3" xfId="16663"/>
    <cellStyle name="60% - Accent4 3 3 3" xfId="2289"/>
    <cellStyle name="60% - Accent4 3 3 3 2" xfId="16666"/>
    <cellStyle name="60% - Accent4 3 3 3 3" xfId="16665"/>
    <cellStyle name="60% - Accent4 3 3 4" xfId="2662"/>
    <cellStyle name="60% - Accent4 3 3 4 2" xfId="16668"/>
    <cellStyle name="60% - Accent4 3 3 4 3" xfId="16667"/>
    <cellStyle name="60% - Accent4 3 3 5" xfId="3035"/>
    <cellStyle name="60% - Accent4 3 3 5 2" xfId="16670"/>
    <cellStyle name="60% - Accent4 3 3 5 3" xfId="16669"/>
    <cellStyle name="60% - Accent4 3 3 6" xfId="3406"/>
    <cellStyle name="60% - Accent4 3 3 6 2" xfId="16672"/>
    <cellStyle name="60% - Accent4 3 3 6 3" xfId="16671"/>
    <cellStyle name="60% - Accent4 3 3 7" xfId="16673"/>
    <cellStyle name="60% - Accent4 3 3 8" xfId="16662"/>
    <cellStyle name="60% - Accent4 3 4" xfId="1727"/>
    <cellStyle name="60% - Accent4 3 4 2" xfId="1958"/>
    <cellStyle name="60% - Accent4 3 4 2 2" xfId="16676"/>
    <cellStyle name="60% - Accent4 3 4 2 3" xfId="16675"/>
    <cellStyle name="60% - Accent4 3 4 3" xfId="2333"/>
    <cellStyle name="60% - Accent4 3 4 3 2" xfId="16678"/>
    <cellStyle name="60% - Accent4 3 4 3 3" xfId="16677"/>
    <cellStyle name="60% - Accent4 3 4 4" xfId="2706"/>
    <cellStyle name="60% - Accent4 3 4 4 2" xfId="16680"/>
    <cellStyle name="60% - Accent4 3 4 4 3" xfId="16679"/>
    <cellStyle name="60% - Accent4 3 4 5" xfId="3079"/>
    <cellStyle name="60% - Accent4 3 4 5 2" xfId="16682"/>
    <cellStyle name="60% - Accent4 3 4 5 3" xfId="16681"/>
    <cellStyle name="60% - Accent4 3 4 6" xfId="3450"/>
    <cellStyle name="60% - Accent4 3 4 6 2" xfId="16684"/>
    <cellStyle name="60% - Accent4 3 4 6 3" xfId="16683"/>
    <cellStyle name="60% - Accent4 3 4 7" xfId="16685"/>
    <cellStyle name="60% - Accent4 3 4 8" xfId="16674"/>
    <cellStyle name="60% - Accent4 3 5" xfId="2062"/>
    <cellStyle name="60% - Accent4 3 5 2" xfId="16687"/>
    <cellStyle name="60% - Accent4 3 5 3" xfId="16686"/>
    <cellStyle name="60% - Accent4 3 6" xfId="2436"/>
    <cellStyle name="60% - Accent4 3 6 2" xfId="16689"/>
    <cellStyle name="60% - Accent4 3 6 3" xfId="16688"/>
    <cellStyle name="60% - Accent4 3 7" xfId="2808"/>
    <cellStyle name="60% - Accent4 3 7 2" xfId="16691"/>
    <cellStyle name="60% - Accent4 3 7 3" xfId="16690"/>
    <cellStyle name="60% - Accent4 3 8" xfId="3179"/>
    <cellStyle name="60% - Accent4 3 8 2" xfId="16693"/>
    <cellStyle name="60% - Accent4 3 8 3" xfId="16692"/>
    <cellStyle name="60% - Accent4 3 9" xfId="3554"/>
    <cellStyle name="60% - Accent4 3 9 2" xfId="16695"/>
    <cellStyle name="60% - Accent4 3 9 3" xfId="16694"/>
    <cellStyle name="60% - Accent4 4" xfId="250"/>
    <cellStyle name="60% - Accent4 4 10" xfId="3734"/>
    <cellStyle name="60% - Accent4 4 10 2" xfId="16698"/>
    <cellStyle name="60% - Accent4 4 10 3" xfId="16697"/>
    <cellStyle name="60% - Accent4 4 11" xfId="1308"/>
    <cellStyle name="60% - Accent4 4 11 2" xfId="16700"/>
    <cellStyle name="60% - Accent4 4 11 3" xfId="16699"/>
    <cellStyle name="60% - Accent4 4 12" xfId="16701"/>
    <cellStyle name="60% - Accent4 4 13" xfId="16696"/>
    <cellStyle name="60% - Accent4 4 2" xfId="1508"/>
    <cellStyle name="60% - Accent4 4 2 2" xfId="16703"/>
    <cellStyle name="60% - Accent4 4 2 3" xfId="16702"/>
    <cellStyle name="60% - Accent4 4 3" xfId="1633"/>
    <cellStyle name="60% - Accent4 4 3 2" xfId="16705"/>
    <cellStyle name="60% - Accent4 4 3 3" xfId="16704"/>
    <cellStyle name="60% - Accent4 4 4" xfId="1792"/>
    <cellStyle name="60% - Accent4 4 4 2" xfId="16707"/>
    <cellStyle name="60% - Accent4 4 4 3" xfId="16706"/>
    <cellStyle name="60% - Accent4 4 5" xfId="2128"/>
    <cellStyle name="60% - Accent4 4 5 2" xfId="16709"/>
    <cellStyle name="60% - Accent4 4 5 3" xfId="16708"/>
    <cellStyle name="60% - Accent4 4 6" xfId="2502"/>
    <cellStyle name="60% - Accent4 4 6 2" xfId="16711"/>
    <cellStyle name="60% - Accent4 4 6 3" xfId="16710"/>
    <cellStyle name="60% - Accent4 4 7" xfId="2874"/>
    <cellStyle name="60% - Accent4 4 7 2" xfId="16713"/>
    <cellStyle name="60% - Accent4 4 7 3" xfId="16712"/>
    <cellStyle name="60% - Accent4 4 8" xfId="3245"/>
    <cellStyle name="60% - Accent4 4 8 2" xfId="16715"/>
    <cellStyle name="60% - Accent4 4 8 3" xfId="16714"/>
    <cellStyle name="60% - Accent4 4 9" xfId="3597"/>
    <cellStyle name="60% - Accent4 4 9 2" xfId="16717"/>
    <cellStyle name="60% - Accent4 4 9 3" xfId="16716"/>
    <cellStyle name="60% - Accent4 5" xfId="419"/>
    <cellStyle name="60% - Accent4 5 2" xfId="1873"/>
    <cellStyle name="60% - Accent4 5 2 2" xfId="16720"/>
    <cellStyle name="60% - Accent4 5 2 3" xfId="16719"/>
    <cellStyle name="60% - Accent4 5 3" xfId="2248"/>
    <cellStyle name="60% - Accent4 5 3 2" xfId="16722"/>
    <cellStyle name="60% - Accent4 5 3 3" xfId="16721"/>
    <cellStyle name="60% - Accent4 5 4" xfId="2622"/>
    <cellStyle name="60% - Accent4 5 4 2" xfId="16724"/>
    <cellStyle name="60% - Accent4 5 4 3" xfId="16723"/>
    <cellStyle name="60% - Accent4 5 5" xfId="2994"/>
    <cellStyle name="60% - Accent4 5 5 2" xfId="16726"/>
    <cellStyle name="60% - Accent4 5 5 3" xfId="16725"/>
    <cellStyle name="60% - Accent4 5 6" xfId="3366"/>
    <cellStyle name="60% - Accent4 5 6 2" xfId="16728"/>
    <cellStyle name="60% - Accent4 5 6 3" xfId="16727"/>
    <cellStyle name="60% - Accent4 5 7" xfId="16729"/>
    <cellStyle name="60% - Accent4 5 7 2" xfId="16730"/>
    <cellStyle name="60% - Accent4 5 8" xfId="16731"/>
    <cellStyle name="60% - Accent4 5 9" xfId="16718"/>
    <cellStyle name="60% - Accent4 6" xfId="420"/>
    <cellStyle name="60% - Accent4 6 10" xfId="16732"/>
    <cellStyle name="60% - Accent4 6 2" xfId="1984"/>
    <cellStyle name="60% - Accent4 6 2 2" xfId="16734"/>
    <cellStyle name="60% - Accent4 6 2 3" xfId="16733"/>
    <cellStyle name="60% - Accent4 6 3" xfId="2359"/>
    <cellStyle name="60% - Accent4 6 3 2" xfId="16736"/>
    <cellStyle name="60% - Accent4 6 3 3" xfId="16735"/>
    <cellStyle name="60% - Accent4 6 4" xfId="2732"/>
    <cellStyle name="60% - Accent4 6 4 2" xfId="16738"/>
    <cellStyle name="60% - Accent4 6 4 3" xfId="16737"/>
    <cellStyle name="60% - Accent4 6 5" xfId="3105"/>
    <cellStyle name="60% - Accent4 6 5 2" xfId="16740"/>
    <cellStyle name="60% - Accent4 6 5 3" xfId="16739"/>
    <cellStyle name="60% - Accent4 6 6" xfId="3476"/>
    <cellStyle name="60% - Accent4 6 6 2" xfId="16742"/>
    <cellStyle name="60% - Accent4 6 6 3" xfId="16741"/>
    <cellStyle name="60% - Accent4 6 7" xfId="3782"/>
    <cellStyle name="60% - Accent4 6 7 2" xfId="16744"/>
    <cellStyle name="60% - Accent4 6 7 3" xfId="16743"/>
    <cellStyle name="60% - Accent4 6 8" xfId="16745"/>
    <cellStyle name="60% - Accent4 6 8 2" xfId="16746"/>
    <cellStyle name="60% - Accent4 6 9" xfId="16747"/>
    <cellStyle name="60% - Accent4 7" xfId="421"/>
    <cellStyle name="60% - Accent4 7 2" xfId="16749"/>
    <cellStyle name="60% - Accent4 7 3" xfId="16748"/>
    <cellStyle name="60% - Accent4 8" xfId="565"/>
    <cellStyle name="60% - Accent4 8 2" xfId="16751"/>
    <cellStyle name="60% - Accent4 8 3" xfId="16750"/>
    <cellStyle name="60% - Accent4 9" xfId="566"/>
    <cellStyle name="60% - Accent4 9 2" xfId="16753"/>
    <cellStyle name="60% - Accent4 9 3" xfId="16752"/>
    <cellStyle name="60% - Accent5 10" xfId="704"/>
    <cellStyle name="60% - Accent5 10 2" xfId="16756"/>
    <cellStyle name="60% - Accent5 10 3" xfId="16755"/>
    <cellStyle name="60% - Accent5 11" xfId="705"/>
    <cellStyle name="60% - Accent5 11 2" xfId="16758"/>
    <cellStyle name="60% - Accent5 11 3" xfId="16757"/>
    <cellStyle name="60% - Accent5 12" xfId="846"/>
    <cellStyle name="60% - Accent5 12 2" xfId="16759"/>
    <cellStyle name="60% - Accent5 13" xfId="847"/>
    <cellStyle name="60% - Accent5 13 2" xfId="16754"/>
    <cellStyle name="60% - Accent5 14" xfId="953"/>
    <cellStyle name="60% - Accent5 2" xfId="84"/>
    <cellStyle name="60% - Accent5 2 10" xfId="1683"/>
    <cellStyle name="60% - Accent5 2 10 2" xfId="16762"/>
    <cellStyle name="60% - Accent5 2 10 3" xfId="16761"/>
    <cellStyle name="60% - Accent5 2 11" xfId="2018"/>
    <cellStyle name="60% - Accent5 2 11 2" xfId="16764"/>
    <cellStyle name="60% - Accent5 2 11 3" xfId="16763"/>
    <cellStyle name="60% - Accent5 2 12" xfId="2392"/>
    <cellStyle name="60% - Accent5 2 12 2" xfId="16766"/>
    <cellStyle name="60% - Accent5 2 12 3" xfId="16765"/>
    <cellStyle name="60% - Accent5 2 13" xfId="2765"/>
    <cellStyle name="60% - Accent5 2 13 2" xfId="16768"/>
    <cellStyle name="60% - Accent5 2 13 3" xfId="16767"/>
    <cellStyle name="60% - Accent5 2 14" xfId="3139"/>
    <cellStyle name="60% - Accent5 2 14 2" xfId="16770"/>
    <cellStyle name="60% - Accent5 2 14 3" xfId="16769"/>
    <cellStyle name="60% - Accent5 2 15" xfId="3510"/>
    <cellStyle name="60% - Accent5 2 15 2" xfId="16772"/>
    <cellStyle name="60% - Accent5 2 15 3" xfId="16771"/>
    <cellStyle name="60% - Accent5 2 16" xfId="3648"/>
    <cellStyle name="60% - Accent5 2 16 2" xfId="16774"/>
    <cellStyle name="60% - Accent5 2 16 3" xfId="16773"/>
    <cellStyle name="60% - Accent5 2 17" xfId="16775"/>
    <cellStyle name="60% - Accent5 2 17 2" xfId="16776"/>
    <cellStyle name="60% - Accent5 2 18" xfId="16777"/>
    <cellStyle name="60% - Accent5 2 19" xfId="16760"/>
    <cellStyle name="60% - Accent5 2 2" xfId="128"/>
    <cellStyle name="60% - Accent5 2 2 2" xfId="189"/>
    <cellStyle name="60% - Accent5 2 2 2 2" xfId="16780"/>
    <cellStyle name="60% - Accent5 2 2 2 3" xfId="16779"/>
    <cellStyle name="60% - Accent5 2 2 3" xfId="353"/>
    <cellStyle name="60% - Accent5 2 2 3 2" xfId="16782"/>
    <cellStyle name="60% - Accent5 2 2 3 3" xfId="16781"/>
    <cellStyle name="60% - Accent5 2 2 4" xfId="2175"/>
    <cellStyle name="60% - Accent5 2 2 4 2" xfId="16784"/>
    <cellStyle name="60% - Accent5 2 2 4 3" xfId="16783"/>
    <cellStyle name="60% - Accent5 2 2 5" xfId="2549"/>
    <cellStyle name="60% - Accent5 2 2 5 2" xfId="16786"/>
    <cellStyle name="60% - Accent5 2 2 5 3" xfId="16785"/>
    <cellStyle name="60% - Accent5 2 2 6" xfId="2921"/>
    <cellStyle name="60% - Accent5 2 2 6 2" xfId="16788"/>
    <cellStyle name="60% - Accent5 2 2 6 3" xfId="16787"/>
    <cellStyle name="60% - Accent5 2 2 7" xfId="3293"/>
    <cellStyle name="60% - Accent5 2 2 7 2" xfId="16790"/>
    <cellStyle name="60% - Accent5 2 2 7 3" xfId="16789"/>
    <cellStyle name="60% - Accent5 2 2 8" xfId="16791"/>
    <cellStyle name="60% - Accent5 2 2 9" xfId="16778"/>
    <cellStyle name="60% - Accent5 2 20" xfId="24482"/>
    <cellStyle name="60% - Accent5 2 3" xfId="293"/>
    <cellStyle name="60% - Accent5 2 3 2" xfId="1351"/>
    <cellStyle name="60% - Accent5 2 3 2 2" xfId="16793"/>
    <cellStyle name="60% - Accent5 2 3 3" xfId="16792"/>
    <cellStyle name="60% - Accent5 2 4" xfId="422"/>
    <cellStyle name="60% - Accent5 2 4 2" xfId="16795"/>
    <cellStyle name="60% - Accent5 2 4 3" xfId="16794"/>
    <cellStyle name="60% - Accent5 2 5" xfId="567"/>
    <cellStyle name="60% - Accent5 2 5 2" xfId="16797"/>
    <cellStyle name="60% - Accent5 2 5 3" xfId="16796"/>
    <cellStyle name="60% - Accent5 2 6" xfId="706"/>
    <cellStyle name="60% - Accent5 2 6 2" xfId="16799"/>
    <cellStyle name="60% - Accent5 2 6 3" xfId="16798"/>
    <cellStyle name="60% - Accent5 2 7" xfId="707"/>
    <cellStyle name="60% - Accent5 2 7 2" xfId="16801"/>
    <cellStyle name="60% - Accent5 2 7 3" xfId="16800"/>
    <cellStyle name="60% - Accent5 2 8" xfId="848"/>
    <cellStyle name="60% - Accent5 2 8 2" xfId="1412"/>
    <cellStyle name="60% - Accent5 2 8 2 2" xfId="16803"/>
    <cellStyle name="60% - Accent5 2 8 3" xfId="16802"/>
    <cellStyle name="60% - Accent5 2 9" xfId="954"/>
    <cellStyle name="60% - Accent5 2 9 2" xfId="1390"/>
    <cellStyle name="60% - Accent5 2 9 2 2" xfId="16805"/>
    <cellStyle name="60% - Accent5 2 9 3" xfId="16804"/>
    <cellStyle name="60% - Accent5 3" xfId="230"/>
    <cellStyle name="60% - Accent5 3 10" xfId="3691"/>
    <cellStyle name="60% - Accent5 3 10 2" xfId="16808"/>
    <cellStyle name="60% - Accent5 3 10 3" xfId="16807"/>
    <cellStyle name="60% - Accent5 3 11" xfId="16809"/>
    <cellStyle name="60% - Accent5 3 11 2" xfId="16810"/>
    <cellStyle name="60% - Accent5 3 12" xfId="16811"/>
    <cellStyle name="60% - Accent5 3 13" xfId="16806"/>
    <cellStyle name="60% - Accent5 3 2" xfId="1464"/>
    <cellStyle name="60% - Accent5 3 2 2" xfId="1841"/>
    <cellStyle name="60% - Accent5 3 2 2 2" xfId="16814"/>
    <cellStyle name="60% - Accent5 3 2 2 3" xfId="16813"/>
    <cellStyle name="60% - Accent5 3 2 3" xfId="2216"/>
    <cellStyle name="60% - Accent5 3 2 3 2" xfId="16816"/>
    <cellStyle name="60% - Accent5 3 2 3 3" xfId="16815"/>
    <cellStyle name="60% - Accent5 3 2 4" xfId="2590"/>
    <cellStyle name="60% - Accent5 3 2 4 2" xfId="16818"/>
    <cellStyle name="60% - Accent5 3 2 4 3" xfId="16817"/>
    <cellStyle name="60% - Accent5 3 2 5" xfId="2962"/>
    <cellStyle name="60% - Accent5 3 2 5 2" xfId="16820"/>
    <cellStyle name="60% - Accent5 3 2 5 3" xfId="16819"/>
    <cellStyle name="60% - Accent5 3 2 6" xfId="3334"/>
    <cellStyle name="60% - Accent5 3 2 6 2" xfId="16822"/>
    <cellStyle name="60% - Accent5 3 2 6 3" xfId="16821"/>
    <cellStyle name="60% - Accent5 3 2 7" xfId="16823"/>
    <cellStyle name="60% - Accent5 3 2 8" xfId="16812"/>
    <cellStyle name="60% - Accent5 3 3" xfId="1591"/>
    <cellStyle name="60% - Accent5 3 3 2" xfId="1918"/>
    <cellStyle name="60% - Accent5 3 3 2 2" xfId="16826"/>
    <cellStyle name="60% - Accent5 3 3 2 3" xfId="16825"/>
    <cellStyle name="60% - Accent5 3 3 3" xfId="2293"/>
    <cellStyle name="60% - Accent5 3 3 3 2" xfId="16828"/>
    <cellStyle name="60% - Accent5 3 3 3 3" xfId="16827"/>
    <cellStyle name="60% - Accent5 3 3 4" xfId="2666"/>
    <cellStyle name="60% - Accent5 3 3 4 2" xfId="16830"/>
    <cellStyle name="60% - Accent5 3 3 4 3" xfId="16829"/>
    <cellStyle name="60% - Accent5 3 3 5" xfId="3039"/>
    <cellStyle name="60% - Accent5 3 3 5 2" xfId="16832"/>
    <cellStyle name="60% - Accent5 3 3 5 3" xfId="16831"/>
    <cellStyle name="60% - Accent5 3 3 6" xfId="3410"/>
    <cellStyle name="60% - Accent5 3 3 6 2" xfId="16834"/>
    <cellStyle name="60% - Accent5 3 3 6 3" xfId="16833"/>
    <cellStyle name="60% - Accent5 3 3 7" xfId="16835"/>
    <cellStyle name="60% - Accent5 3 3 8" xfId="16824"/>
    <cellStyle name="60% - Accent5 3 4" xfId="1728"/>
    <cellStyle name="60% - Accent5 3 4 2" xfId="1962"/>
    <cellStyle name="60% - Accent5 3 4 2 2" xfId="16838"/>
    <cellStyle name="60% - Accent5 3 4 2 3" xfId="16837"/>
    <cellStyle name="60% - Accent5 3 4 3" xfId="2337"/>
    <cellStyle name="60% - Accent5 3 4 3 2" xfId="16840"/>
    <cellStyle name="60% - Accent5 3 4 3 3" xfId="16839"/>
    <cellStyle name="60% - Accent5 3 4 4" xfId="2710"/>
    <cellStyle name="60% - Accent5 3 4 4 2" xfId="16842"/>
    <cellStyle name="60% - Accent5 3 4 4 3" xfId="16841"/>
    <cellStyle name="60% - Accent5 3 4 5" xfId="3083"/>
    <cellStyle name="60% - Accent5 3 4 5 2" xfId="16844"/>
    <cellStyle name="60% - Accent5 3 4 5 3" xfId="16843"/>
    <cellStyle name="60% - Accent5 3 4 6" xfId="3454"/>
    <cellStyle name="60% - Accent5 3 4 6 2" xfId="16846"/>
    <cellStyle name="60% - Accent5 3 4 6 3" xfId="16845"/>
    <cellStyle name="60% - Accent5 3 4 7" xfId="16847"/>
    <cellStyle name="60% - Accent5 3 4 8" xfId="16836"/>
    <cellStyle name="60% - Accent5 3 5" xfId="2063"/>
    <cellStyle name="60% - Accent5 3 5 2" xfId="16849"/>
    <cellStyle name="60% - Accent5 3 5 3" xfId="16848"/>
    <cellStyle name="60% - Accent5 3 6" xfId="2437"/>
    <cellStyle name="60% - Accent5 3 6 2" xfId="16851"/>
    <cellStyle name="60% - Accent5 3 6 3" xfId="16850"/>
    <cellStyle name="60% - Accent5 3 7" xfId="2809"/>
    <cellStyle name="60% - Accent5 3 7 2" xfId="16853"/>
    <cellStyle name="60% - Accent5 3 7 3" xfId="16852"/>
    <cellStyle name="60% - Accent5 3 8" xfId="3180"/>
    <cellStyle name="60% - Accent5 3 8 2" xfId="16855"/>
    <cellStyle name="60% - Accent5 3 8 3" xfId="16854"/>
    <cellStyle name="60% - Accent5 3 9" xfId="3555"/>
    <cellStyle name="60% - Accent5 3 9 2" xfId="16857"/>
    <cellStyle name="60% - Accent5 3 9 3" xfId="16856"/>
    <cellStyle name="60% - Accent5 4" xfId="251"/>
    <cellStyle name="60% - Accent5 4 10" xfId="3735"/>
    <cellStyle name="60% - Accent5 4 10 2" xfId="16860"/>
    <cellStyle name="60% - Accent5 4 10 3" xfId="16859"/>
    <cellStyle name="60% - Accent5 4 11" xfId="1312"/>
    <cellStyle name="60% - Accent5 4 11 2" xfId="16862"/>
    <cellStyle name="60% - Accent5 4 11 3" xfId="16861"/>
    <cellStyle name="60% - Accent5 4 12" xfId="16863"/>
    <cellStyle name="60% - Accent5 4 13" xfId="16858"/>
    <cellStyle name="60% - Accent5 4 2" xfId="1509"/>
    <cellStyle name="60% - Accent5 4 2 2" xfId="16865"/>
    <cellStyle name="60% - Accent5 4 2 3" xfId="16864"/>
    <cellStyle name="60% - Accent5 4 3" xfId="1634"/>
    <cellStyle name="60% - Accent5 4 3 2" xfId="16867"/>
    <cellStyle name="60% - Accent5 4 3 3" xfId="16866"/>
    <cellStyle name="60% - Accent5 4 4" xfId="1791"/>
    <cellStyle name="60% - Accent5 4 4 2" xfId="16869"/>
    <cellStyle name="60% - Accent5 4 4 3" xfId="16868"/>
    <cellStyle name="60% - Accent5 4 5" xfId="2127"/>
    <cellStyle name="60% - Accent5 4 5 2" xfId="16871"/>
    <cellStyle name="60% - Accent5 4 5 3" xfId="16870"/>
    <cellStyle name="60% - Accent5 4 6" xfId="2501"/>
    <cellStyle name="60% - Accent5 4 6 2" xfId="16873"/>
    <cellStyle name="60% - Accent5 4 6 3" xfId="16872"/>
    <cellStyle name="60% - Accent5 4 7" xfId="2873"/>
    <cellStyle name="60% - Accent5 4 7 2" xfId="16875"/>
    <cellStyle name="60% - Accent5 4 7 3" xfId="16874"/>
    <cellStyle name="60% - Accent5 4 8" xfId="3244"/>
    <cellStyle name="60% - Accent5 4 8 2" xfId="16877"/>
    <cellStyle name="60% - Accent5 4 8 3" xfId="16876"/>
    <cellStyle name="60% - Accent5 4 9" xfId="3598"/>
    <cellStyle name="60% - Accent5 4 9 2" xfId="16879"/>
    <cellStyle name="60% - Accent5 4 9 3" xfId="16878"/>
    <cellStyle name="60% - Accent5 5" xfId="423"/>
    <cellStyle name="60% - Accent5 5 2" xfId="1858"/>
    <cellStyle name="60% - Accent5 5 2 2" xfId="16882"/>
    <cellStyle name="60% - Accent5 5 2 3" xfId="16881"/>
    <cellStyle name="60% - Accent5 5 3" xfId="2233"/>
    <cellStyle name="60% - Accent5 5 3 2" xfId="16884"/>
    <cellStyle name="60% - Accent5 5 3 3" xfId="16883"/>
    <cellStyle name="60% - Accent5 5 4" xfId="2607"/>
    <cellStyle name="60% - Accent5 5 4 2" xfId="16886"/>
    <cellStyle name="60% - Accent5 5 4 3" xfId="16885"/>
    <cellStyle name="60% - Accent5 5 5" xfId="2979"/>
    <cellStyle name="60% - Accent5 5 5 2" xfId="16888"/>
    <cellStyle name="60% - Accent5 5 5 3" xfId="16887"/>
    <cellStyle name="60% - Accent5 5 6" xfId="3351"/>
    <cellStyle name="60% - Accent5 5 6 2" xfId="16890"/>
    <cellStyle name="60% - Accent5 5 6 3" xfId="16889"/>
    <cellStyle name="60% - Accent5 5 7" xfId="16891"/>
    <cellStyle name="60% - Accent5 5 7 2" xfId="16892"/>
    <cellStyle name="60% - Accent5 5 8" xfId="16893"/>
    <cellStyle name="60% - Accent5 5 9" xfId="16880"/>
    <cellStyle name="60% - Accent5 6" xfId="424"/>
    <cellStyle name="60% - Accent5 6 10" xfId="16894"/>
    <cellStyle name="60% - Accent5 6 2" xfId="1985"/>
    <cellStyle name="60% - Accent5 6 2 2" xfId="16896"/>
    <cellStyle name="60% - Accent5 6 2 3" xfId="16895"/>
    <cellStyle name="60% - Accent5 6 3" xfId="2360"/>
    <cellStyle name="60% - Accent5 6 3 2" xfId="16898"/>
    <cellStyle name="60% - Accent5 6 3 3" xfId="16897"/>
    <cellStyle name="60% - Accent5 6 4" xfId="2733"/>
    <cellStyle name="60% - Accent5 6 4 2" xfId="16900"/>
    <cellStyle name="60% - Accent5 6 4 3" xfId="16899"/>
    <cellStyle name="60% - Accent5 6 5" xfId="3106"/>
    <cellStyle name="60% - Accent5 6 5 2" xfId="16902"/>
    <cellStyle name="60% - Accent5 6 5 3" xfId="16901"/>
    <cellStyle name="60% - Accent5 6 6" xfId="3477"/>
    <cellStyle name="60% - Accent5 6 6 2" xfId="16904"/>
    <cellStyle name="60% - Accent5 6 6 3" xfId="16903"/>
    <cellStyle name="60% - Accent5 6 7" xfId="3783"/>
    <cellStyle name="60% - Accent5 6 7 2" xfId="16906"/>
    <cellStyle name="60% - Accent5 6 7 3" xfId="16905"/>
    <cellStyle name="60% - Accent5 6 8" xfId="16907"/>
    <cellStyle name="60% - Accent5 6 8 2" xfId="16908"/>
    <cellStyle name="60% - Accent5 6 9" xfId="16909"/>
    <cellStyle name="60% - Accent5 7" xfId="425"/>
    <cellStyle name="60% - Accent5 7 2" xfId="16911"/>
    <cellStyle name="60% - Accent5 7 3" xfId="16910"/>
    <cellStyle name="60% - Accent5 8" xfId="568"/>
    <cellStyle name="60% - Accent5 8 2" xfId="16913"/>
    <cellStyle name="60% - Accent5 8 3" xfId="16912"/>
    <cellStyle name="60% - Accent5 9" xfId="569"/>
    <cellStyle name="60% - Accent5 9 2" xfId="16915"/>
    <cellStyle name="60% - Accent5 9 3" xfId="16914"/>
    <cellStyle name="60% - Accent6 10" xfId="708"/>
    <cellStyle name="60% - Accent6 10 2" xfId="16918"/>
    <cellStyle name="60% - Accent6 10 3" xfId="16917"/>
    <cellStyle name="60% - Accent6 11" xfId="709"/>
    <cellStyle name="60% - Accent6 11 2" xfId="16920"/>
    <cellStyle name="60% - Accent6 11 3" xfId="16919"/>
    <cellStyle name="60% - Accent6 12" xfId="849"/>
    <cellStyle name="60% - Accent6 12 2" xfId="16921"/>
    <cellStyle name="60% - Accent6 13" xfId="850"/>
    <cellStyle name="60% - Accent6 13 2" xfId="16916"/>
    <cellStyle name="60% - Accent6 14" xfId="955"/>
    <cellStyle name="60% - Accent6 2" xfId="85"/>
    <cellStyle name="60% - Accent6 2 10" xfId="1684"/>
    <cellStyle name="60% - Accent6 2 10 2" xfId="16924"/>
    <cellStyle name="60% - Accent6 2 10 3" xfId="16923"/>
    <cellStyle name="60% - Accent6 2 11" xfId="2019"/>
    <cellStyle name="60% - Accent6 2 11 2" xfId="16926"/>
    <cellStyle name="60% - Accent6 2 11 3" xfId="16925"/>
    <cellStyle name="60% - Accent6 2 12" xfId="2393"/>
    <cellStyle name="60% - Accent6 2 12 2" xfId="16928"/>
    <cellStyle name="60% - Accent6 2 12 3" xfId="16927"/>
    <cellStyle name="60% - Accent6 2 13" xfId="2766"/>
    <cellStyle name="60% - Accent6 2 13 2" xfId="16930"/>
    <cellStyle name="60% - Accent6 2 13 3" xfId="16929"/>
    <cellStyle name="60% - Accent6 2 14" xfId="3140"/>
    <cellStyle name="60% - Accent6 2 14 2" xfId="16932"/>
    <cellStyle name="60% - Accent6 2 14 3" xfId="16931"/>
    <cellStyle name="60% - Accent6 2 15" xfId="3511"/>
    <cellStyle name="60% - Accent6 2 15 2" xfId="16934"/>
    <cellStyle name="60% - Accent6 2 15 3" xfId="16933"/>
    <cellStyle name="60% - Accent6 2 16" xfId="3649"/>
    <cellStyle name="60% - Accent6 2 16 2" xfId="16936"/>
    <cellStyle name="60% - Accent6 2 16 3" xfId="16935"/>
    <cellStyle name="60% - Accent6 2 17" xfId="16937"/>
    <cellStyle name="60% - Accent6 2 17 2" xfId="16938"/>
    <cellStyle name="60% - Accent6 2 18" xfId="16939"/>
    <cellStyle name="60% - Accent6 2 19" xfId="16922"/>
    <cellStyle name="60% - Accent6 2 2" xfId="129"/>
    <cellStyle name="60% - Accent6 2 2 2" xfId="193"/>
    <cellStyle name="60% - Accent6 2 2 2 2" xfId="16942"/>
    <cellStyle name="60% - Accent6 2 2 2 3" xfId="16941"/>
    <cellStyle name="60% - Accent6 2 2 3" xfId="357"/>
    <cellStyle name="60% - Accent6 2 2 3 2" xfId="16944"/>
    <cellStyle name="60% - Accent6 2 2 3 3" xfId="16943"/>
    <cellStyle name="60% - Accent6 2 2 4" xfId="2179"/>
    <cellStyle name="60% - Accent6 2 2 4 2" xfId="16946"/>
    <cellStyle name="60% - Accent6 2 2 4 3" xfId="16945"/>
    <cellStyle name="60% - Accent6 2 2 5" xfId="2553"/>
    <cellStyle name="60% - Accent6 2 2 5 2" xfId="16948"/>
    <cellStyle name="60% - Accent6 2 2 5 3" xfId="16947"/>
    <cellStyle name="60% - Accent6 2 2 6" xfId="2925"/>
    <cellStyle name="60% - Accent6 2 2 6 2" xfId="16950"/>
    <cellStyle name="60% - Accent6 2 2 6 3" xfId="16949"/>
    <cellStyle name="60% - Accent6 2 2 7" xfId="3297"/>
    <cellStyle name="60% - Accent6 2 2 7 2" xfId="16952"/>
    <cellStyle name="60% - Accent6 2 2 7 3" xfId="16951"/>
    <cellStyle name="60% - Accent6 2 2 8" xfId="16953"/>
    <cellStyle name="60% - Accent6 2 2 9" xfId="16940"/>
    <cellStyle name="60% - Accent6 2 20" xfId="24483"/>
    <cellStyle name="60% - Accent6 2 3" xfId="294"/>
    <cellStyle name="60% - Accent6 2 3 2" xfId="1355"/>
    <cellStyle name="60% - Accent6 2 3 2 2" xfId="16955"/>
    <cellStyle name="60% - Accent6 2 3 3" xfId="16954"/>
    <cellStyle name="60% - Accent6 2 4" xfId="426"/>
    <cellStyle name="60% - Accent6 2 4 2" xfId="16957"/>
    <cellStyle name="60% - Accent6 2 4 3" xfId="16956"/>
    <cellStyle name="60% - Accent6 2 5" xfId="570"/>
    <cellStyle name="60% - Accent6 2 5 2" xfId="16959"/>
    <cellStyle name="60% - Accent6 2 5 3" xfId="16958"/>
    <cellStyle name="60% - Accent6 2 6" xfId="710"/>
    <cellStyle name="60% - Accent6 2 6 2" xfId="16961"/>
    <cellStyle name="60% - Accent6 2 6 3" xfId="16960"/>
    <cellStyle name="60% - Accent6 2 7" xfId="711"/>
    <cellStyle name="60% - Accent6 2 7 2" xfId="16963"/>
    <cellStyle name="60% - Accent6 2 7 3" xfId="16962"/>
    <cellStyle name="60% - Accent6 2 8" xfId="851"/>
    <cellStyle name="60% - Accent6 2 8 2" xfId="1413"/>
    <cellStyle name="60% - Accent6 2 8 2 2" xfId="16965"/>
    <cellStyle name="60% - Accent6 2 8 3" xfId="16964"/>
    <cellStyle name="60% - Accent6 2 9" xfId="956"/>
    <cellStyle name="60% - Accent6 2 9 2" xfId="1564"/>
    <cellStyle name="60% - Accent6 2 9 2 2" xfId="16967"/>
    <cellStyle name="60% - Accent6 2 9 3" xfId="16966"/>
    <cellStyle name="60% - Accent6 3" xfId="234"/>
    <cellStyle name="60% - Accent6 3 10" xfId="3692"/>
    <cellStyle name="60% - Accent6 3 10 2" xfId="16970"/>
    <cellStyle name="60% - Accent6 3 10 3" xfId="16969"/>
    <cellStyle name="60% - Accent6 3 11" xfId="16971"/>
    <cellStyle name="60% - Accent6 3 11 2" xfId="16972"/>
    <cellStyle name="60% - Accent6 3 12" xfId="16973"/>
    <cellStyle name="60% - Accent6 3 13" xfId="16968"/>
    <cellStyle name="60% - Accent6 3 2" xfId="1465"/>
    <cellStyle name="60% - Accent6 3 2 2" xfId="1845"/>
    <cellStyle name="60% - Accent6 3 2 2 2" xfId="16976"/>
    <cellStyle name="60% - Accent6 3 2 2 3" xfId="16975"/>
    <cellStyle name="60% - Accent6 3 2 3" xfId="2220"/>
    <cellStyle name="60% - Accent6 3 2 3 2" xfId="16978"/>
    <cellStyle name="60% - Accent6 3 2 3 3" xfId="16977"/>
    <cellStyle name="60% - Accent6 3 2 4" xfId="2594"/>
    <cellStyle name="60% - Accent6 3 2 4 2" xfId="16980"/>
    <cellStyle name="60% - Accent6 3 2 4 3" xfId="16979"/>
    <cellStyle name="60% - Accent6 3 2 5" xfId="2966"/>
    <cellStyle name="60% - Accent6 3 2 5 2" xfId="16982"/>
    <cellStyle name="60% - Accent6 3 2 5 3" xfId="16981"/>
    <cellStyle name="60% - Accent6 3 2 6" xfId="3338"/>
    <cellStyle name="60% - Accent6 3 2 6 2" xfId="16984"/>
    <cellStyle name="60% - Accent6 3 2 6 3" xfId="16983"/>
    <cellStyle name="60% - Accent6 3 2 7" xfId="16985"/>
    <cellStyle name="60% - Accent6 3 2 8" xfId="16974"/>
    <cellStyle name="60% - Accent6 3 3" xfId="1592"/>
    <cellStyle name="60% - Accent6 3 3 2" xfId="1922"/>
    <cellStyle name="60% - Accent6 3 3 2 2" xfId="16988"/>
    <cellStyle name="60% - Accent6 3 3 2 3" xfId="16987"/>
    <cellStyle name="60% - Accent6 3 3 3" xfId="2297"/>
    <cellStyle name="60% - Accent6 3 3 3 2" xfId="16990"/>
    <cellStyle name="60% - Accent6 3 3 3 3" xfId="16989"/>
    <cellStyle name="60% - Accent6 3 3 4" xfId="2670"/>
    <cellStyle name="60% - Accent6 3 3 4 2" xfId="16992"/>
    <cellStyle name="60% - Accent6 3 3 4 3" xfId="16991"/>
    <cellStyle name="60% - Accent6 3 3 5" xfId="3043"/>
    <cellStyle name="60% - Accent6 3 3 5 2" xfId="16994"/>
    <cellStyle name="60% - Accent6 3 3 5 3" xfId="16993"/>
    <cellStyle name="60% - Accent6 3 3 6" xfId="3414"/>
    <cellStyle name="60% - Accent6 3 3 6 2" xfId="16996"/>
    <cellStyle name="60% - Accent6 3 3 6 3" xfId="16995"/>
    <cellStyle name="60% - Accent6 3 3 7" xfId="16997"/>
    <cellStyle name="60% - Accent6 3 3 8" xfId="16986"/>
    <cellStyle name="60% - Accent6 3 4" xfId="1729"/>
    <cellStyle name="60% - Accent6 3 4 2" xfId="1966"/>
    <cellStyle name="60% - Accent6 3 4 2 2" xfId="17000"/>
    <cellStyle name="60% - Accent6 3 4 2 3" xfId="16999"/>
    <cellStyle name="60% - Accent6 3 4 3" xfId="2341"/>
    <cellStyle name="60% - Accent6 3 4 3 2" xfId="17002"/>
    <cellStyle name="60% - Accent6 3 4 3 3" xfId="17001"/>
    <cellStyle name="60% - Accent6 3 4 4" xfId="2714"/>
    <cellStyle name="60% - Accent6 3 4 4 2" xfId="17004"/>
    <cellStyle name="60% - Accent6 3 4 4 3" xfId="17003"/>
    <cellStyle name="60% - Accent6 3 4 5" xfId="3087"/>
    <cellStyle name="60% - Accent6 3 4 5 2" xfId="17006"/>
    <cellStyle name="60% - Accent6 3 4 5 3" xfId="17005"/>
    <cellStyle name="60% - Accent6 3 4 6" xfId="3458"/>
    <cellStyle name="60% - Accent6 3 4 6 2" xfId="17008"/>
    <cellStyle name="60% - Accent6 3 4 6 3" xfId="17007"/>
    <cellStyle name="60% - Accent6 3 4 7" xfId="17009"/>
    <cellStyle name="60% - Accent6 3 4 8" xfId="16998"/>
    <cellStyle name="60% - Accent6 3 5" xfId="2064"/>
    <cellStyle name="60% - Accent6 3 5 2" xfId="17011"/>
    <cellStyle name="60% - Accent6 3 5 3" xfId="17010"/>
    <cellStyle name="60% - Accent6 3 6" xfId="2438"/>
    <cellStyle name="60% - Accent6 3 6 2" xfId="17013"/>
    <cellStyle name="60% - Accent6 3 6 3" xfId="17012"/>
    <cellStyle name="60% - Accent6 3 7" xfId="2810"/>
    <cellStyle name="60% - Accent6 3 7 2" xfId="17015"/>
    <cellStyle name="60% - Accent6 3 7 3" xfId="17014"/>
    <cellStyle name="60% - Accent6 3 8" xfId="3181"/>
    <cellStyle name="60% - Accent6 3 8 2" xfId="17017"/>
    <cellStyle name="60% - Accent6 3 8 3" xfId="17016"/>
    <cellStyle name="60% - Accent6 3 9" xfId="3556"/>
    <cellStyle name="60% - Accent6 3 9 2" xfId="17019"/>
    <cellStyle name="60% - Accent6 3 9 3" xfId="17018"/>
    <cellStyle name="60% - Accent6 4" xfId="252"/>
    <cellStyle name="60% - Accent6 4 10" xfId="3736"/>
    <cellStyle name="60% - Accent6 4 10 2" xfId="17022"/>
    <cellStyle name="60% - Accent6 4 10 3" xfId="17021"/>
    <cellStyle name="60% - Accent6 4 11" xfId="1316"/>
    <cellStyle name="60% - Accent6 4 11 2" xfId="17024"/>
    <cellStyle name="60% - Accent6 4 11 3" xfId="17023"/>
    <cellStyle name="60% - Accent6 4 12" xfId="17025"/>
    <cellStyle name="60% - Accent6 4 13" xfId="17020"/>
    <cellStyle name="60% - Accent6 4 2" xfId="1510"/>
    <cellStyle name="60% - Accent6 4 2 2" xfId="17027"/>
    <cellStyle name="60% - Accent6 4 2 3" xfId="17026"/>
    <cellStyle name="60% - Accent6 4 3" xfId="1635"/>
    <cellStyle name="60% - Accent6 4 3 2" xfId="17029"/>
    <cellStyle name="60% - Accent6 4 3 3" xfId="17028"/>
    <cellStyle name="60% - Accent6 4 4" xfId="1790"/>
    <cellStyle name="60% - Accent6 4 4 2" xfId="17031"/>
    <cellStyle name="60% - Accent6 4 4 3" xfId="17030"/>
    <cellStyle name="60% - Accent6 4 5" xfId="2126"/>
    <cellStyle name="60% - Accent6 4 5 2" xfId="17033"/>
    <cellStyle name="60% - Accent6 4 5 3" xfId="17032"/>
    <cellStyle name="60% - Accent6 4 6" xfId="2500"/>
    <cellStyle name="60% - Accent6 4 6 2" xfId="17035"/>
    <cellStyle name="60% - Accent6 4 6 3" xfId="17034"/>
    <cellStyle name="60% - Accent6 4 7" xfId="2872"/>
    <cellStyle name="60% - Accent6 4 7 2" xfId="17037"/>
    <cellStyle name="60% - Accent6 4 7 3" xfId="17036"/>
    <cellStyle name="60% - Accent6 4 8" xfId="3243"/>
    <cellStyle name="60% - Accent6 4 8 2" xfId="17039"/>
    <cellStyle name="60% - Accent6 4 8 3" xfId="17038"/>
    <cellStyle name="60% - Accent6 4 9" xfId="3599"/>
    <cellStyle name="60% - Accent6 4 9 2" xfId="17041"/>
    <cellStyle name="60% - Accent6 4 9 3" xfId="17040"/>
    <cellStyle name="60% - Accent6 5" xfId="427"/>
    <cellStyle name="60% - Accent6 5 2" xfId="1877"/>
    <cellStyle name="60% - Accent6 5 2 2" xfId="17044"/>
    <cellStyle name="60% - Accent6 5 2 3" xfId="17043"/>
    <cellStyle name="60% - Accent6 5 3" xfId="2252"/>
    <cellStyle name="60% - Accent6 5 3 2" xfId="17046"/>
    <cellStyle name="60% - Accent6 5 3 3" xfId="17045"/>
    <cellStyle name="60% - Accent6 5 4" xfId="2625"/>
    <cellStyle name="60% - Accent6 5 4 2" xfId="17048"/>
    <cellStyle name="60% - Accent6 5 4 3" xfId="17047"/>
    <cellStyle name="60% - Accent6 5 5" xfId="2998"/>
    <cellStyle name="60% - Accent6 5 5 2" xfId="17050"/>
    <cellStyle name="60% - Accent6 5 5 3" xfId="17049"/>
    <cellStyle name="60% - Accent6 5 6" xfId="3369"/>
    <cellStyle name="60% - Accent6 5 6 2" xfId="17052"/>
    <cellStyle name="60% - Accent6 5 6 3" xfId="17051"/>
    <cellStyle name="60% - Accent6 5 7" xfId="17053"/>
    <cellStyle name="60% - Accent6 5 7 2" xfId="17054"/>
    <cellStyle name="60% - Accent6 5 8" xfId="17055"/>
    <cellStyle name="60% - Accent6 5 9" xfId="17042"/>
    <cellStyle name="60% - Accent6 6" xfId="428"/>
    <cellStyle name="60% - Accent6 6 10" xfId="17056"/>
    <cellStyle name="60% - Accent6 6 2" xfId="1986"/>
    <cellStyle name="60% - Accent6 6 2 2" xfId="17058"/>
    <cellStyle name="60% - Accent6 6 2 3" xfId="17057"/>
    <cellStyle name="60% - Accent6 6 3" xfId="2361"/>
    <cellStyle name="60% - Accent6 6 3 2" xfId="17060"/>
    <cellStyle name="60% - Accent6 6 3 3" xfId="17059"/>
    <cellStyle name="60% - Accent6 6 4" xfId="2734"/>
    <cellStyle name="60% - Accent6 6 4 2" xfId="17062"/>
    <cellStyle name="60% - Accent6 6 4 3" xfId="17061"/>
    <cellStyle name="60% - Accent6 6 5" xfId="3107"/>
    <cellStyle name="60% - Accent6 6 5 2" xfId="17064"/>
    <cellStyle name="60% - Accent6 6 5 3" xfId="17063"/>
    <cellStyle name="60% - Accent6 6 6" xfId="3478"/>
    <cellStyle name="60% - Accent6 6 6 2" xfId="17066"/>
    <cellStyle name="60% - Accent6 6 6 3" xfId="17065"/>
    <cellStyle name="60% - Accent6 6 7" xfId="3784"/>
    <cellStyle name="60% - Accent6 6 7 2" xfId="17068"/>
    <cellStyle name="60% - Accent6 6 7 3" xfId="17067"/>
    <cellStyle name="60% - Accent6 6 8" xfId="17069"/>
    <cellStyle name="60% - Accent6 6 8 2" xfId="17070"/>
    <cellStyle name="60% - Accent6 6 9" xfId="17071"/>
    <cellStyle name="60% - Accent6 7" xfId="429"/>
    <cellStyle name="60% - Accent6 7 2" xfId="17073"/>
    <cellStyle name="60% - Accent6 7 3" xfId="17072"/>
    <cellStyle name="60% - Accent6 8" xfId="571"/>
    <cellStyle name="60% - Accent6 8 2" xfId="17075"/>
    <cellStyle name="60% - Accent6 8 3" xfId="17074"/>
    <cellStyle name="60% - Accent6 9" xfId="572"/>
    <cellStyle name="60% - Accent6 9 2" xfId="17077"/>
    <cellStyle name="60% - Accent6 9 3" xfId="17076"/>
    <cellStyle name="Accent1 10" xfId="712"/>
    <cellStyle name="Accent1 10 2" xfId="17080"/>
    <cellStyle name="Accent1 10 3" xfId="17079"/>
    <cellStyle name="Accent1 11" xfId="713"/>
    <cellStyle name="Accent1 11 2" xfId="17082"/>
    <cellStyle name="Accent1 11 3" xfId="17081"/>
    <cellStyle name="Accent1 12" xfId="852"/>
    <cellStyle name="Accent1 12 2" xfId="17083"/>
    <cellStyle name="Accent1 13" xfId="853"/>
    <cellStyle name="Accent1 13 2" xfId="17078"/>
    <cellStyle name="Accent1 14" xfId="957"/>
    <cellStyle name="Accent1 2" xfId="86"/>
    <cellStyle name="Accent1 2 10" xfId="1685"/>
    <cellStyle name="Accent1 2 10 2" xfId="17086"/>
    <cellStyle name="Accent1 2 10 3" xfId="17085"/>
    <cellStyle name="Accent1 2 11" xfId="2020"/>
    <cellStyle name="Accent1 2 11 2" xfId="17088"/>
    <cellStyle name="Accent1 2 11 3" xfId="17087"/>
    <cellStyle name="Accent1 2 12" xfId="2394"/>
    <cellStyle name="Accent1 2 12 2" xfId="17090"/>
    <cellStyle name="Accent1 2 12 3" xfId="17089"/>
    <cellStyle name="Accent1 2 13" xfId="2767"/>
    <cellStyle name="Accent1 2 13 2" xfId="17092"/>
    <cellStyle name="Accent1 2 13 3" xfId="17091"/>
    <cellStyle name="Accent1 2 14" xfId="3141"/>
    <cellStyle name="Accent1 2 14 2" xfId="17094"/>
    <cellStyle name="Accent1 2 14 3" xfId="17093"/>
    <cellStyle name="Accent1 2 15" xfId="3512"/>
    <cellStyle name="Accent1 2 15 2" xfId="17096"/>
    <cellStyle name="Accent1 2 15 3" xfId="17095"/>
    <cellStyle name="Accent1 2 16" xfId="3650"/>
    <cellStyle name="Accent1 2 16 2" xfId="17098"/>
    <cellStyle name="Accent1 2 16 3" xfId="17097"/>
    <cellStyle name="Accent1 2 17" xfId="17099"/>
    <cellStyle name="Accent1 2 17 2" xfId="17100"/>
    <cellStyle name="Accent1 2 18" xfId="17101"/>
    <cellStyle name="Accent1 2 19" xfId="17084"/>
    <cellStyle name="Accent1 2 2" xfId="130"/>
    <cellStyle name="Accent1 2 2 2" xfId="170"/>
    <cellStyle name="Accent1 2 2 2 2" xfId="17104"/>
    <cellStyle name="Accent1 2 2 2 3" xfId="17103"/>
    <cellStyle name="Accent1 2 2 3" xfId="334"/>
    <cellStyle name="Accent1 2 2 3 2" xfId="17106"/>
    <cellStyle name="Accent1 2 2 3 3" xfId="17105"/>
    <cellStyle name="Accent1 2 2 4" xfId="2156"/>
    <cellStyle name="Accent1 2 2 4 2" xfId="17108"/>
    <cellStyle name="Accent1 2 2 4 3" xfId="17107"/>
    <cellStyle name="Accent1 2 2 5" xfId="2530"/>
    <cellStyle name="Accent1 2 2 5 2" xfId="17110"/>
    <cellStyle name="Accent1 2 2 5 3" xfId="17109"/>
    <cellStyle name="Accent1 2 2 6" xfId="2902"/>
    <cellStyle name="Accent1 2 2 6 2" xfId="17112"/>
    <cellStyle name="Accent1 2 2 6 3" xfId="17111"/>
    <cellStyle name="Accent1 2 2 7" xfId="3274"/>
    <cellStyle name="Accent1 2 2 7 2" xfId="17114"/>
    <cellStyle name="Accent1 2 2 7 3" xfId="17113"/>
    <cellStyle name="Accent1 2 2 8" xfId="17115"/>
    <cellStyle name="Accent1 2 2 9" xfId="17102"/>
    <cellStyle name="Accent1 2 20" xfId="24484"/>
    <cellStyle name="Accent1 2 3" xfId="295"/>
    <cellStyle name="Accent1 2 3 2" xfId="1332"/>
    <cellStyle name="Accent1 2 3 2 2" xfId="17117"/>
    <cellStyle name="Accent1 2 3 3" xfId="17116"/>
    <cellStyle name="Accent1 2 4" xfId="430"/>
    <cellStyle name="Accent1 2 4 2" xfId="17119"/>
    <cellStyle name="Accent1 2 4 3" xfId="17118"/>
    <cellStyle name="Accent1 2 5" xfId="573"/>
    <cellStyle name="Accent1 2 5 2" xfId="17121"/>
    <cellStyle name="Accent1 2 5 3" xfId="17120"/>
    <cellStyle name="Accent1 2 6" xfId="714"/>
    <cellStyle name="Accent1 2 6 2" xfId="17123"/>
    <cellStyle name="Accent1 2 6 3" xfId="17122"/>
    <cellStyle name="Accent1 2 7" xfId="715"/>
    <cellStyle name="Accent1 2 7 2" xfId="17125"/>
    <cellStyle name="Accent1 2 7 3" xfId="17124"/>
    <cellStyle name="Accent1 2 8" xfId="854"/>
    <cellStyle name="Accent1 2 8 2" xfId="1414"/>
    <cellStyle name="Accent1 2 8 2 2" xfId="17127"/>
    <cellStyle name="Accent1 2 8 3" xfId="17126"/>
    <cellStyle name="Accent1 2 9" xfId="958"/>
    <cellStyle name="Accent1 2 9 2" xfId="1563"/>
    <cellStyle name="Accent1 2 9 2 2" xfId="17129"/>
    <cellStyle name="Accent1 2 9 3" xfId="17128"/>
    <cellStyle name="Accent1 3" xfId="211"/>
    <cellStyle name="Accent1 3 10" xfId="3693"/>
    <cellStyle name="Accent1 3 10 2" xfId="17132"/>
    <cellStyle name="Accent1 3 10 3" xfId="17131"/>
    <cellStyle name="Accent1 3 11" xfId="17133"/>
    <cellStyle name="Accent1 3 11 2" xfId="17134"/>
    <cellStyle name="Accent1 3 12" xfId="17135"/>
    <cellStyle name="Accent1 3 13" xfId="17130"/>
    <cellStyle name="Accent1 3 2" xfId="1466"/>
    <cellStyle name="Accent1 3 2 2" xfId="1822"/>
    <cellStyle name="Accent1 3 2 2 2" xfId="17138"/>
    <cellStyle name="Accent1 3 2 2 3" xfId="17137"/>
    <cellStyle name="Accent1 3 2 3" xfId="2197"/>
    <cellStyle name="Accent1 3 2 3 2" xfId="17140"/>
    <cellStyle name="Accent1 3 2 3 3" xfId="17139"/>
    <cellStyle name="Accent1 3 2 4" xfId="2571"/>
    <cellStyle name="Accent1 3 2 4 2" xfId="17142"/>
    <cellStyle name="Accent1 3 2 4 3" xfId="17141"/>
    <cellStyle name="Accent1 3 2 5" xfId="2943"/>
    <cellStyle name="Accent1 3 2 5 2" xfId="17144"/>
    <cellStyle name="Accent1 3 2 5 3" xfId="17143"/>
    <cellStyle name="Accent1 3 2 6" xfId="3315"/>
    <cellStyle name="Accent1 3 2 6 2" xfId="17146"/>
    <cellStyle name="Accent1 3 2 6 3" xfId="17145"/>
    <cellStyle name="Accent1 3 2 7" xfId="17147"/>
    <cellStyle name="Accent1 3 2 8" xfId="17136"/>
    <cellStyle name="Accent1 3 3" xfId="1593"/>
    <cellStyle name="Accent1 3 3 2" xfId="1899"/>
    <cellStyle name="Accent1 3 3 2 2" xfId="17150"/>
    <cellStyle name="Accent1 3 3 2 3" xfId="17149"/>
    <cellStyle name="Accent1 3 3 3" xfId="2274"/>
    <cellStyle name="Accent1 3 3 3 2" xfId="17152"/>
    <cellStyle name="Accent1 3 3 3 3" xfId="17151"/>
    <cellStyle name="Accent1 3 3 4" xfId="2647"/>
    <cellStyle name="Accent1 3 3 4 2" xfId="17154"/>
    <cellStyle name="Accent1 3 3 4 3" xfId="17153"/>
    <cellStyle name="Accent1 3 3 5" xfId="3020"/>
    <cellStyle name="Accent1 3 3 5 2" xfId="17156"/>
    <cellStyle name="Accent1 3 3 5 3" xfId="17155"/>
    <cellStyle name="Accent1 3 3 6" xfId="3391"/>
    <cellStyle name="Accent1 3 3 6 2" xfId="17158"/>
    <cellStyle name="Accent1 3 3 6 3" xfId="17157"/>
    <cellStyle name="Accent1 3 3 7" xfId="17159"/>
    <cellStyle name="Accent1 3 3 8" xfId="17148"/>
    <cellStyle name="Accent1 3 4" xfId="1730"/>
    <cellStyle name="Accent1 3 4 2" xfId="1943"/>
    <cellStyle name="Accent1 3 4 2 2" xfId="17162"/>
    <cellStyle name="Accent1 3 4 2 3" xfId="17161"/>
    <cellStyle name="Accent1 3 4 3" xfId="2318"/>
    <cellStyle name="Accent1 3 4 3 2" xfId="17164"/>
    <cellStyle name="Accent1 3 4 3 3" xfId="17163"/>
    <cellStyle name="Accent1 3 4 4" xfId="2691"/>
    <cellStyle name="Accent1 3 4 4 2" xfId="17166"/>
    <cellStyle name="Accent1 3 4 4 3" xfId="17165"/>
    <cellStyle name="Accent1 3 4 5" xfId="3064"/>
    <cellStyle name="Accent1 3 4 5 2" xfId="17168"/>
    <cellStyle name="Accent1 3 4 5 3" xfId="17167"/>
    <cellStyle name="Accent1 3 4 6" xfId="3435"/>
    <cellStyle name="Accent1 3 4 6 2" xfId="17170"/>
    <cellStyle name="Accent1 3 4 6 3" xfId="17169"/>
    <cellStyle name="Accent1 3 4 7" xfId="17171"/>
    <cellStyle name="Accent1 3 4 8" xfId="17160"/>
    <cellStyle name="Accent1 3 5" xfId="2065"/>
    <cellStyle name="Accent1 3 5 2" xfId="17173"/>
    <cellStyle name="Accent1 3 5 3" xfId="17172"/>
    <cellStyle name="Accent1 3 6" xfId="2439"/>
    <cellStyle name="Accent1 3 6 2" xfId="17175"/>
    <cellStyle name="Accent1 3 6 3" xfId="17174"/>
    <cellStyle name="Accent1 3 7" xfId="2811"/>
    <cellStyle name="Accent1 3 7 2" xfId="17177"/>
    <cellStyle name="Accent1 3 7 3" xfId="17176"/>
    <cellStyle name="Accent1 3 8" xfId="3182"/>
    <cellStyle name="Accent1 3 8 2" xfId="17179"/>
    <cellStyle name="Accent1 3 8 3" xfId="17178"/>
    <cellStyle name="Accent1 3 9" xfId="3557"/>
    <cellStyle name="Accent1 3 9 2" xfId="17181"/>
    <cellStyle name="Accent1 3 9 3" xfId="17180"/>
    <cellStyle name="Accent1 4" xfId="253"/>
    <cellStyle name="Accent1 4 10" xfId="3737"/>
    <cellStyle name="Accent1 4 10 2" xfId="17184"/>
    <cellStyle name="Accent1 4 10 3" xfId="17183"/>
    <cellStyle name="Accent1 4 11" xfId="1293"/>
    <cellStyle name="Accent1 4 11 2" xfId="17186"/>
    <cellStyle name="Accent1 4 11 3" xfId="17185"/>
    <cellStyle name="Accent1 4 12" xfId="17187"/>
    <cellStyle name="Accent1 4 13" xfId="17182"/>
    <cellStyle name="Accent1 4 2" xfId="1511"/>
    <cellStyle name="Accent1 4 2 2" xfId="17189"/>
    <cellStyle name="Accent1 4 2 3" xfId="17188"/>
    <cellStyle name="Accent1 4 3" xfId="1636"/>
    <cellStyle name="Accent1 4 3 2" xfId="17191"/>
    <cellStyle name="Accent1 4 3 3" xfId="17190"/>
    <cellStyle name="Accent1 4 4" xfId="1789"/>
    <cellStyle name="Accent1 4 4 2" xfId="17193"/>
    <cellStyle name="Accent1 4 4 3" xfId="17192"/>
    <cellStyle name="Accent1 4 5" xfId="2125"/>
    <cellStyle name="Accent1 4 5 2" xfId="17195"/>
    <cellStyle name="Accent1 4 5 3" xfId="17194"/>
    <cellStyle name="Accent1 4 6" xfId="2499"/>
    <cellStyle name="Accent1 4 6 2" xfId="17197"/>
    <cellStyle name="Accent1 4 6 3" xfId="17196"/>
    <cellStyle name="Accent1 4 7" xfId="2871"/>
    <cellStyle name="Accent1 4 7 2" xfId="17199"/>
    <cellStyle name="Accent1 4 7 3" xfId="17198"/>
    <cellStyle name="Accent1 4 8" xfId="3242"/>
    <cellStyle name="Accent1 4 8 2" xfId="17201"/>
    <cellStyle name="Accent1 4 8 3" xfId="17200"/>
    <cellStyle name="Accent1 4 9" xfId="3600"/>
    <cellStyle name="Accent1 4 9 2" xfId="17203"/>
    <cellStyle name="Accent1 4 9 3" xfId="17202"/>
    <cellStyle name="Accent1 5" xfId="431"/>
    <cellStyle name="Accent1 5 2" xfId="1857"/>
    <cellStyle name="Accent1 5 2 2" xfId="17206"/>
    <cellStyle name="Accent1 5 2 3" xfId="17205"/>
    <cellStyle name="Accent1 5 3" xfId="2232"/>
    <cellStyle name="Accent1 5 3 2" xfId="17208"/>
    <cellStyle name="Accent1 5 3 3" xfId="17207"/>
    <cellStyle name="Accent1 5 4" xfId="2606"/>
    <cellStyle name="Accent1 5 4 2" xfId="17210"/>
    <cellStyle name="Accent1 5 4 3" xfId="17209"/>
    <cellStyle name="Accent1 5 5" xfId="2978"/>
    <cellStyle name="Accent1 5 5 2" xfId="17212"/>
    <cellStyle name="Accent1 5 5 3" xfId="17211"/>
    <cellStyle name="Accent1 5 6" xfId="3350"/>
    <cellStyle name="Accent1 5 6 2" xfId="17214"/>
    <cellStyle name="Accent1 5 6 3" xfId="17213"/>
    <cellStyle name="Accent1 5 7" xfId="17215"/>
    <cellStyle name="Accent1 5 7 2" xfId="17216"/>
    <cellStyle name="Accent1 5 8" xfId="17217"/>
    <cellStyle name="Accent1 5 9" xfId="17204"/>
    <cellStyle name="Accent1 6" xfId="432"/>
    <cellStyle name="Accent1 6 10" xfId="17218"/>
    <cellStyle name="Accent1 6 2" xfId="1987"/>
    <cellStyle name="Accent1 6 2 2" xfId="17220"/>
    <cellStyle name="Accent1 6 2 3" xfId="17219"/>
    <cellStyle name="Accent1 6 3" xfId="2362"/>
    <cellStyle name="Accent1 6 3 2" xfId="17222"/>
    <cellStyle name="Accent1 6 3 3" xfId="17221"/>
    <cellStyle name="Accent1 6 4" xfId="2735"/>
    <cellStyle name="Accent1 6 4 2" xfId="17224"/>
    <cellStyle name="Accent1 6 4 3" xfId="17223"/>
    <cellStyle name="Accent1 6 5" xfId="3108"/>
    <cellStyle name="Accent1 6 5 2" xfId="17226"/>
    <cellStyle name="Accent1 6 5 3" xfId="17225"/>
    <cellStyle name="Accent1 6 6" xfId="3479"/>
    <cellStyle name="Accent1 6 6 2" xfId="17228"/>
    <cellStyle name="Accent1 6 6 3" xfId="17227"/>
    <cellStyle name="Accent1 6 7" xfId="3785"/>
    <cellStyle name="Accent1 6 7 2" xfId="17230"/>
    <cellStyle name="Accent1 6 7 3" xfId="17229"/>
    <cellStyle name="Accent1 6 8" xfId="17231"/>
    <cellStyle name="Accent1 6 8 2" xfId="17232"/>
    <cellStyle name="Accent1 6 9" xfId="17233"/>
    <cellStyle name="Accent1 7" xfId="433"/>
    <cellStyle name="Accent1 7 2" xfId="17235"/>
    <cellStyle name="Accent1 7 3" xfId="17234"/>
    <cellStyle name="Accent1 8" xfId="574"/>
    <cellStyle name="Accent1 8 2" xfId="17237"/>
    <cellStyle name="Accent1 8 3" xfId="17236"/>
    <cellStyle name="Accent1 9" xfId="575"/>
    <cellStyle name="Accent1 9 2" xfId="17239"/>
    <cellStyle name="Accent1 9 3" xfId="17238"/>
    <cellStyle name="Accent2 10" xfId="716"/>
    <cellStyle name="Accent2 10 2" xfId="17242"/>
    <cellStyle name="Accent2 10 3" xfId="17241"/>
    <cellStyle name="Accent2 11" xfId="717"/>
    <cellStyle name="Accent2 11 2" xfId="17244"/>
    <cellStyle name="Accent2 11 3" xfId="17243"/>
    <cellStyle name="Accent2 12" xfId="855"/>
    <cellStyle name="Accent2 12 2" xfId="17245"/>
    <cellStyle name="Accent2 13" xfId="856"/>
    <cellStyle name="Accent2 13 2" xfId="17240"/>
    <cellStyle name="Accent2 14" xfId="959"/>
    <cellStyle name="Accent2 2" xfId="87"/>
    <cellStyle name="Accent2 2 10" xfId="1686"/>
    <cellStyle name="Accent2 2 10 2" xfId="17248"/>
    <cellStyle name="Accent2 2 10 3" xfId="17247"/>
    <cellStyle name="Accent2 2 11" xfId="2021"/>
    <cellStyle name="Accent2 2 11 2" xfId="17250"/>
    <cellStyle name="Accent2 2 11 3" xfId="17249"/>
    <cellStyle name="Accent2 2 12" xfId="2395"/>
    <cellStyle name="Accent2 2 12 2" xfId="17252"/>
    <cellStyle name="Accent2 2 12 3" xfId="17251"/>
    <cellStyle name="Accent2 2 13" xfId="2768"/>
    <cellStyle name="Accent2 2 13 2" xfId="17254"/>
    <cellStyle name="Accent2 2 13 3" xfId="17253"/>
    <cellStyle name="Accent2 2 14" xfId="3142"/>
    <cellStyle name="Accent2 2 14 2" xfId="17256"/>
    <cellStyle name="Accent2 2 14 3" xfId="17255"/>
    <cellStyle name="Accent2 2 15" xfId="3513"/>
    <cellStyle name="Accent2 2 15 2" xfId="17258"/>
    <cellStyle name="Accent2 2 15 3" xfId="17257"/>
    <cellStyle name="Accent2 2 16" xfId="3651"/>
    <cellStyle name="Accent2 2 16 2" xfId="17260"/>
    <cellStyle name="Accent2 2 16 3" xfId="17259"/>
    <cellStyle name="Accent2 2 17" xfId="17261"/>
    <cellStyle name="Accent2 2 17 2" xfId="17262"/>
    <cellStyle name="Accent2 2 18" xfId="17263"/>
    <cellStyle name="Accent2 2 19" xfId="17246"/>
    <cellStyle name="Accent2 2 2" xfId="131"/>
    <cellStyle name="Accent2 2 2 2" xfId="174"/>
    <cellStyle name="Accent2 2 2 2 2" xfId="17266"/>
    <cellStyle name="Accent2 2 2 2 3" xfId="17265"/>
    <cellStyle name="Accent2 2 2 3" xfId="338"/>
    <cellStyle name="Accent2 2 2 3 2" xfId="17268"/>
    <cellStyle name="Accent2 2 2 3 3" xfId="17267"/>
    <cellStyle name="Accent2 2 2 4" xfId="2160"/>
    <cellStyle name="Accent2 2 2 4 2" xfId="17270"/>
    <cellStyle name="Accent2 2 2 4 3" xfId="17269"/>
    <cellStyle name="Accent2 2 2 5" xfId="2534"/>
    <cellStyle name="Accent2 2 2 5 2" xfId="17272"/>
    <cellStyle name="Accent2 2 2 5 3" xfId="17271"/>
    <cellStyle name="Accent2 2 2 6" xfId="2906"/>
    <cellStyle name="Accent2 2 2 6 2" xfId="17274"/>
    <cellStyle name="Accent2 2 2 6 3" xfId="17273"/>
    <cellStyle name="Accent2 2 2 7" xfId="3278"/>
    <cellStyle name="Accent2 2 2 7 2" xfId="17276"/>
    <cellStyle name="Accent2 2 2 7 3" xfId="17275"/>
    <cellStyle name="Accent2 2 2 8" xfId="17277"/>
    <cellStyle name="Accent2 2 2 9" xfId="17264"/>
    <cellStyle name="Accent2 2 20" xfId="24485"/>
    <cellStyle name="Accent2 2 3" xfId="296"/>
    <cellStyle name="Accent2 2 3 2" xfId="1336"/>
    <cellStyle name="Accent2 2 3 2 2" xfId="17279"/>
    <cellStyle name="Accent2 2 3 3" xfId="17278"/>
    <cellStyle name="Accent2 2 4" xfId="434"/>
    <cellStyle name="Accent2 2 4 2" xfId="17281"/>
    <cellStyle name="Accent2 2 4 3" xfId="17280"/>
    <cellStyle name="Accent2 2 5" xfId="576"/>
    <cellStyle name="Accent2 2 5 2" xfId="17283"/>
    <cellStyle name="Accent2 2 5 3" xfId="17282"/>
    <cellStyle name="Accent2 2 6" xfId="718"/>
    <cellStyle name="Accent2 2 6 2" xfId="17285"/>
    <cellStyle name="Accent2 2 6 3" xfId="17284"/>
    <cellStyle name="Accent2 2 7" xfId="719"/>
    <cellStyle name="Accent2 2 7 2" xfId="17287"/>
    <cellStyle name="Accent2 2 7 3" xfId="17286"/>
    <cellStyle name="Accent2 2 8" xfId="857"/>
    <cellStyle name="Accent2 2 8 2" xfId="1415"/>
    <cellStyle name="Accent2 2 8 2 2" xfId="17289"/>
    <cellStyle name="Accent2 2 8 3" xfId="17288"/>
    <cellStyle name="Accent2 2 9" xfId="960"/>
    <cellStyle name="Accent2 2 9 2" xfId="1562"/>
    <cellStyle name="Accent2 2 9 2 2" xfId="17291"/>
    <cellStyle name="Accent2 2 9 3" xfId="17290"/>
    <cellStyle name="Accent2 3" xfId="215"/>
    <cellStyle name="Accent2 3 10" xfId="3694"/>
    <cellStyle name="Accent2 3 10 2" xfId="17294"/>
    <cellStyle name="Accent2 3 10 3" xfId="17293"/>
    <cellStyle name="Accent2 3 11" xfId="17295"/>
    <cellStyle name="Accent2 3 11 2" xfId="17296"/>
    <cellStyle name="Accent2 3 12" xfId="17297"/>
    <cellStyle name="Accent2 3 13" xfId="17292"/>
    <cellStyle name="Accent2 3 2" xfId="1467"/>
    <cellStyle name="Accent2 3 2 2" xfId="1826"/>
    <cellStyle name="Accent2 3 2 2 2" xfId="17300"/>
    <cellStyle name="Accent2 3 2 2 3" xfId="17299"/>
    <cellStyle name="Accent2 3 2 3" xfId="2201"/>
    <cellStyle name="Accent2 3 2 3 2" xfId="17302"/>
    <cellStyle name="Accent2 3 2 3 3" xfId="17301"/>
    <cellStyle name="Accent2 3 2 4" xfId="2575"/>
    <cellStyle name="Accent2 3 2 4 2" xfId="17304"/>
    <cellStyle name="Accent2 3 2 4 3" xfId="17303"/>
    <cellStyle name="Accent2 3 2 5" xfId="2947"/>
    <cellStyle name="Accent2 3 2 5 2" xfId="17306"/>
    <cellStyle name="Accent2 3 2 5 3" xfId="17305"/>
    <cellStyle name="Accent2 3 2 6" xfId="3319"/>
    <cellStyle name="Accent2 3 2 6 2" xfId="17308"/>
    <cellStyle name="Accent2 3 2 6 3" xfId="17307"/>
    <cellStyle name="Accent2 3 2 7" xfId="17309"/>
    <cellStyle name="Accent2 3 2 8" xfId="17298"/>
    <cellStyle name="Accent2 3 3" xfId="1594"/>
    <cellStyle name="Accent2 3 3 2" xfId="1903"/>
    <cellStyle name="Accent2 3 3 2 2" xfId="17312"/>
    <cellStyle name="Accent2 3 3 2 3" xfId="17311"/>
    <cellStyle name="Accent2 3 3 3" xfId="2278"/>
    <cellStyle name="Accent2 3 3 3 2" xfId="17314"/>
    <cellStyle name="Accent2 3 3 3 3" xfId="17313"/>
    <cellStyle name="Accent2 3 3 4" xfId="2651"/>
    <cellStyle name="Accent2 3 3 4 2" xfId="17316"/>
    <cellStyle name="Accent2 3 3 4 3" xfId="17315"/>
    <cellStyle name="Accent2 3 3 5" xfId="3024"/>
    <cellStyle name="Accent2 3 3 5 2" xfId="17318"/>
    <cellStyle name="Accent2 3 3 5 3" xfId="17317"/>
    <cellStyle name="Accent2 3 3 6" xfId="3395"/>
    <cellStyle name="Accent2 3 3 6 2" xfId="17320"/>
    <cellStyle name="Accent2 3 3 6 3" xfId="17319"/>
    <cellStyle name="Accent2 3 3 7" xfId="17321"/>
    <cellStyle name="Accent2 3 3 8" xfId="17310"/>
    <cellStyle name="Accent2 3 4" xfId="1731"/>
    <cellStyle name="Accent2 3 4 2" xfId="1947"/>
    <cellStyle name="Accent2 3 4 2 2" xfId="17324"/>
    <cellStyle name="Accent2 3 4 2 3" xfId="17323"/>
    <cellStyle name="Accent2 3 4 3" xfId="2322"/>
    <cellStyle name="Accent2 3 4 3 2" xfId="17326"/>
    <cellStyle name="Accent2 3 4 3 3" xfId="17325"/>
    <cellStyle name="Accent2 3 4 4" xfId="2695"/>
    <cellStyle name="Accent2 3 4 4 2" xfId="17328"/>
    <cellStyle name="Accent2 3 4 4 3" xfId="17327"/>
    <cellStyle name="Accent2 3 4 5" xfId="3068"/>
    <cellStyle name="Accent2 3 4 5 2" xfId="17330"/>
    <cellStyle name="Accent2 3 4 5 3" xfId="17329"/>
    <cellStyle name="Accent2 3 4 6" xfId="3439"/>
    <cellStyle name="Accent2 3 4 6 2" xfId="17332"/>
    <cellStyle name="Accent2 3 4 6 3" xfId="17331"/>
    <cellStyle name="Accent2 3 4 7" xfId="17333"/>
    <cellStyle name="Accent2 3 4 8" xfId="17322"/>
    <cellStyle name="Accent2 3 5" xfId="2066"/>
    <cellStyle name="Accent2 3 5 2" xfId="17335"/>
    <cellStyle name="Accent2 3 5 3" xfId="17334"/>
    <cellStyle name="Accent2 3 6" xfId="2440"/>
    <cellStyle name="Accent2 3 6 2" xfId="17337"/>
    <cellStyle name="Accent2 3 6 3" xfId="17336"/>
    <cellStyle name="Accent2 3 7" xfId="2812"/>
    <cellStyle name="Accent2 3 7 2" xfId="17339"/>
    <cellStyle name="Accent2 3 7 3" xfId="17338"/>
    <cellStyle name="Accent2 3 8" xfId="3183"/>
    <cellStyle name="Accent2 3 8 2" xfId="17341"/>
    <cellStyle name="Accent2 3 8 3" xfId="17340"/>
    <cellStyle name="Accent2 3 9" xfId="3558"/>
    <cellStyle name="Accent2 3 9 2" xfId="17343"/>
    <cellStyle name="Accent2 3 9 3" xfId="17342"/>
    <cellStyle name="Accent2 4" xfId="254"/>
    <cellStyle name="Accent2 4 10" xfId="3738"/>
    <cellStyle name="Accent2 4 10 2" xfId="17346"/>
    <cellStyle name="Accent2 4 10 3" xfId="17345"/>
    <cellStyle name="Accent2 4 11" xfId="1297"/>
    <cellStyle name="Accent2 4 11 2" xfId="17348"/>
    <cellStyle name="Accent2 4 11 3" xfId="17347"/>
    <cellStyle name="Accent2 4 12" xfId="17349"/>
    <cellStyle name="Accent2 4 13" xfId="17344"/>
    <cellStyle name="Accent2 4 2" xfId="1512"/>
    <cellStyle name="Accent2 4 2 2" xfId="17351"/>
    <cellStyle name="Accent2 4 2 3" xfId="17350"/>
    <cellStyle name="Accent2 4 3" xfId="1637"/>
    <cellStyle name="Accent2 4 3 2" xfId="17353"/>
    <cellStyle name="Accent2 4 3 3" xfId="17352"/>
    <cellStyle name="Accent2 4 4" xfId="1788"/>
    <cellStyle name="Accent2 4 4 2" xfId="17355"/>
    <cellStyle name="Accent2 4 4 3" xfId="17354"/>
    <cellStyle name="Accent2 4 5" xfId="2124"/>
    <cellStyle name="Accent2 4 5 2" xfId="17357"/>
    <cellStyle name="Accent2 4 5 3" xfId="17356"/>
    <cellStyle name="Accent2 4 6" xfId="2498"/>
    <cellStyle name="Accent2 4 6 2" xfId="17359"/>
    <cellStyle name="Accent2 4 6 3" xfId="17358"/>
    <cellStyle name="Accent2 4 7" xfId="2870"/>
    <cellStyle name="Accent2 4 7 2" xfId="17361"/>
    <cellStyle name="Accent2 4 7 3" xfId="17360"/>
    <cellStyle name="Accent2 4 8" xfId="3241"/>
    <cellStyle name="Accent2 4 8 2" xfId="17363"/>
    <cellStyle name="Accent2 4 8 3" xfId="17362"/>
    <cellStyle name="Accent2 4 9" xfId="3601"/>
    <cellStyle name="Accent2 4 9 2" xfId="17365"/>
    <cellStyle name="Accent2 4 9 3" xfId="17364"/>
    <cellStyle name="Accent2 5" xfId="435"/>
    <cellStyle name="Accent2 5 2" xfId="1874"/>
    <cellStyle name="Accent2 5 2 2" xfId="17368"/>
    <cellStyle name="Accent2 5 2 3" xfId="17367"/>
    <cellStyle name="Accent2 5 3" xfId="2249"/>
    <cellStyle name="Accent2 5 3 2" xfId="17370"/>
    <cellStyle name="Accent2 5 3 3" xfId="17369"/>
    <cellStyle name="Accent2 5 4" xfId="2623"/>
    <cellStyle name="Accent2 5 4 2" xfId="17372"/>
    <cellStyle name="Accent2 5 4 3" xfId="17371"/>
    <cellStyle name="Accent2 5 5" xfId="2995"/>
    <cellStyle name="Accent2 5 5 2" xfId="17374"/>
    <cellStyle name="Accent2 5 5 3" xfId="17373"/>
    <cellStyle name="Accent2 5 6" xfId="3367"/>
    <cellStyle name="Accent2 5 6 2" xfId="17376"/>
    <cellStyle name="Accent2 5 6 3" xfId="17375"/>
    <cellStyle name="Accent2 5 7" xfId="17377"/>
    <cellStyle name="Accent2 5 7 2" xfId="17378"/>
    <cellStyle name="Accent2 5 8" xfId="17379"/>
    <cellStyle name="Accent2 5 9" xfId="17366"/>
    <cellStyle name="Accent2 6" xfId="436"/>
    <cellStyle name="Accent2 6 10" xfId="17380"/>
    <cellStyle name="Accent2 6 2" xfId="1988"/>
    <cellStyle name="Accent2 6 2 2" xfId="17382"/>
    <cellStyle name="Accent2 6 2 3" xfId="17381"/>
    <cellStyle name="Accent2 6 3" xfId="2363"/>
    <cellStyle name="Accent2 6 3 2" xfId="17384"/>
    <cellStyle name="Accent2 6 3 3" xfId="17383"/>
    <cellStyle name="Accent2 6 4" xfId="2736"/>
    <cellStyle name="Accent2 6 4 2" xfId="17386"/>
    <cellStyle name="Accent2 6 4 3" xfId="17385"/>
    <cellStyle name="Accent2 6 5" xfId="3109"/>
    <cellStyle name="Accent2 6 5 2" xfId="17388"/>
    <cellStyle name="Accent2 6 5 3" xfId="17387"/>
    <cellStyle name="Accent2 6 6" xfId="3480"/>
    <cellStyle name="Accent2 6 6 2" xfId="17390"/>
    <cellStyle name="Accent2 6 6 3" xfId="17389"/>
    <cellStyle name="Accent2 6 7" xfId="3786"/>
    <cellStyle name="Accent2 6 7 2" xfId="17392"/>
    <cellStyle name="Accent2 6 7 3" xfId="17391"/>
    <cellStyle name="Accent2 6 8" xfId="17393"/>
    <cellStyle name="Accent2 6 8 2" xfId="17394"/>
    <cellStyle name="Accent2 6 9" xfId="17395"/>
    <cellStyle name="Accent2 7" xfId="437"/>
    <cellStyle name="Accent2 7 2" xfId="17397"/>
    <cellStyle name="Accent2 7 3" xfId="17396"/>
    <cellStyle name="Accent2 8" xfId="577"/>
    <cellStyle name="Accent2 8 2" xfId="17399"/>
    <cellStyle name="Accent2 8 3" xfId="17398"/>
    <cellStyle name="Accent2 9" xfId="578"/>
    <cellStyle name="Accent2 9 2" xfId="17401"/>
    <cellStyle name="Accent2 9 3" xfId="17400"/>
    <cellStyle name="Accent3 10" xfId="720"/>
    <cellStyle name="Accent3 10 2" xfId="17404"/>
    <cellStyle name="Accent3 10 3" xfId="17403"/>
    <cellStyle name="Accent3 11" xfId="721"/>
    <cellStyle name="Accent3 11 2" xfId="17406"/>
    <cellStyle name="Accent3 11 3" xfId="17405"/>
    <cellStyle name="Accent3 12" xfId="858"/>
    <cellStyle name="Accent3 12 2" xfId="17407"/>
    <cellStyle name="Accent3 13" xfId="859"/>
    <cellStyle name="Accent3 13 2" xfId="17402"/>
    <cellStyle name="Accent3 14" xfId="961"/>
    <cellStyle name="Accent3 2" xfId="88"/>
    <cellStyle name="Accent3 2 10" xfId="1687"/>
    <cellStyle name="Accent3 2 10 2" xfId="17410"/>
    <cellStyle name="Accent3 2 10 3" xfId="17409"/>
    <cellStyle name="Accent3 2 11" xfId="2022"/>
    <cellStyle name="Accent3 2 11 2" xfId="17412"/>
    <cellStyle name="Accent3 2 11 3" xfId="17411"/>
    <cellStyle name="Accent3 2 12" xfId="2396"/>
    <cellStyle name="Accent3 2 12 2" xfId="17414"/>
    <cellStyle name="Accent3 2 12 3" xfId="17413"/>
    <cellStyle name="Accent3 2 13" xfId="2769"/>
    <cellStyle name="Accent3 2 13 2" xfId="17416"/>
    <cellStyle name="Accent3 2 13 3" xfId="17415"/>
    <cellStyle name="Accent3 2 14" xfId="3143"/>
    <cellStyle name="Accent3 2 14 2" xfId="17418"/>
    <cellStyle name="Accent3 2 14 3" xfId="17417"/>
    <cellStyle name="Accent3 2 15" xfId="3514"/>
    <cellStyle name="Accent3 2 15 2" xfId="17420"/>
    <cellStyle name="Accent3 2 15 3" xfId="17419"/>
    <cellStyle name="Accent3 2 16" xfId="3652"/>
    <cellStyle name="Accent3 2 16 2" xfId="17422"/>
    <cellStyle name="Accent3 2 16 3" xfId="17421"/>
    <cellStyle name="Accent3 2 17" xfId="17423"/>
    <cellStyle name="Accent3 2 17 2" xfId="17424"/>
    <cellStyle name="Accent3 2 18" xfId="17425"/>
    <cellStyle name="Accent3 2 19" xfId="17408"/>
    <cellStyle name="Accent3 2 2" xfId="132"/>
    <cellStyle name="Accent3 2 2 2" xfId="178"/>
    <cellStyle name="Accent3 2 2 2 2" xfId="17428"/>
    <cellStyle name="Accent3 2 2 2 3" xfId="17427"/>
    <cellStyle name="Accent3 2 2 3" xfId="342"/>
    <cellStyle name="Accent3 2 2 3 2" xfId="17430"/>
    <cellStyle name="Accent3 2 2 3 3" xfId="17429"/>
    <cellStyle name="Accent3 2 2 4" xfId="2164"/>
    <cellStyle name="Accent3 2 2 4 2" xfId="17432"/>
    <cellStyle name="Accent3 2 2 4 3" xfId="17431"/>
    <cellStyle name="Accent3 2 2 5" xfId="2538"/>
    <cellStyle name="Accent3 2 2 5 2" xfId="17434"/>
    <cellStyle name="Accent3 2 2 5 3" xfId="17433"/>
    <cellStyle name="Accent3 2 2 6" xfId="2910"/>
    <cellStyle name="Accent3 2 2 6 2" xfId="17436"/>
    <cellStyle name="Accent3 2 2 6 3" xfId="17435"/>
    <cellStyle name="Accent3 2 2 7" xfId="3282"/>
    <cellStyle name="Accent3 2 2 7 2" xfId="17438"/>
    <cellStyle name="Accent3 2 2 7 3" xfId="17437"/>
    <cellStyle name="Accent3 2 2 8" xfId="17439"/>
    <cellStyle name="Accent3 2 2 9" xfId="17426"/>
    <cellStyle name="Accent3 2 20" xfId="24486"/>
    <cellStyle name="Accent3 2 3" xfId="297"/>
    <cellStyle name="Accent3 2 3 2" xfId="1340"/>
    <cellStyle name="Accent3 2 3 2 2" xfId="17441"/>
    <cellStyle name="Accent3 2 3 3" xfId="17440"/>
    <cellStyle name="Accent3 2 4" xfId="438"/>
    <cellStyle name="Accent3 2 4 2" xfId="17443"/>
    <cellStyle name="Accent3 2 4 3" xfId="17442"/>
    <cellStyle name="Accent3 2 5" xfId="579"/>
    <cellStyle name="Accent3 2 5 2" xfId="17445"/>
    <cellStyle name="Accent3 2 5 3" xfId="17444"/>
    <cellStyle name="Accent3 2 6" xfId="722"/>
    <cellStyle name="Accent3 2 6 2" xfId="17447"/>
    <cellStyle name="Accent3 2 6 3" xfId="17446"/>
    <cellStyle name="Accent3 2 7" xfId="723"/>
    <cellStyle name="Accent3 2 7 2" xfId="17449"/>
    <cellStyle name="Accent3 2 7 3" xfId="17448"/>
    <cellStyle name="Accent3 2 8" xfId="860"/>
    <cellStyle name="Accent3 2 8 2" xfId="1416"/>
    <cellStyle name="Accent3 2 8 2 2" xfId="17451"/>
    <cellStyle name="Accent3 2 8 3" xfId="17450"/>
    <cellStyle name="Accent3 2 9" xfId="962"/>
    <cellStyle name="Accent3 2 9 2" xfId="1561"/>
    <cellStyle name="Accent3 2 9 2 2" xfId="17453"/>
    <cellStyle name="Accent3 2 9 3" xfId="17452"/>
    <cellStyle name="Accent3 3" xfId="219"/>
    <cellStyle name="Accent3 3 10" xfId="3695"/>
    <cellStyle name="Accent3 3 10 2" xfId="17456"/>
    <cellStyle name="Accent3 3 10 3" xfId="17455"/>
    <cellStyle name="Accent3 3 11" xfId="17457"/>
    <cellStyle name="Accent3 3 11 2" xfId="17458"/>
    <cellStyle name="Accent3 3 12" xfId="17459"/>
    <cellStyle name="Accent3 3 13" xfId="17454"/>
    <cellStyle name="Accent3 3 2" xfId="1468"/>
    <cellStyle name="Accent3 3 2 2" xfId="1830"/>
    <cellStyle name="Accent3 3 2 2 2" xfId="17462"/>
    <cellStyle name="Accent3 3 2 2 3" xfId="17461"/>
    <cellStyle name="Accent3 3 2 3" xfId="2205"/>
    <cellStyle name="Accent3 3 2 3 2" xfId="17464"/>
    <cellStyle name="Accent3 3 2 3 3" xfId="17463"/>
    <cellStyle name="Accent3 3 2 4" xfId="2579"/>
    <cellStyle name="Accent3 3 2 4 2" xfId="17466"/>
    <cellStyle name="Accent3 3 2 4 3" xfId="17465"/>
    <cellStyle name="Accent3 3 2 5" xfId="2951"/>
    <cellStyle name="Accent3 3 2 5 2" xfId="17468"/>
    <cellStyle name="Accent3 3 2 5 3" xfId="17467"/>
    <cellStyle name="Accent3 3 2 6" xfId="3323"/>
    <cellStyle name="Accent3 3 2 6 2" xfId="17470"/>
    <cellStyle name="Accent3 3 2 6 3" xfId="17469"/>
    <cellStyle name="Accent3 3 2 7" xfId="17471"/>
    <cellStyle name="Accent3 3 2 8" xfId="17460"/>
    <cellStyle name="Accent3 3 3" xfId="1595"/>
    <cellStyle name="Accent3 3 3 2" xfId="1907"/>
    <cellStyle name="Accent3 3 3 2 2" xfId="17474"/>
    <cellStyle name="Accent3 3 3 2 3" xfId="17473"/>
    <cellStyle name="Accent3 3 3 3" xfId="2282"/>
    <cellStyle name="Accent3 3 3 3 2" xfId="17476"/>
    <cellStyle name="Accent3 3 3 3 3" xfId="17475"/>
    <cellStyle name="Accent3 3 3 4" xfId="2655"/>
    <cellStyle name="Accent3 3 3 4 2" xfId="17478"/>
    <cellStyle name="Accent3 3 3 4 3" xfId="17477"/>
    <cellStyle name="Accent3 3 3 5" xfId="3028"/>
    <cellStyle name="Accent3 3 3 5 2" xfId="17480"/>
    <cellStyle name="Accent3 3 3 5 3" xfId="17479"/>
    <cellStyle name="Accent3 3 3 6" xfId="3399"/>
    <cellStyle name="Accent3 3 3 6 2" xfId="17482"/>
    <cellStyle name="Accent3 3 3 6 3" xfId="17481"/>
    <cellStyle name="Accent3 3 3 7" xfId="17483"/>
    <cellStyle name="Accent3 3 3 8" xfId="17472"/>
    <cellStyle name="Accent3 3 4" xfId="1732"/>
    <cellStyle name="Accent3 3 4 2" xfId="1951"/>
    <cellStyle name="Accent3 3 4 2 2" xfId="17486"/>
    <cellStyle name="Accent3 3 4 2 3" xfId="17485"/>
    <cellStyle name="Accent3 3 4 3" xfId="2326"/>
    <cellStyle name="Accent3 3 4 3 2" xfId="17488"/>
    <cellStyle name="Accent3 3 4 3 3" xfId="17487"/>
    <cellStyle name="Accent3 3 4 4" xfId="2699"/>
    <cellStyle name="Accent3 3 4 4 2" xfId="17490"/>
    <cellStyle name="Accent3 3 4 4 3" xfId="17489"/>
    <cellStyle name="Accent3 3 4 5" xfId="3072"/>
    <cellStyle name="Accent3 3 4 5 2" xfId="17492"/>
    <cellStyle name="Accent3 3 4 5 3" xfId="17491"/>
    <cellStyle name="Accent3 3 4 6" xfId="3443"/>
    <cellStyle name="Accent3 3 4 6 2" xfId="17494"/>
    <cellStyle name="Accent3 3 4 6 3" xfId="17493"/>
    <cellStyle name="Accent3 3 4 7" xfId="17495"/>
    <cellStyle name="Accent3 3 4 8" xfId="17484"/>
    <cellStyle name="Accent3 3 5" xfId="2067"/>
    <cellStyle name="Accent3 3 5 2" xfId="17497"/>
    <cellStyle name="Accent3 3 5 3" xfId="17496"/>
    <cellStyle name="Accent3 3 6" xfId="2441"/>
    <cellStyle name="Accent3 3 6 2" xfId="17499"/>
    <cellStyle name="Accent3 3 6 3" xfId="17498"/>
    <cellStyle name="Accent3 3 7" xfId="2813"/>
    <cellStyle name="Accent3 3 7 2" xfId="17501"/>
    <cellStyle name="Accent3 3 7 3" xfId="17500"/>
    <cellStyle name="Accent3 3 8" xfId="3184"/>
    <cellStyle name="Accent3 3 8 2" xfId="17503"/>
    <cellStyle name="Accent3 3 8 3" xfId="17502"/>
    <cellStyle name="Accent3 3 9" xfId="3559"/>
    <cellStyle name="Accent3 3 9 2" xfId="17505"/>
    <cellStyle name="Accent3 3 9 3" xfId="17504"/>
    <cellStyle name="Accent3 4" xfId="255"/>
    <cellStyle name="Accent3 4 10" xfId="3739"/>
    <cellStyle name="Accent3 4 10 2" xfId="17508"/>
    <cellStyle name="Accent3 4 10 3" xfId="17507"/>
    <cellStyle name="Accent3 4 11" xfId="1301"/>
    <cellStyle name="Accent3 4 11 2" xfId="17510"/>
    <cellStyle name="Accent3 4 11 3" xfId="17509"/>
    <cellStyle name="Accent3 4 12" xfId="17511"/>
    <cellStyle name="Accent3 4 13" xfId="17506"/>
    <cellStyle name="Accent3 4 2" xfId="1513"/>
    <cellStyle name="Accent3 4 2 2" xfId="17513"/>
    <cellStyle name="Accent3 4 2 3" xfId="17512"/>
    <cellStyle name="Accent3 4 3" xfId="1638"/>
    <cellStyle name="Accent3 4 3 2" xfId="17515"/>
    <cellStyle name="Accent3 4 3 3" xfId="17514"/>
    <cellStyle name="Accent3 4 4" xfId="1787"/>
    <cellStyle name="Accent3 4 4 2" xfId="17517"/>
    <cellStyle name="Accent3 4 4 3" xfId="17516"/>
    <cellStyle name="Accent3 4 5" xfId="2123"/>
    <cellStyle name="Accent3 4 5 2" xfId="17519"/>
    <cellStyle name="Accent3 4 5 3" xfId="17518"/>
    <cellStyle name="Accent3 4 6" xfId="2497"/>
    <cellStyle name="Accent3 4 6 2" xfId="17521"/>
    <cellStyle name="Accent3 4 6 3" xfId="17520"/>
    <cellStyle name="Accent3 4 7" xfId="2869"/>
    <cellStyle name="Accent3 4 7 2" xfId="17523"/>
    <cellStyle name="Accent3 4 7 3" xfId="17522"/>
    <cellStyle name="Accent3 4 8" xfId="3240"/>
    <cellStyle name="Accent3 4 8 2" xfId="17525"/>
    <cellStyle name="Accent3 4 8 3" xfId="17524"/>
    <cellStyle name="Accent3 4 9" xfId="3602"/>
    <cellStyle name="Accent3 4 9 2" xfId="17527"/>
    <cellStyle name="Accent3 4 9 3" xfId="17526"/>
    <cellStyle name="Accent3 5" xfId="439"/>
    <cellStyle name="Accent3 5 2" xfId="1856"/>
    <cellStyle name="Accent3 5 2 2" xfId="17530"/>
    <cellStyle name="Accent3 5 2 3" xfId="17529"/>
    <cellStyle name="Accent3 5 3" xfId="2231"/>
    <cellStyle name="Accent3 5 3 2" xfId="17532"/>
    <cellStyle name="Accent3 5 3 3" xfId="17531"/>
    <cellStyle name="Accent3 5 4" xfId="2605"/>
    <cellStyle name="Accent3 5 4 2" xfId="17534"/>
    <cellStyle name="Accent3 5 4 3" xfId="17533"/>
    <cellStyle name="Accent3 5 5" xfId="2977"/>
    <cellStyle name="Accent3 5 5 2" xfId="17536"/>
    <cellStyle name="Accent3 5 5 3" xfId="17535"/>
    <cellStyle name="Accent3 5 6" xfId="3349"/>
    <cellStyle name="Accent3 5 6 2" xfId="17538"/>
    <cellStyle name="Accent3 5 6 3" xfId="17537"/>
    <cellStyle name="Accent3 5 7" xfId="17539"/>
    <cellStyle name="Accent3 5 7 2" xfId="17540"/>
    <cellStyle name="Accent3 5 8" xfId="17541"/>
    <cellStyle name="Accent3 5 9" xfId="17528"/>
    <cellStyle name="Accent3 6" xfId="440"/>
    <cellStyle name="Accent3 6 10" xfId="17542"/>
    <cellStyle name="Accent3 6 2" xfId="1989"/>
    <cellStyle name="Accent3 6 2 2" xfId="17544"/>
    <cellStyle name="Accent3 6 2 3" xfId="17543"/>
    <cellStyle name="Accent3 6 3" xfId="2364"/>
    <cellStyle name="Accent3 6 3 2" xfId="17546"/>
    <cellStyle name="Accent3 6 3 3" xfId="17545"/>
    <cellStyle name="Accent3 6 4" xfId="2737"/>
    <cellStyle name="Accent3 6 4 2" xfId="17548"/>
    <cellStyle name="Accent3 6 4 3" xfId="17547"/>
    <cellStyle name="Accent3 6 5" xfId="3110"/>
    <cellStyle name="Accent3 6 5 2" xfId="17550"/>
    <cellStyle name="Accent3 6 5 3" xfId="17549"/>
    <cellStyle name="Accent3 6 6" xfId="3481"/>
    <cellStyle name="Accent3 6 6 2" xfId="17552"/>
    <cellStyle name="Accent3 6 6 3" xfId="17551"/>
    <cellStyle name="Accent3 6 7" xfId="3787"/>
    <cellStyle name="Accent3 6 7 2" xfId="17554"/>
    <cellStyle name="Accent3 6 7 3" xfId="17553"/>
    <cellStyle name="Accent3 6 8" xfId="17555"/>
    <cellStyle name="Accent3 6 8 2" xfId="17556"/>
    <cellStyle name="Accent3 6 9" xfId="17557"/>
    <cellStyle name="Accent3 7" xfId="441"/>
    <cellStyle name="Accent3 7 2" xfId="17559"/>
    <cellStyle name="Accent3 7 3" xfId="17558"/>
    <cellStyle name="Accent3 8" xfId="580"/>
    <cellStyle name="Accent3 8 2" xfId="17561"/>
    <cellStyle name="Accent3 8 3" xfId="17560"/>
    <cellStyle name="Accent3 9" xfId="581"/>
    <cellStyle name="Accent3 9 2" xfId="17563"/>
    <cellStyle name="Accent3 9 3" xfId="17562"/>
    <cellStyle name="Accent4 10" xfId="724"/>
    <cellStyle name="Accent4 10 2" xfId="17566"/>
    <cellStyle name="Accent4 10 3" xfId="17565"/>
    <cellStyle name="Accent4 11" xfId="725"/>
    <cellStyle name="Accent4 11 2" xfId="17568"/>
    <cellStyle name="Accent4 11 3" xfId="17567"/>
    <cellStyle name="Accent4 12" xfId="861"/>
    <cellStyle name="Accent4 12 2" xfId="17569"/>
    <cellStyle name="Accent4 13" xfId="862"/>
    <cellStyle name="Accent4 13 2" xfId="17564"/>
    <cellStyle name="Accent4 14" xfId="963"/>
    <cellStyle name="Accent4 2" xfId="89"/>
    <cellStyle name="Accent4 2 10" xfId="1688"/>
    <cellStyle name="Accent4 2 10 2" xfId="17572"/>
    <cellStyle name="Accent4 2 10 3" xfId="17571"/>
    <cellStyle name="Accent4 2 11" xfId="2023"/>
    <cellStyle name="Accent4 2 11 2" xfId="17574"/>
    <cellStyle name="Accent4 2 11 3" xfId="17573"/>
    <cellStyle name="Accent4 2 12" xfId="2397"/>
    <cellStyle name="Accent4 2 12 2" xfId="17576"/>
    <cellStyle name="Accent4 2 12 3" xfId="17575"/>
    <cellStyle name="Accent4 2 13" xfId="2770"/>
    <cellStyle name="Accent4 2 13 2" xfId="17578"/>
    <cellStyle name="Accent4 2 13 3" xfId="17577"/>
    <cellStyle name="Accent4 2 14" xfId="3144"/>
    <cellStyle name="Accent4 2 14 2" xfId="17580"/>
    <cellStyle name="Accent4 2 14 3" xfId="17579"/>
    <cellStyle name="Accent4 2 15" xfId="3515"/>
    <cellStyle name="Accent4 2 15 2" xfId="17582"/>
    <cellStyle name="Accent4 2 15 3" xfId="17581"/>
    <cellStyle name="Accent4 2 16" xfId="3653"/>
    <cellStyle name="Accent4 2 16 2" xfId="17584"/>
    <cellStyle name="Accent4 2 16 3" xfId="17583"/>
    <cellStyle name="Accent4 2 17" xfId="17585"/>
    <cellStyle name="Accent4 2 17 2" xfId="17586"/>
    <cellStyle name="Accent4 2 18" xfId="17587"/>
    <cellStyle name="Accent4 2 19" xfId="17570"/>
    <cellStyle name="Accent4 2 2" xfId="133"/>
    <cellStyle name="Accent4 2 2 2" xfId="182"/>
    <cellStyle name="Accent4 2 2 2 2" xfId="17590"/>
    <cellStyle name="Accent4 2 2 2 3" xfId="17589"/>
    <cellStyle name="Accent4 2 2 3" xfId="346"/>
    <cellStyle name="Accent4 2 2 3 2" xfId="17592"/>
    <cellStyle name="Accent4 2 2 3 3" xfId="17591"/>
    <cellStyle name="Accent4 2 2 4" xfId="2168"/>
    <cellStyle name="Accent4 2 2 4 2" xfId="17594"/>
    <cellStyle name="Accent4 2 2 4 3" xfId="17593"/>
    <cellStyle name="Accent4 2 2 5" xfId="2542"/>
    <cellStyle name="Accent4 2 2 5 2" xfId="17596"/>
    <cellStyle name="Accent4 2 2 5 3" xfId="17595"/>
    <cellStyle name="Accent4 2 2 6" xfId="2914"/>
    <cellStyle name="Accent4 2 2 6 2" xfId="17598"/>
    <cellStyle name="Accent4 2 2 6 3" xfId="17597"/>
    <cellStyle name="Accent4 2 2 7" xfId="3286"/>
    <cellStyle name="Accent4 2 2 7 2" xfId="17600"/>
    <cellStyle name="Accent4 2 2 7 3" xfId="17599"/>
    <cellStyle name="Accent4 2 2 8" xfId="17601"/>
    <cellStyle name="Accent4 2 2 9" xfId="17588"/>
    <cellStyle name="Accent4 2 20" xfId="24487"/>
    <cellStyle name="Accent4 2 3" xfId="298"/>
    <cellStyle name="Accent4 2 3 2" xfId="1344"/>
    <cellStyle name="Accent4 2 3 2 2" xfId="17603"/>
    <cellStyle name="Accent4 2 3 3" xfId="17602"/>
    <cellStyle name="Accent4 2 4" xfId="442"/>
    <cellStyle name="Accent4 2 4 2" xfId="17605"/>
    <cellStyle name="Accent4 2 4 3" xfId="17604"/>
    <cellStyle name="Accent4 2 5" xfId="582"/>
    <cellStyle name="Accent4 2 5 2" xfId="17607"/>
    <cellStyle name="Accent4 2 5 3" xfId="17606"/>
    <cellStyle name="Accent4 2 6" xfId="726"/>
    <cellStyle name="Accent4 2 6 2" xfId="17609"/>
    <cellStyle name="Accent4 2 6 3" xfId="17608"/>
    <cellStyle name="Accent4 2 7" xfId="727"/>
    <cellStyle name="Accent4 2 7 2" xfId="17611"/>
    <cellStyle name="Accent4 2 7 3" xfId="17610"/>
    <cellStyle name="Accent4 2 8" xfId="863"/>
    <cellStyle name="Accent4 2 8 2" xfId="1417"/>
    <cellStyle name="Accent4 2 8 2 2" xfId="17613"/>
    <cellStyle name="Accent4 2 8 3" xfId="17612"/>
    <cellStyle name="Accent4 2 9" xfId="964"/>
    <cellStyle name="Accent4 2 9 2" xfId="1560"/>
    <cellStyle name="Accent4 2 9 2 2" xfId="17615"/>
    <cellStyle name="Accent4 2 9 3" xfId="17614"/>
    <cellStyle name="Accent4 3" xfId="223"/>
    <cellStyle name="Accent4 3 10" xfId="3696"/>
    <cellStyle name="Accent4 3 10 2" xfId="17618"/>
    <cellStyle name="Accent4 3 10 3" xfId="17617"/>
    <cellStyle name="Accent4 3 11" xfId="17619"/>
    <cellStyle name="Accent4 3 11 2" xfId="17620"/>
    <cellStyle name="Accent4 3 12" xfId="17621"/>
    <cellStyle name="Accent4 3 13" xfId="17616"/>
    <cellStyle name="Accent4 3 2" xfId="1469"/>
    <cellStyle name="Accent4 3 2 2" xfId="1834"/>
    <cellStyle name="Accent4 3 2 2 2" xfId="17624"/>
    <cellStyle name="Accent4 3 2 2 3" xfId="17623"/>
    <cellStyle name="Accent4 3 2 3" xfId="2209"/>
    <cellStyle name="Accent4 3 2 3 2" xfId="17626"/>
    <cellStyle name="Accent4 3 2 3 3" xfId="17625"/>
    <cellStyle name="Accent4 3 2 4" xfId="2583"/>
    <cellStyle name="Accent4 3 2 4 2" xfId="17628"/>
    <cellStyle name="Accent4 3 2 4 3" xfId="17627"/>
    <cellStyle name="Accent4 3 2 5" xfId="2955"/>
    <cellStyle name="Accent4 3 2 5 2" xfId="17630"/>
    <cellStyle name="Accent4 3 2 5 3" xfId="17629"/>
    <cellStyle name="Accent4 3 2 6" xfId="3327"/>
    <cellStyle name="Accent4 3 2 6 2" xfId="17632"/>
    <cellStyle name="Accent4 3 2 6 3" xfId="17631"/>
    <cellStyle name="Accent4 3 2 7" xfId="17633"/>
    <cellStyle name="Accent4 3 2 8" xfId="17622"/>
    <cellStyle name="Accent4 3 3" xfId="1596"/>
    <cellStyle name="Accent4 3 3 2" xfId="1911"/>
    <cellStyle name="Accent4 3 3 2 2" xfId="17636"/>
    <cellStyle name="Accent4 3 3 2 3" xfId="17635"/>
    <cellStyle name="Accent4 3 3 3" xfId="2286"/>
    <cellStyle name="Accent4 3 3 3 2" xfId="17638"/>
    <cellStyle name="Accent4 3 3 3 3" xfId="17637"/>
    <cellStyle name="Accent4 3 3 4" xfId="2659"/>
    <cellStyle name="Accent4 3 3 4 2" xfId="17640"/>
    <cellStyle name="Accent4 3 3 4 3" xfId="17639"/>
    <cellStyle name="Accent4 3 3 5" xfId="3032"/>
    <cellStyle name="Accent4 3 3 5 2" xfId="17642"/>
    <cellStyle name="Accent4 3 3 5 3" xfId="17641"/>
    <cellStyle name="Accent4 3 3 6" xfId="3403"/>
    <cellStyle name="Accent4 3 3 6 2" xfId="17644"/>
    <cellStyle name="Accent4 3 3 6 3" xfId="17643"/>
    <cellStyle name="Accent4 3 3 7" xfId="17645"/>
    <cellStyle name="Accent4 3 3 8" xfId="17634"/>
    <cellStyle name="Accent4 3 4" xfId="1733"/>
    <cellStyle name="Accent4 3 4 2" xfId="1955"/>
    <cellStyle name="Accent4 3 4 2 2" xfId="17648"/>
    <cellStyle name="Accent4 3 4 2 3" xfId="17647"/>
    <cellStyle name="Accent4 3 4 3" xfId="2330"/>
    <cellStyle name="Accent4 3 4 3 2" xfId="17650"/>
    <cellStyle name="Accent4 3 4 3 3" xfId="17649"/>
    <cellStyle name="Accent4 3 4 4" xfId="2703"/>
    <cellStyle name="Accent4 3 4 4 2" xfId="17652"/>
    <cellStyle name="Accent4 3 4 4 3" xfId="17651"/>
    <cellStyle name="Accent4 3 4 5" xfId="3076"/>
    <cellStyle name="Accent4 3 4 5 2" xfId="17654"/>
    <cellStyle name="Accent4 3 4 5 3" xfId="17653"/>
    <cellStyle name="Accent4 3 4 6" xfId="3447"/>
    <cellStyle name="Accent4 3 4 6 2" xfId="17656"/>
    <cellStyle name="Accent4 3 4 6 3" xfId="17655"/>
    <cellStyle name="Accent4 3 4 7" xfId="17657"/>
    <cellStyle name="Accent4 3 4 8" xfId="17646"/>
    <cellStyle name="Accent4 3 5" xfId="2068"/>
    <cellStyle name="Accent4 3 5 2" xfId="17659"/>
    <cellStyle name="Accent4 3 5 3" xfId="17658"/>
    <cellStyle name="Accent4 3 6" xfId="2442"/>
    <cellStyle name="Accent4 3 6 2" xfId="17661"/>
    <cellStyle name="Accent4 3 6 3" xfId="17660"/>
    <cellStyle name="Accent4 3 7" xfId="2814"/>
    <cellStyle name="Accent4 3 7 2" xfId="17663"/>
    <cellStyle name="Accent4 3 7 3" xfId="17662"/>
    <cellStyle name="Accent4 3 8" xfId="3185"/>
    <cellStyle name="Accent4 3 8 2" xfId="17665"/>
    <cellStyle name="Accent4 3 8 3" xfId="17664"/>
    <cellStyle name="Accent4 3 9" xfId="3560"/>
    <cellStyle name="Accent4 3 9 2" xfId="17667"/>
    <cellStyle name="Accent4 3 9 3" xfId="17666"/>
    <cellStyle name="Accent4 4" xfId="256"/>
    <cellStyle name="Accent4 4 10" xfId="3740"/>
    <cellStyle name="Accent4 4 10 2" xfId="17670"/>
    <cellStyle name="Accent4 4 10 3" xfId="17669"/>
    <cellStyle name="Accent4 4 11" xfId="1305"/>
    <cellStyle name="Accent4 4 11 2" xfId="17672"/>
    <cellStyle name="Accent4 4 11 3" xfId="17671"/>
    <cellStyle name="Accent4 4 12" xfId="17673"/>
    <cellStyle name="Accent4 4 13" xfId="17668"/>
    <cellStyle name="Accent4 4 2" xfId="1514"/>
    <cellStyle name="Accent4 4 2 2" xfId="17675"/>
    <cellStyle name="Accent4 4 2 3" xfId="17674"/>
    <cellStyle name="Accent4 4 3" xfId="1639"/>
    <cellStyle name="Accent4 4 3 2" xfId="17677"/>
    <cellStyle name="Accent4 4 3 3" xfId="17676"/>
    <cellStyle name="Accent4 4 4" xfId="1740"/>
    <cellStyle name="Accent4 4 4 2" xfId="17679"/>
    <cellStyle name="Accent4 4 4 3" xfId="17678"/>
    <cellStyle name="Accent4 4 5" xfId="2075"/>
    <cellStyle name="Accent4 4 5 2" xfId="17681"/>
    <cellStyle name="Accent4 4 5 3" xfId="17680"/>
    <cellStyle name="Accent4 4 6" xfId="2449"/>
    <cellStyle name="Accent4 4 6 2" xfId="17683"/>
    <cellStyle name="Accent4 4 6 3" xfId="17682"/>
    <cellStyle name="Accent4 4 7" xfId="2821"/>
    <cellStyle name="Accent4 4 7 2" xfId="17685"/>
    <cellStyle name="Accent4 4 7 3" xfId="17684"/>
    <cellStyle name="Accent4 4 8" xfId="3192"/>
    <cellStyle name="Accent4 4 8 2" xfId="17687"/>
    <cellStyle name="Accent4 4 8 3" xfId="17686"/>
    <cellStyle name="Accent4 4 9" xfId="3603"/>
    <cellStyle name="Accent4 4 9 2" xfId="17689"/>
    <cellStyle name="Accent4 4 9 3" xfId="17688"/>
    <cellStyle name="Accent4 5" xfId="443"/>
    <cellStyle name="Accent4 5 2" xfId="1855"/>
    <cellStyle name="Accent4 5 2 2" xfId="17692"/>
    <cellStyle name="Accent4 5 2 3" xfId="17691"/>
    <cellStyle name="Accent4 5 3" xfId="2230"/>
    <cellStyle name="Accent4 5 3 2" xfId="17694"/>
    <cellStyle name="Accent4 5 3 3" xfId="17693"/>
    <cellStyle name="Accent4 5 4" xfId="2604"/>
    <cellStyle name="Accent4 5 4 2" xfId="17696"/>
    <cellStyle name="Accent4 5 4 3" xfId="17695"/>
    <cellStyle name="Accent4 5 5" xfId="2976"/>
    <cellStyle name="Accent4 5 5 2" xfId="17698"/>
    <cellStyle name="Accent4 5 5 3" xfId="17697"/>
    <cellStyle name="Accent4 5 6" xfId="3348"/>
    <cellStyle name="Accent4 5 6 2" xfId="17700"/>
    <cellStyle name="Accent4 5 6 3" xfId="17699"/>
    <cellStyle name="Accent4 5 7" xfId="17701"/>
    <cellStyle name="Accent4 5 7 2" xfId="17702"/>
    <cellStyle name="Accent4 5 8" xfId="17703"/>
    <cellStyle name="Accent4 5 9" xfId="17690"/>
    <cellStyle name="Accent4 6" xfId="444"/>
    <cellStyle name="Accent4 6 10" xfId="17704"/>
    <cellStyle name="Accent4 6 2" xfId="1990"/>
    <cellStyle name="Accent4 6 2 2" xfId="17706"/>
    <cellStyle name="Accent4 6 2 3" xfId="17705"/>
    <cellStyle name="Accent4 6 3" xfId="2365"/>
    <cellStyle name="Accent4 6 3 2" xfId="17708"/>
    <cellStyle name="Accent4 6 3 3" xfId="17707"/>
    <cellStyle name="Accent4 6 4" xfId="2738"/>
    <cellStyle name="Accent4 6 4 2" xfId="17710"/>
    <cellStyle name="Accent4 6 4 3" xfId="17709"/>
    <cellStyle name="Accent4 6 5" xfId="3111"/>
    <cellStyle name="Accent4 6 5 2" xfId="17712"/>
    <cellStyle name="Accent4 6 5 3" xfId="17711"/>
    <cellStyle name="Accent4 6 6" xfId="3482"/>
    <cellStyle name="Accent4 6 6 2" xfId="17714"/>
    <cellStyle name="Accent4 6 6 3" xfId="17713"/>
    <cellStyle name="Accent4 6 7" xfId="3788"/>
    <cellStyle name="Accent4 6 7 2" xfId="17716"/>
    <cellStyle name="Accent4 6 7 3" xfId="17715"/>
    <cellStyle name="Accent4 6 8" xfId="17717"/>
    <cellStyle name="Accent4 6 8 2" xfId="17718"/>
    <cellStyle name="Accent4 6 9" xfId="17719"/>
    <cellStyle name="Accent4 7" xfId="445"/>
    <cellStyle name="Accent4 7 2" xfId="17721"/>
    <cellStyle name="Accent4 7 3" xfId="17720"/>
    <cellStyle name="Accent4 8" xfId="583"/>
    <cellStyle name="Accent4 8 2" xfId="17723"/>
    <cellStyle name="Accent4 8 3" xfId="17722"/>
    <cellStyle name="Accent4 9" xfId="584"/>
    <cellStyle name="Accent4 9 2" xfId="17725"/>
    <cellStyle name="Accent4 9 3" xfId="17724"/>
    <cellStyle name="Accent5 10" xfId="728"/>
    <cellStyle name="Accent5 10 2" xfId="17728"/>
    <cellStyle name="Accent5 10 3" xfId="17727"/>
    <cellStyle name="Accent5 11" xfId="729"/>
    <cellStyle name="Accent5 11 2" xfId="17730"/>
    <cellStyle name="Accent5 11 3" xfId="17729"/>
    <cellStyle name="Accent5 12" xfId="864"/>
    <cellStyle name="Accent5 12 2" xfId="17731"/>
    <cellStyle name="Accent5 13" xfId="865"/>
    <cellStyle name="Accent5 13 2" xfId="17726"/>
    <cellStyle name="Accent5 14" xfId="965"/>
    <cellStyle name="Accent5 2" xfId="90"/>
    <cellStyle name="Accent5 2 10" xfId="1689"/>
    <cellStyle name="Accent5 2 10 2" xfId="17734"/>
    <cellStyle name="Accent5 2 10 3" xfId="17733"/>
    <cellStyle name="Accent5 2 11" xfId="2024"/>
    <cellStyle name="Accent5 2 11 2" xfId="17736"/>
    <cellStyle name="Accent5 2 11 3" xfId="17735"/>
    <cellStyle name="Accent5 2 12" xfId="2398"/>
    <cellStyle name="Accent5 2 12 2" xfId="17738"/>
    <cellStyle name="Accent5 2 12 3" xfId="17737"/>
    <cellStyle name="Accent5 2 13" xfId="2771"/>
    <cellStyle name="Accent5 2 13 2" xfId="17740"/>
    <cellStyle name="Accent5 2 13 3" xfId="17739"/>
    <cellStyle name="Accent5 2 14" xfId="3145"/>
    <cellStyle name="Accent5 2 14 2" xfId="17742"/>
    <cellStyle name="Accent5 2 14 3" xfId="17741"/>
    <cellStyle name="Accent5 2 15" xfId="3516"/>
    <cellStyle name="Accent5 2 15 2" xfId="17744"/>
    <cellStyle name="Accent5 2 15 3" xfId="17743"/>
    <cellStyle name="Accent5 2 16" xfId="3654"/>
    <cellStyle name="Accent5 2 16 2" xfId="17746"/>
    <cellStyle name="Accent5 2 16 3" xfId="17745"/>
    <cellStyle name="Accent5 2 17" xfId="17747"/>
    <cellStyle name="Accent5 2 17 2" xfId="17748"/>
    <cellStyle name="Accent5 2 18" xfId="17749"/>
    <cellStyle name="Accent5 2 19" xfId="17732"/>
    <cellStyle name="Accent5 2 2" xfId="134"/>
    <cellStyle name="Accent5 2 2 2" xfId="186"/>
    <cellStyle name="Accent5 2 2 2 2" xfId="17752"/>
    <cellStyle name="Accent5 2 2 2 3" xfId="17751"/>
    <cellStyle name="Accent5 2 2 3" xfId="350"/>
    <cellStyle name="Accent5 2 2 3 2" xfId="17754"/>
    <cellStyle name="Accent5 2 2 3 3" xfId="17753"/>
    <cellStyle name="Accent5 2 2 4" xfId="2172"/>
    <cellStyle name="Accent5 2 2 4 2" xfId="17756"/>
    <cellStyle name="Accent5 2 2 4 3" xfId="17755"/>
    <cellStyle name="Accent5 2 2 5" xfId="2546"/>
    <cellStyle name="Accent5 2 2 5 2" xfId="17758"/>
    <cellStyle name="Accent5 2 2 5 3" xfId="17757"/>
    <cellStyle name="Accent5 2 2 6" xfId="2918"/>
    <cellStyle name="Accent5 2 2 6 2" xfId="17760"/>
    <cellStyle name="Accent5 2 2 6 3" xfId="17759"/>
    <cellStyle name="Accent5 2 2 7" xfId="3290"/>
    <cellStyle name="Accent5 2 2 7 2" xfId="17762"/>
    <cellStyle name="Accent5 2 2 7 3" xfId="17761"/>
    <cellStyle name="Accent5 2 2 8" xfId="17763"/>
    <cellStyle name="Accent5 2 2 9" xfId="17750"/>
    <cellStyle name="Accent5 2 20" xfId="24488"/>
    <cellStyle name="Accent5 2 3" xfId="299"/>
    <cellStyle name="Accent5 2 3 2" xfId="1348"/>
    <cellStyle name="Accent5 2 3 2 2" xfId="17765"/>
    <cellStyle name="Accent5 2 3 3" xfId="17764"/>
    <cellStyle name="Accent5 2 4" xfId="446"/>
    <cellStyle name="Accent5 2 4 2" xfId="17767"/>
    <cellStyle name="Accent5 2 4 3" xfId="17766"/>
    <cellStyle name="Accent5 2 5" xfId="585"/>
    <cellStyle name="Accent5 2 5 2" xfId="17769"/>
    <cellStyle name="Accent5 2 5 3" xfId="17768"/>
    <cellStyle name="Accent5 2 6" xfId="730"/>
    <cellStyle name="Accent5 2 6 2" xfId="17771"/>
    <cellStyle name="Accent5 2 6 3" xfId="17770"/>
    <cellStyle name="Accent5 2 7" xfId="731"/>
    <cellStyle name="Accent5 2 7 2" xfId="17773"/>
    <cellStyle name="Accent5 2 7 3" xfId="17772"/>
    <cellStyle name="Accent5 2 8" xfId="866"/>
    <cellStyle name="Accent5 2 8 2" xfId="1418"/>
    <cellStyle name="Accent5 2 8 2 2" xfId="17775"/>
    <cellStyle name="Accent5 2 8 3" xfId="17774"/>
    <cellStyle name="Accent5 2 9" xfId="966"/>
    <cellStyle name="Accent5 2 9 2" xfId="1559"/>
    <cellStyle name="Accent5 2 9 2 2" xfId="17777"/>
    <cellStyle name="Accent5 2 9 3" xfId="17776"/>
    <cellStyle name="Accent5 3" xfId="227"/>
    <cellStyle name="Accent5 3 10" xfId="3697"/>
    <cellStyle name="Accent5 3 10 2" xfId="17780"/>
    <cellStyle name="Accent5 3 10 3" xfId="17779"/>
    <cellStyle name="Accent5 3 11" xfId="17781"/>
    <cellStyle name="Accent5 3 11 2" xfId="17782"/>
    <cellStyle name="Accent5 3 12" xfId="17783"/>
    <cellStyle name="Accent5 3 13" xfId="17778"/>
    <cellStyle name="Accent5 3 2" xfId="1470"/>
    <cellStyle name="Accent5 3 2 2" xfId="1838"/>
    <cellStyle name="Accent5 3 2 2 2" xfId="17786"/>
    <cellStyle name="Accent5 3 2 2 3" xfId="17785"/>
    <cellStyle name="Accent5 3 2 3" xfId="2213"/>
    <cellStyle name="Accent5 3 2 3 2" xfId="17788"/>
    <cellStyle name="Accent5 3 2 3 3" xfId="17787"/>
    <cellStyle name="Accent5 3 2 4" xfId="2587"/>
    <cellStyle name="Accent5 3 2 4 2" xfId="17790"/>
    <cellStyle name="Accent5 3 2 4 3" xfId="17789"/>
    <cellStyle name="Accent5 3 2 5" xfId="2959"/>
    <cellStyle name="Accent5 3 2 5 2" xfId="17792"/>
    <cellStyle name="Accent5 3 2 5 3" xfId="17791"/>
    <cellStyle name="Accent5 3 2 6" xfId="3331"/>
    <cellStyle name="Accent5 3 2 6 2" xfId="17794"/>
    <cellStyle name="Accent5 3 2 6 3" xfId="17793"/>
    <cellStyle name="Accent5 3 2 7" xfId="17795"/>
    <cellStyle name="Accent5 3 2 8" xfId="17784"/>
    <cellStyle name="Accent5 3 3" xfId="1597"/>
    <cellStyle name="Accent5 3 3 2" xfId="1915"/>
    <cellStyle name="Accent5 3 3 2 2" xfId="17798"/>
    <cellStyle name="Accent5 3 3 2 3" xfId="17797"/>
    <cellStyle name="Accent5 3 3 3" xfId="2290"/>
    <cellStyle name="Accent5 3 3 3 2" xfId="17800"/>
    <cellStyle name="Accent5 3 3 3 3" xfId="17799"/>
    <cellStyle name="Accent5 3 3 4" xfId="2663"/>
    <cellStyle name="Accent5 3 3 4 2" xfId="17802"/>
    <cellStyle name="Accent5 3 3 4 3" xfId="17801"/>
    <cellStyle name="Accent5 3 3 5" xfId="3036"/>
    <cellStyle name="Accent5 3 3 5 2" xfId="17804"/>
    <cellStyle name="Accent5 3 3 5 3" xfId="17803"/>
    <cellStyle name="Accent5 3 3 6" xfId="3407"/>
    <cellStyle name="Accent5 3 3 6 2" xfId="17806"/>
    <cellStyle name="Accent5 3 3 6 3" xfId="17805"/>
    <cellStyle name="Accent5 3 3 7" xfId="17807"/>
    <cellStyle name="Accent5 3 3 8" xfId="17796"/>
    <cellStyle name="Accent5 3 4" xfId="1734"/>
    <cellStyle name="Accent5 3 4 2" xfId="1959"/>
    <cellStyle name="Accent5 3 4 2 2" xfId="17810"/>
    <cellStyle name="Accent5 3 4 2 3" xfId="17809"/>
    <cellStyle name="Accent5 3 4 3" xfId="2334"/>
    <cellStyle name="Accent5 3 4 3 2" xfId="17812"/>
    <cellStyle name="Accent5 3 4 3 3" xfId="17811"/>
    <cellStyle name="Accent5 3 4 4" xfId="2707"/>
    <cellStyle name="Accent5 3 4 4 2" xfId="17814"/>
    <cellStyle name="Accent5 3 4 4 3" xfId="17813"/>
    <cellStyle name="Accent5 3 4 5" xfId="3080"/>
    <cellStyle name="Accent5 3 4 5 2" xfId="17816"/>
    <cellStyle name="Accent5 3 4 5 3" xfId="17815"/>
    <cellStyle name="Accent5 3 4 6" xfId="3451"/>
    <cellStyle name="Accent5 3 4 6 2" xfId="17818"/>
    <cellStyle name="Accent5 3 4 6 3" xfId="17817"/>
    <cellStyle name="Accent5 3 4 7" xfId="17819"/>
    <cellStyle name="Accent5 3 4 8" xfId="17808"/>
    <cellStyle name="Accent5 3 5" xfId="2069"/>
    <cellStyle name="Accent5 3 5 2" xfId="17821"/>
    <cellStyle name="Accent5 3 5 3" xfId="17820"/>
    <cellStyle name="Accent5 3 6" xfId="2443"/>
    <cellStyle name="Accent5 3 6 2" xfId="17823"/>
    <cellStyle name="Accent5 3 6 3" xfId="17822"/>
    <cellStyle name="Accent5 3 7" xfId="2815"/>
    <cellStyle name="Accent5 3 7 2" xfId="17825"/>
    <cellStyle name="Accent5 3 7 3" xfId="17824"/>
    <cellStyle name="Accent5 3 8" xfId="3186"/>
    <cellStyle name="Accent5 3 8 2" xfId="17827"/>
    <cellStyle name="Accent5 3 8 3" xfId="17826"/>
    <cellStyle name="Accent5 3 9" xfId="3561"/>
    <cellStyle name="Accent5 3 9 2" xfId="17829"/>
    <cellStyle name="Accent5 3 9 3" xfId="17828"/>
    <cellStyle name="Accent5 4" xfId="257"/>
    <cellStyle name="Accent5 4 10" xfId="3741"/>
    <cellStyle name="Accent5 4 10 2" xfId="17832"/>
    <cellStyle name="Accent5 4 10 3" xfId="17831"/>
    <cellStyle name="Accent5 4 11" xfId="1309"/>
    <cellStyle name="Accent5 4 11 2" xfId="17834"/>
    <cellStyle name="Accent5 4 11 3" xfId="17833"/>
    <cellStyle name="Accent5 4 12" xfId="17835"/>
    <cellStyle name="Accent5 4 13" xfId="17830"/>
    <cellStyle name="Accent5 4 2" xfId="1515"/>
    <cellStyle name="Accent5 4 2 2" xfId="17837"/>
    <cellStyle name="Accent5 4 2 3" xfId="17836"/>
    <cellStyle name="Accent5 4 3" xfId="1640"/>
    <cellStyle name="Accent5 4 3 2" xfId="17839"/>
    <cellStyle name="Accent5 4 3 3" xfId="17838"/>
    <cellStyle name="Accent5 4 4" xfId="1739"/>
    <cellStyle name="Accent5 4 4 2" xfId="17841"/>
    <cellStyle name="Accent5 4 4 3" xfId="17840"/>
    <cellStyle name="Accent5 4 5" xfId="2074"/>
    <cellStyle name="Accent5 4 5 2" xfId="17843"/>
    <cellStyle name="Accent5 4 5 3" xfId="17842"/>
    <cellStyle name="Accent5 4 6" xfId="2448"/>
    <cellStyle name="Accent5 4 6 2" xfId="17845"/>
    <cellStyle name="Accent5 4 6 3" xfId="17844"/>
    <cellStyle name="Accent5 4 7" xfId="2820"/>
    <cellStyle name="Accent5 4 7 2" xfId="17847"/>
    <cellStyle name="Accent5 4 7 3" xfId="17846"/>
    <cellStyle name="Accent5 4 8" xfId="3191"/>
    <cellStyle name="Accent5 4 8 2" xfId="17849"/>
    <cellStyle name="Accent5 4 8 3" xfId="17848"/>
    <cellStyle name="Accent5 4 9" xfId="3604"/>
    <cellStyle name="Accent5 4 9 2" xfId="17851"/>
    <cellStyle name="Accent5 4 9 3" xfId="17850"/>
    <cellStyle name="Accent5 5" xfId="447"/>
    <cellStyle name="Accent5 5 2" xfId="1775"/>
    <cellStyle name="Accent5 5 2 2" xfId="17854"/>
    <cellStyle name="Accent5 5 2 3" xfId="17853"/>
    <cellStyle name="Accent5 5 3" xfId="2110"/>
    <cellStyle name="Accent5 5 3 2" xfId="17856"/>
    <cellStyle name="Accent5 5 3 3" xfId="17855"/>
    <cellStyle name="Accent5 5 4" xfId="2484"/>
    <cellStyle name="Accent5 5 4 2" xfId="17858"/>
    <cellStyle name="Accent5 5 4 3" xfId="17857"/>
    <cellStyle name="Accent5 5 5" xfId="2856"/>
    <cellStyle name="Accent5 5 5 2" xfId="17860"/>
    <cellStyle name="Accent5 5 5 3" xfId="17859"/>
    <cellStyle name="Accent5 5 6" xfId="3227"/>
    <cellStyle name="Accent5 5 6 2" xfId="17862"/>
    <cellStyle name="Accent5 5 6 3" xfId="17861"/>
    <cellStyle name="Accent5 5 7" xfId="17863"/>
    <cellStyle name="Accent5 5 7 2" xfId="17864"/>
    <cellStyle name="Accent5 5 8" xfId="17865"/>
    <cellStyle name="Accent5 5 9" xfId="17852"/>
    <cellStyle name="Accent5 6" xfId="448"/>
    <cellStyle name="Accent5 6 10" xfId="17866"/>
    <cellStyle name="Accent5 6 2" xfId="1991"/>
    <cellStyle name="Accent5 6 2 2" xfId="17868"/>
    <cellStyle name="Accent5 6 2 3" xfId="17867"/>
    <cellStyle name="Accent5 6 3" xfId="2366"/>
    <cellStyle name="Accent5 6 3 2" xfId="17870"/>
    <cellStyle name="Accent5 6 3 3" xfId="17869"/>
    <cellStyle name="Accent5 6 4" xfId="2739"/>
    <cellStyle name="Accent5 6 4 2" xfId="17872"/>
    <cellStyle name="Accent5 6 4 3" xfId="17871"/>
    <cellStyle name="Accent5 6 5" xfId="3112"/>
    <cellStyle name="Accent5 6 5 2" xfId="17874"/>
    <cellStyle name="Accent5 6 5 3" xfId="17873"/>
    <cellStyle name="Accent5 6 6" xfId="3483"/>
    <cellStyle name="Accent5 6 6 2" xfId="17876"/>
    <cellStyle name="Accent5 6 6 3" xfId="17875"/>
    <cellStyle name="Accent5 6 7" xfId="3789"/>
    <cellStyle name="Accent5 6 7 2" xfId="17878"/>
    <cellStyle name="Accent5 6 7 3" xfId="17877"/>
    <cellStyle name="Accent5 6 8" xfId="17879"/>
    <cellStyle name="Accent5 6 8 2" xfId="17880"/>
    <cellStyle name="Accent5 6 9" xfId="17881"/>
    <cellStyle name="Accent5 7" xfId="449"/>
    <cellStyle name="Accent5 7 2" xfId="17883"/>
    <cellStyle name="Accent5 7 3" xfId="17882"/>
    <cellStyle name="Accent5 8" xfId="586"/>
    <cellStyle name="Accent5 8 2" xfId="17885"/>
    <cellStyle name="Accent5 8 3" xfId="17884"/>
    <cellStyle name="Accent5 9" xfId="587"/>
    <cellStyle name="Accent5 9 2" xfId="17887"/>
    <cellStyle name="Accent5 9 3" xfId="17886"/>
    <cellStyle name="Accent6 10" xfId="732"/>
    <cellStyle name="Accent6 10 2" xfId="17890"/>
    <cellStyle name="Accent6 10 3" xfId="17889"/>
    <cellStyle name="Accent6 11" xfId="733"/>
    <cellStyle name="Accent6 11 2" xfId="17892"/>
    <cellStyle name="Accent6 11 3" xfId="17891"/>
    <cellStyle name="Accent6 12" xfId="867"/>
    <cellStyle name="Accent6 12 2" xfId="17893"/>
    <cellStyle name="Accent6 13" xfId="868"/>
    <cellStyle name="Accent6 13 2" xfId="17888"/>
    <cellStyle name="Accent6 14" xfId="967"/>
    <cellStyle name="Accent6 2" xfId="91"/>
    <cellStyle name="Accent6 2 10" xfId="1690"/>
    <cellStyle name="Accent6 2 10 2" xfId="17896"/>
    <cellStyle name="Accent6 2 10 3" xfId="17895"/>
    <cellStyle name="Accent6 2 11" xfId="2025"/>
    <cellStyle name="Accent6 2 11 2" xfId="17898"/>
    <cellStyle name="Accent6 2 11 3" xfId="17897"/>
    <cellStyle name="Accent6 2 12" xfId="2399"/>
    <cellStyle name="Accent6 2 12 2" xfId="17900"/>
    <cellStyle name="Accent6 2 12 3" xfId="17899"/>
    <cellStyle name="Accent6 2 13" xfId="2772"/>
    <cellStyle name="Accent6 2 13 2" xfId="17902"/>
    <cellStyle name="Accent6 2 13 3" xfId="17901"/>
    <cellStyle name="Accent6 2 14" xfId="3146"/>
    <cellStyle name="Accent6 2 14 2" xfId="17904"/>
    <cellStyle name="Accent6 2 14 3" xfId="17903"/>
    <cellStyle name="Accent6 2 15" xfId="3517"/>
    <cellStyle name="Accent6 2 15 2" xfId="17906"/>
    <cellStyle name="Accent6 2 15 3" xfId="17905"/>
    <cellStyle name="Accent6 2 16" xfId="3655"/>
    <cellStyle name="Accent6 2 16 2" xfId="17908"/>
    <cellStyle name="Accent6 2 16 3" xfId="17907"/>
    <cellStyle name="Accent6 2 17" xfId="17909"/>
    <cellStyle name="Accent6 2 17 2" xfId="17910"/>
    <cellStyle name="Accent6 2 18" xfId="17911"/>
    <cellStyle name="Accent6 2 19" xfId="17894"/>
    <cellStyle name="Accent6 2 2" xfId="135"/>
    <cellStyle name="Accent6 2 2 2" xfId="190"/>
    <cellStyle name="Accent6 2 2 2 2" xfId="17914"/>
    <cellStyle name="Accent6 2 2 2 3" xfId="17913"/>
    <cellStyle name="Accent6 2 2 3" xfId="354"/>
    <cellStyle name="Accent6 2 2 3 2" xfId="17916"/>
    <cellStyle name="Accent6 2 2 3 3" xfId="17915"/>
    <cellStyle name="Accent6 2 2 4" xfId="2176"/>
    <cellStyle name="Accent6 2 2 4 2" xfId="17918"/>
    <cellStyle name="Accent6 2 2 4 3" xfId="17917"/>
    <cellStyle name="Accent6 2 2 5" xfId="2550"/>
    <cellStyle name="Accent6 2 2 5 2" xfId="17920"/>
    <cellStyle name="Accent6 2 2 5 3" xfId="17919"/>
    <cellStyle name="Accent6 2 2 6" xfId="2922"/>
    <cellStyle name="Accent6 2 2 6 2" xfId="17922"/>
    <cellStyle name="Accent6 2 2 6 3" xfId="17921"/>
    <cellStyle name="Accent6 2 2 7" xfId="3294"/>
    <cellStyle name="Accent6 2 2 7 2" xfId="17924"/>
    <cellStyle name="Accent6 2 2 7 3" xfId="17923"/>
    <cellStyle name="Accent6 2 2 8" xfId="17925"/>
    <cellStyle name="Accent6 2 2 9" xfId="17912"/>
    <cellStyle name="Accent6 2 20" xfId="24489"/>
    <cellStyle name="Accent6 2 3" xfId="300"/>
    <cellStyle name="Accent6 2 3 2" xfId="1352"/>
    <cellStyle name="Accent6 2 3 2 2" xfId="17927"/>
    <cellStyle name="Accent6 2 3 3" xfId="17926"/>
    <cellStyle name="Accent6 2 4" xfId="450"/>
    <cellStyle name="Accent6 2 4 2" xfId="17929"/>
    <cellStyle name="Accent6 2 4 3" xfId="17928"/>
    <cellStyle name="Accent6 2 5" xfId="588"/>
    <cellStyle name="Accent6 2 5 2" xfId="17931"/>
    <cellStyle name="Accent6 2 5 3" xfId="17930"/>
    <cellStyle name="Accent6 2 6" xfId="734"/>
    <cellStyle name="Accent6 2 6 2" xfId="17933"/>
    <cellStyle name="Accent6 2 6 3" xfId="17932"/>
    <cellStyle name="Accent6 2 7" xfId="735"/>
    <cellStyle name="Accent6 2 7 2" xfId="17935"/>
    <cellStyle name="Accent6 2 7 3" xfId="17934"/>
    <cellStyle name="Accent6 2 8" xfId="869"/>
    <cellStyle name="Accent6 2 8 2" xfId="1419"/>
    <cellStyle name="Accent6 2 8 2 2" xfId="17937"/>
    <cellStyle name="Accent6 2 8 3" xfId="17936"/>
    <cellStyle name="Accent6 2 9" xfId="968"/>
    <cellStyle name="Accent6 2 9 2" xfId="1558"/>
    <cellStyle name="Accent6 2 9 2 2" xfId="17939"/>
    <cellStyle name="Accent6 2 9 3" xfId="17938"/>
    <cellStyle name="Accent6 3" xfId="231"/>
    <cellStyle name="Accent6 3 10" xfId="3698"/>
    <cellStyle name="Accent6 3 10 2" xfId="17942"/>
    <cellStyle name="Accent6 3 10 3" xfId="17941"/>
    <cellStyle name="Accent6 3 11" xfId="17943"/>
    <cellStyle name="Accent6 3 11 2" xfId="17944"/>
    <cellStyle name="Accent6 3 12" xfId="17945"/>
    <cellStyle name="Accent6 3 13" xfId="17940"/>
    <cellStyle name="Accent6 3 2" xfId="1471"/>
    <cellStyle name="Accent6 3 2 2" xfId="1842"/>
    <cellStyle name="Accent6 3 2 2 2" xfId="17948"/>
    <cellStyle name="Accent6 3 2 2 3" xfId="17947"/>
    <cellStyle name="Accent6 3 2 3" xfId="2217"/>
    <cellStyle name="Accent6 3 2 3 2" xfId="17950"/>
    <cellStyle name="Accent6 3 2 3 3" xfId="17949"/>
    <cellStyle name="Accent6 3 2 4" xfId="2591"/>
    <cellStyle name="Accent6 3 2 4 2" xfId="17952"/>
    <cellStyle name="Accent6 3 2 4 3" xfId="17951"/>
    <cellStyle name="Accent6 3 2 5" xfId="2963"/>
    <cellStyle name="Accent6 3 2 5 2" xfId="17954"/>
    <cellStyle name="Accent6 3 2 5 3" xfId="17953"/>
    <cellStyle name="Accent6 3 2 6" xfId="3335"/>
    <cellStyle name="Accent6 3 2 6 2" xfId="17956"/>
    <cellStyle name="Accent6 3 2 6 3" xfId="17955"/>
    <cellStyle name="Accent6 3 2 7" xfId="17957"/>
    <cellStyle name="Accent6 3 2 8" xfId="17946"/>
    <cellStyle name="Accent6 3 3" xfId="1598"/>
    <cellStyle name="Accent6 3 3 2" xfId="1919"/>
    <cellStyle name="Accent6 3 3 2 2" xfId="17960"/>
    <cellStyle name="Accent6 3 3 2 3" xfId="17959"/>
    <cellStyle name="Accent6 3 3 3" xfId="2294"/>
    <cellStyle name="Accent6 3 3 3 2" xfId="17962"/>
    <cellStyle name="Accent6 3 3 3 3" xfId="17961"/>
    <cellStyle name="Accent6 3 3 4" xfId="2667"/>
    <cellStyle name="Accent6 3 3 4 2" xfId="17964"/>
    <cellStyle name="Accent6 3 3 4 3" xfId="17963"/>
    <cellStyle name="Accent6 3 3 5" xfId="3040"/>
    <cellStyle name="Accent6 3 3 5 2" xfId="17966"/>
    <cellStyle name="Accent6 3 3 5 3" xfId="17965"/>
    <cellStyle name="Accent6 3 3 6" xfId="3411"/>
    <cellStyle name="Accent6 3 3 6 2" xfId="17968"/>
    <cellStyle name="Accent6 3 3 6 3" xfId="17967"/>
    <cellStyle name="Accent6 3 3 7" xfId="17969"/>
    <cellStyle name="Accent6 3 3 8" xfId="17958"/>
    <cellStyle name="Accent6 3 4" xfId="1735"/>
    <cellStyle name="Accent6 3 4 2" xfId="1963"/>
    <cellStyle name="Accent6 3 4 2 2" xfId="17972"/>
    <cellStyle name="Accent6 3 4 2 3" xfId="17971"/>
    <cellStyle name="Accent6 3 4 3" xfId="2338"/>
    <cellStyle name="Accent6 3 4 3 2" xfId="17974"/>
    <cellStyle name="Accent6 3 4 3 3" xfId="17973"/>
    <cellStyle name="Accent6 3 4 4" xfId="2711"/>
    <cellStyle name="Accent6 3 4 4 2" xfId="17976"/>
    <cellStyle name="Accent6 3 4 4 3" xfId="17975"/>
    <cellStyle name="Accent6 3 4 5" xfId="3084"/>
    <cellStyle name="Accent6 3 4 5 2" xfId="17978"/>
    <cellStyle name="Accent6 3 4 5 3" xfId="17977"/>
    <cellStyle name="Accent6 3 4 6" xfId="3455"/>
    <cellStyle name="Accent6 3 4 6 2" xfId="17980"/>
    <cellStyle name="Accent6 3 4 6 3" xfId="17979"/>
    <cellStyle name="Accent6 3 4 7" xfId="17981"/>
    <cellStyle name="Accent6 3 4 8" xfId="17970"/>
    <cellStyle name="Accent6 3 5" xfId="2070"/>
    <cellStyle name="Accent6 3 5 2" xfId="17983"/>
    <cellStyle name="Accent6 3 5 3" xfId="17982"/>
    <cellStyle name="Accent6 3 6" xfId="2444"/>
    <cellStyle name="Accent6 3 6 2" xfId="17985"/>
    <cellStyle name="Accent6 3 6 3" xfId="17984"/>
    <cellStyle name="Accent6 3 7" xfId="2816"/>
    <cellStyle name="Accent6 3 7 2" xfId="17987"/>
    <cellStyle name="Accent6 3 7 3" xfId="17986"/>
    <cellStyle name="Accent6 3 8" xfId="3187"/>
    <cellStyle name="Accent6 3 8 2" xfId="17989"/>
    <cellStyle name="Accent6 3 8 3" xfId="17988"/>
    <cellStyle name="Accent6 3 9" xfId="3562"/>
    <cellStyle name="Accent6 3 9 2" xfId="17991"/>
    <cellStyle name="Accent6 3 9 3" xfId="17990"/>
    <cellStyle name="Accent6 4" xfId="258"/>
    <cellStyle name="Accent6 4 10" xfId="3742"/>
    <cellStyle name="Accent6 4 10 2" xfId="17994"/>
    <cellStyle name="Accent6 4 10 3" xfId="17993"/>
    <cellStyle name="Accent6 4 11" xfId="1313"/>
    <cellStyle name="Accent6 4 11 2" xfId="17996"/>
    <cellStyle name="Accent6 4 11 3" xfId="17995"/>
    <cellStyle name="Accent6 4 12" xfId="17997"/>
    <cellStyle name="Accent6 4 13" xfId="17992"/>
    <cellStyle name="Accent6 4 2" xfId="1516"/>
    <cellStyle name="Accent6 4 2 2" xfId="17999"/>
    <cellStyle name="Accent6 4 2 3" xfId="17998"/>
    <cellStyle name="Accent6 4 3" xfId="1641"/>
    <cellStyle name="Accent6 4 3 2" xfId="18001"/>
    <cellStyle name="Accent6 4 3 3" xfId="18000"/>
    <cellStyle name="Accent6 4 4" xfId="1786"/>
    <cellStyle name="Accent6 4 4 2" xfId="18003"/>
    <cellStyle name="Accent6 4 4 3" xfId="18002"/>
    <cellStyle name="Accent6 4 5" xfId="2121"/>
    <cellStyle name="Accent6 4 5 2" xfId="18005"/>
    <cellStyle name="Accent6 4 5 3" xfId="18004"/>
    <cellStyle name="Accent6 4 6" xfId="2495"/>
    <cellStyle name="Accent6 4 6 2" xfId="18007"/>
    <cellStyle name="Accent6 4 6 3" xfId="18006"/>
    <cellStyle name="Accent6 4 7" xfId="2867"/>
    <cellStyle name="Accent6 4 7 2" xfId="18009"/>
    <cellStyle name="Accent6 4 7 3" xfId="18008"/>
    <cellStyle name="Accent6 4 8" xfId="3238"/>
    <cellStyle name="Accent6 4 8 2" xfId="18011"/>
    <cellStyle name="Accent6 4 8 3" xfId="18010"/>
    <cellStyle name="Accent6 4 9" xfId="3605"/>
    <cellStyle name="Accent6 4 9 2" xfId="18013"/>
    <cellStyle name="Accent6 4 9 3" xfId="18012"/>
    <cellStyle name="Accent6 5" xfId="451"/>
    <cellStyle name="Accent6 5 2" xfId="1871"/>
    <cellStyle name="Accent6 5 2 2" xfId="18016"/>
    <cellStyle name="Accent6 5 2 3" xfId="18015"/>
    <cellStyle name="Accent6 5 3" xfId="2246"/>
    <cellStyle name="Accent6 5 3 2" xfId="18018"/>
    <cellStyle name="Accent6 5 3 3" xfId="18017"/>
    <cellStyle name="Accent6 5 4" xfId="2620"/>
    <cellStyle name="Accent6 5 4 2" xfId="18020"/>
    <cellStyle name="Accent6 5 4 3" xfId="18019"/>
    <cellStyle name="Accent6 5 5" xfId="2992"/>
    <cellStyle name="Accent6 5 5 2" xfId="18022"/>
    <cellStyle name="Accent6 5 5 3" xfId="18021"/>
    <cellStyle name="Accent6 5 6" xfId="3364"/>
    <cellStyle name="Accent6 5 6 2" xfId="18024"/>
    <cellStyle name="Accent6 5 6 3" xfId="18023"/>
    <cellStyle name="Accent6 5 7" xfId="18025"/>
    <cellStyle name="Accent6 5 7 2" xfId="18026"/>
    <cellStyle name="Accent6 5 8" xfId="18027"/>
    <cellStyle name="Accent6 5 9" xfId="18014"/>
    <cellStyle name="Accent6 6" xfId="452"/>
    <cellStyle name="Accent6 6 10" xfId="18028"/>
    <cellStyle name="Accent6 6 2" xfId="1992"/>
    <cellStyle name="Accent6 6 2 2" xfId="18030"/>
    <cellStyle name="Accent6 6 2 3" xfId="18029"/>
    <cellStyle name="Accent6 6 3" xfId="2367"/>
    <cellStyle name="Accent6 6 3 2" xfId="18032"/>
    <cellStyle name="Accent6 6 3 3" xfId="18031"/>
    <cellStyle name="Accent6 6 4" xfId="2740"/>
    <cellStyle name="Accent6 6 4 2" xfId="18034"/>
    <cellStyle name="Accent6 6 4 3" xfId="18033"/>
    <cellStyle name="Accent6 6 5" xfId="3113"/>
    <cellStyle name="Accent6 6 5 2" xfId="18036"/>
    <cellStyle name="Accent6 6 5 3" xfId="18035"/>
    <cellStyle name="Accent6 6 6" xfId="3484"/>
    <cellStyle name="Accent6 6 6 2" xfId="18038"/>
    <cellStyle name="Accent6 6 6 3" xfId="18037"/>
    <cellStyle name="Accent6 6 7" xfId="3790"/>
    <cellStyle name="Accent6 6 7 2" xfId="18040"/>
    <cellStyle name="Accent6 6 7 3" xfId="18039"/>
    <cellStyle name="Accent6 6 8" xfId="18041"/>
    <cellStyle name="Accent6 6 8 2" xfId="18042"/>
    <cellStyle name="Accent6 6 9" xfId="18043"/>
    <cellStyle name="Accent6 7" xfId="453"/>
    <cellStyle name="Accent6 7 2" xfId="18045"/>
    <cellStyle name="Accent6 7 3" xfId="18044"/>
    <cellStyle name="Accent6 8" xfId="589"/>
    <cellStyle name="Accent6 8 2" xfId="18047"/>
    <cellStyle name="Accent6 8 3" xfId="18046"/>
    <cellStyle name="Accent6 9" xfId="590"/>
    <cellStyle name="Accent6 9 2" xfId="18049"/>
    <cellStyle name="Accent6 9 3" xfId="18048"/>
    <cellStyle name="Bad 10" xfId="736"/>
    <cellStyle name="Bad 10 2" xfId="18052"/>
    <cellStyle name="Bad 10 3" xfId="18051"/>
    <cellStyle name="Bad 11" xfId="737"/>
    <cellStyle name="Bad 11 2" xfId="18054"/>
    <cellStyle name="Bad 11 3" xfId="18053"/>
    <cellStyle name="Bad 12" xfId="870"/>
    <cellStyle name="Bad 12 2" xfId="18055"/>
    <cellStyle name="Bad 13" xfId="871"/>
    <cellStyle name="Bad 13 2" xfId="18050"/>
    <cellStyle name="Bad 14" xfId="969"/>
    <cellStyle name="Bad 2" xfId="92"/>
    <cellStyle name="Bad 2 10" xfId="1691"/>
    <cellStyle name="Bad 2 10 2" xfId="18058"/>
    <cellStyle name="Bad 2 10 3" xfId="18057"/>
    <cellStyle name="Bad 2 11" xfId="2026"/>
    <cellStyle name="Bad 2 11 2" xfId="18060"/>
    <cellStyle name="Bad 2 11 3" xfId="18059"/>
    <cellStyle name="Bad 2 12" xfId="2400"/>
    <cellStyle name="Bad 2 12 2" xfId="18062"/>
    <cellStyle name="Bad 2 12 3" xfId="18061"/>
    <cellStyle name="Bad 2 13" xfId="2773"/>
    <cellStyle name="Bad 2 13 2" xfId="18064"/>
    <cellStyle name="Bad 2 13 3" xfId="18063"/>
    <cellStyle name="Bad 2 14" xfId="3147"/>
    <cellStyle name="Bad 2 14 2" xfId="18066"/>
    <cellStyle name="Bad 2 14 3" xfId="18065"/>
    <cellStyle name="Bad 2 15" xfId="3518"/>
    <cellStyle name="Bad 2 15 2" xfId="18068"/>
    <cellStyle name="Bad 2 15 3" xfId="18067"/>
    <cellStyle name="Bad 2 16" xfId="3656"/>
    <cellStyle name="Bad 2 16 2" xfId="18070"/>
    <cellStyle name="Bad 2 16 3" xfId="18069"/>
    <cellStyle name="Bad 2 17" xfId="18071"/>
    <cellStyle name="Bad 2 17 2" xfId="18072"/>
    <cellStyle name="Bad 2 18" xfId="18073"/>
    <cellStyle name="Bad 2 19" xfId="18056"/>
    <cellStyle name="Bad 2 2" xfId="136"/>
    <cellStyle name="Bad 2 2 2" xfId="159"/>
    <cellStyle name="Bad 2 2 2 2" xfId="18076"/>
    <cellStyle name="Bad 2 2 2 3" xfId="18075"/>
    <cellStyle name="Bad 2 2 3" xfId="323"/>
    <cellStyle name="Bad 2 2 3 2" xfId="18078"/>
    <cellStyle name="Bad 2 2 3 3" xfId="18077"/>
    <cellStyle name="Bad 2 2 4" xfId="2146"/>
    <cellStyle name="Bad 2 2 4 2" xfId="18080"/>
    <cellStyle name="Bad 2 2 4 3" xfId="18079"/>
    <cellStyle name="Bad 2 2 5" xfId="2520"/>
    <cellStyle name="Bad 2 2 5 2" xfId="18082"/>
    <cellStyle name="Bad 2 2 5 3" xfId="18081"/>
    <cellStyle name="Bad 2 2 6" xfId="2892"/>
    <cellStyle name="Bad 2 2 6 2" xfId="18084"/>
    <cellStyle name="Bad 2 2 6 3" xfId="18083"/>
    <cellStyle name="Bad 2 2 7" xfId="3263"/>
    <cellStyle name="Bad 2 2 7 2" xfId="18086"/>
    <cellStyle name="Bad 2 2 7 3" xfId="18085"/>
    <cellStyle name="Bad 2 2 8" xfId="18087"/>
    <cellStyle name="Bad 2 2 9" xfId="18074"/>
    <cellStyle name="Bad 2 20" xfId="24490"/>
    <cellStyle name="Bad 2 3" xfId="301"/>
    <cellStyle name="Bad 2 3 2" xfId="1322"/>
    <cellStyle name="Bad 2 3 2 2" xfId="18089"/>
    <cellStyle name="Bad 2 3 3" xfId="18088"/>
    <cellStyle name="Bad 2 4" xfId="454"/>
    <cellStyle name="Bad 2 4 2" xfId="18091"/>
    <cellStyle name="Bad 2 4 3" xfId="18090"/>
    <cellStyle name="Bad 2 5" xfId="591"/>
    <cellStyle name="Bad 2 5 2" xfId="18093"/>
    <cellStyle name="Bad 2 5 3" xfId="18092"/>
    <cellStyle name="Bad 2 6" xfId="738"/>
    <cellStyle name="Bad 2 6 2" xfId="18095"/>
    <cellStyle name="Bad 2 6 3" xfId="18094"/>
    <cellStyle name="Bad 2 7" xfId="739"/>
    <cellStyle name="Bad 2 7 2" xfId="18097"/>
    <cellStyle name="Bad 2 7 3" xfId="18096"/>
    <cellStyle name="Bad 2 8" xfId="872"/>
    <cellStyle name="Bad 2 8 2" xfId="1420"/>
    <cellStyle name="Bad 2 8 2 2" xfId="18099"/>
    <cellStyle name="Bad 2 8 3" xfId="18098"/>
    <cellStyle name="Bad 2 9" xfId="970"/>
    <cellStyle name="Bad 2 9 2" xfId="1557"/>
    <cellStyle name="Bad 2 9 2 2" xfId="18101"/>
    <cellStyle name="Bad 2 9 3" xfId="18100"/>
    <cellStyle name="Bad 3" xfId="200"/>
    <cellStyle name="Bad 3 10" xfId="3699"/>
    <cellStyle name="Bad 3 10 2" xfId="18104"/>
    <cellStyle name="Bad 3 10 3" xfId="18103"/>
    <cellStyle name="Bad 3 11" xfId="18105"/>
    <cellStyle name="Bad 3 11 2" xfId="18106"/>
    <cellStyle name="Bad 3 12" xfId="18107"/>
    <cellStyle name="Bad 3 13" xfId="18102"/>
    <cellStyle name="Bad 3 2" xfId="1472"/>
    <cellStyle name="Bad 3 2 2" xfId="1811"/>
    <cellStyle name="Bad 3 2 2 2" xfId="18110"/>
    <cellStyle name="Bad 3 2 2 3" xfId="18109"/>
    <cellStyle name="Bad 3 2 3" xfId="2186"/>
    <cellStyle name="Bad 3 2 3 2" xfId="18112"/>
    <cellStyle name="Bad 3 2 3 3" xfId="18111"/>
    <cellStyle name="Bad 3 2 4" xfId="2560"/>
    <cellStyle name="Bad 3 2 4 2" xfId="18114"/>
    <cellStyle name="Bad 3 2 4 3" xfId="18113"/>
    <cellStyle name="Bad 3 2 5" xfId="2932"/>
    <cellStyle name="Bad 3 2 5 2" xfId="18116"/>
    <cellStyle name="Bad 3 2 5 3" xfId="18115"/>
    <cellStyle name="Bad 3 2 6" xfId="3304"/>
    <cellStyle name="Bad 3 2 6 2" xfId="18118"/>
    <cellStyle name="Bad 3 2 6 3" xfId="18117"/>
    <cellStyle name="Bad 3 2 7" xfId="18119"/>
    <cellStyle name="Bad 3 2 8" xfId="18108"/>
    <cellStyle name="Bad 3 3" xfId="1599"/>
    <cellStyle name="Bad 3 3 2" xfId="1888"/>
    <cellStyle name="Bad 3 3 2 2" xfId="18122"/>
    <cellStyle name="Bad 3 3 2 3" xfId="18121"/>
    <cellStyle name="Bad 3 3 3" xfId="2263"/>
    <cellStyle name="Bad 3 3 3 2" xfId="18124"/>
    <cellStyle name="Bad 3 3 3 3" xfId="18123"/>
    <cellStyle name="Bad 3 3 4" xfId="2636"/>
    <cellStyle name="Bad 3 3 4 2" xfId="18126"/>
    <cellStyle name="Bad 3 3 4 3" xfId="18125"/>
    <cellStyle name="Bad 3 3 5" xfId="3009"/>
    <cellStyle name="Bad 3 3 5 2" xfId="18128"/>
    <cellStyle name="Bad 3 3 5 3" xfId="18127"/>
    <cellStyle name="Bad 3 3 6" xfId="3380"/>
    <cellStyle name="Bad 3 3 6 2" xfId="18130"/>
    <cellStyle name="Bad 3 3 6 3" xfId="18129"/>
    <cellStyle name="Bad 3 3 7" xfId="18131"/>
    <cellStyle name="Bad 3 3 8" xfId="18120"/>
    <cellStyle name="Bad 3 4" xfId="1736"/>
    <cellStyle name="Bad 3 4 2" xfId="1932"/>
    <cellStyle name="Bad 3 4 2 2" xfId="18134"/>
    <cellStyle name="Bad 3 4 2 3" xfId="18133"/>
    <cellStyle name="Bad 3 4 3" xfId="2307"/>
    <cellStyle name="Bad 3 4 3 2" xfId="18136"/>
    <cellStyle name="Bad 3 4 3 3" xfId="18135"/>
    <cellStyle name="Bad 3 4 4" xfId="2680"/>
    <cellStyle name="Bad 3 4 4 2" xfId="18138"/>
    <cellStyle name="Bad 3 4 4 3" xfId="18137"/>
    <cellStyle name="Bad 3 4 5" xfId="3053"/>
    <cellStyle name="Bad 3 4 5 2" xfId="18140"/>
    <cellStyle name="Bad 3 4 5 3" xfId="18139"/>
    <cellStyle name="Bad 3 4 6" xfId="3424"/>
    <cellStyle name="Bad 3 4 6 2" xfId="18142"/>
    <cellStyle name="Bad 3 4 6 3" xfId="18141"/>
    <cellStyle name="Bad 3 4 7" xfId="18143"/>
    <cellStyle name="Bad 3 4 8" xfId="18132"/>
    <cellStyle name="Bad 3 5" xfId="2071"/>
    <cellStyle name="Bad 3 5 2" xfId="18145"/>
    <cellStyle name="Bad 3 5 3" xfId="18144"/>
    <cellStyle name="Bad 3 6" xfId="2445"/>
    <cellStyle name="Bad 3 6 2" xfId="18147"/>
    <cellStyle name="Bad 3 6 3" xfId="18146"/>
    <cellStyle name="Bad 3 7" xfId="2817"/>
    <cellStyle name="Bad 3 7 2" xfId="18149"/>
    <cellStyle name="Bad 3 7 3" xfId="18148"/>
    <cellStyle name="Bad 3 8" xfId="3188"/>
    <cellStyle name="Bad 3 8 2" xfId="18151"/>
    <cellStyle name="Bad 3 8 3" xfId="18150"/>
    <cellStyle name="Bad 3 9" xfId="3563"/>
    <cellStyle name="Bad 3 9 2" xfId="18153"/>
    <cellStyle name="Bad 3 9 3" xfId="18152"/>
    <cellStyle name="Bad 4" xfId="259"/>
    <cellStyle name="Bad 4 10" xfId="3743"/>
    <cellStyle name="Bad 4 10 2" xfId="18156"/>
    <cellStyle name="Bad 4 10 3" xfId="18155"/>
    <cellStyle name="Bad 4 11" xfId="1282"/>
    <cellStyle name="Bad 4 11 2" xfId="18158"/>
    <cellStyle name="Bad 4 11 3" xfId="18157"/>
    <cellStyle name="Bad 4 12" xfId="18159"/>
    <cellStyle name="Bad 4 13" xfId="18154"/>
    <cellStyle name="Bad 4 2" xfId="1517"/>
    <cellStyle name="Bad 4 2 2" xfId="18161"/>
    <cellStyle name="Bad 4 2 3" xfId="18160"/>
    <cellStyle name="Bad 4 3" xfId="1642"/>
    <cellStyle name="Bad 4 3 2" xfId="18163"/>
    <cellStyle name="Bad 4 3 3" xfId="18162"/>
    <cellStyle name="Bad 4 4" xfId="1785"/>
    <cellStyle name="Bad 4 4 2" xfId="18165"/>
    <cellStyle name="Bad 4 4 3" xfId="18164"/>
    <cellStyle name="Bad 4 5" xfId="2120"/>
    <cellStyle name="Bad 4 5 2" xfId="18167"/>
    <cellStyle name="Bad 4 5 3" xfId="18166"/>
    <cellStyle name="Bad 4 6" xfId="2494"/>
    <cellStyle name="Bad 4 6 2" xfId="18169"/>
    <cellStyle name="Bad 4 6 3" xfId="18168"/>
    <cellStyle name="Bad 4 7" xfId="2866"/>
    <cellStyle name="Bad 4 7 2" xfId="18171"/>
    <cellStyle name="Bad 4 7 3" xfId="18170"/>
    <cellStyle name="Bad 4 8" xfId="3237"/>
    <cellStyle name="Bad 4 8 2" xfId="18173"/>
    <cellStyle name="Bad 4 8 3" xfId="18172"/>
    <cellStyle name="Bad 4 9" xfId="3606"/>
    <cellStyle name="Bad 4 9 2" xfId="18175"/>
    <cellStyle name="Bad 4 9 3" xfId="18174"/>
    <cellStyle name="Bad 5" xfId="455"/>
    <cellStyle name="Bad 5 2" xfId="1854"/>
    <cellStyle name="Bad 5 2 2" xfId="18178"/>
    <cellStyle name="Bad 5 2 3" xfId="18177"/>
    <cellStyle name="Bad 5 3" xfId="2229"/>
    <cellStyle name="Bad 5 3 2" xfId="18180"/>
    <cellStyle name="Bad 5 3 3" xfId="18179"/>
    <cellStyle name="Bad 5 4" xfId="2603"/>
    <cellStyle name="Bad 5 4 2" xfId="18182"/>
    <cellStyle name="Bad 5 4 3" xfId="18181"/>
    <cellStyle name="Bad 5 5" xfId="2975"/>
    <cellStyle name="Bad 5 5 2" xfId="18184"/>
    <cellStyle name="Bad 5 5 3" xfId="18183"/>
    <cellStyle name="Bad 5 6" xfId="3347"/>
    <cellStyle name="Bad 5 6 2" xfId="18186"/>
    <cellStyle name="Bad 5 6 3" xfId="18185"/>
    <cellStyle name="Bad 5 7" xfId="18187"/>
    <cellStyle name="Bad 5 7 2" xfId="18188"/>
    <cellStyle name="Bad 5 8" xfId="18189"/>
    <cellStyle name="Bad 5 9" xfId="18176"/>
    <cellStyle name="Bad 6" xfId="456"/>
    <cellStyle name="Bad 6 10" xfId="18190"/>
    <cellStyle name="Bad 6 2" xfId="1993"/>
    <cellStyle name="Bad 6 2 2" xfId="18192"/>
    <cellStyle name="Bad 6 2 3" xfId="18191"/>
    <cellStyle name="Bad 6 3" xfId="2368"/>
    <cellStyle name="Bad 6 3 2" xfId="18194"/>
    <cellStyle name="Bad 6 3 3" xfId="18193"/>
    <cellStyle name="Bad 6 4" xfId="2741"/>
    <cellStyle name="Bad 6 4 2" xfId="18196"/>
    <cellStyle name="Bad 6 4 3" xfId="18195"/>
    <cellStyle name="Bad 6 5" xfId="3114"/>
    <cellStyle name="Bad 6 5 2" xfId="18198"/>
    <cellStyle name="Bad 6 5 3" xfId="18197"/>
    <cellStyle name="Bad 6 6" xfId="3485"/>
    <cellStyle name="Bad 6 6 2" xfId="18200"/>
    <cellStyle name="Bad 6 6 3" xfId="18199"/>
    <cellStyle name="Bad 6 7" xfId="3791"/>
    <cellStyle name="Bad 6 7 2" xfId="18202"/>
    <cellStyle name="Bad 6 7 3" xfId="18201"/>
    <cellStyle name="Bad 6 8" xfId="18203"/>
    <cellStyle name="Bad 6 8 2" xfId="18204"/>
    <cellStyle name="Bad 6 9" xfId="18205"/>
    <cellStyle name="Bad 7" xfId="457"/>
    <cellStyle name="Bad 7 2" xfId="18207"/>
    <cellStyle name="Bad 7 3" xfId="18206"/>
    <cellStyle name="Bad 8" xfId="592"/>
    <cellStyle name="Bad 8 2" xfId="18209"/>
    <cellStyle name="Bad 8 3" xfId="18208"/>
    <cellStyle name="Bad 9" xfId="593"/>
    <cellStyle name="Bad 9 2" xfId="18211"/>
    <cellStyle name="Bad 9 3" xfId="18210"/>
    <cellStyle name="Calculation 10" xfId="740"/>
    <cellStyle name="Calculation 10 2" xfId="18214"/>
    <cellStyle name="Calculation 10 3" xfId="18213"/>
    <cellStyle name="Calculation 11" xfId="741"/>
    <cellStyle name="Calculation 11 2" xfId="18216"/>
    <cellStyle name="Calculation 11 3" xfId="18215"/>
    <cellStyle name="Calculation 12" xfId="873"/>
    <cellStyle name="Calculation 12 2" xfId="18217"/>
    <cellStyle name="Calculation 13" xfId="874"/>
    <cellStyle name="Calculation 13 2" xfId="18212"/>
    <cellStyle name="Calculation 14" xfId="971"/>
    <cellStyle name="Calculation 2" xfId="93"/>
    <cellStyle name="Calculation 2 10" xfId="1692"/>
    <cellStyle name="Calculation 2 10 2" xfId="18220"/>
    <cellStyle name="Calculation 2 10 3" xfId="18219"/>
    <cellStyle name="Calculation 2 11" xfId="2027"/>
    <cellStyle name="Calculation 2 11 2" xfId="18222"/>
    <cellStyle name="Calculation 2 11 3" xfId="18221"/>
    <cellStyle name="Calculation 2 12" xfId="2401"/>
    <cellStyle name="Calculation 2 12 2" xfId="18224"/>
    <cellStyle name="Calculation 2 12 3" xfId="18223"/>
    <cellStyle name="Calculation 2 13" xfId="2774"/>
    <cellStyle name="Calculation 2 13 2" xfId="18226"/>
    <cellStyle name="Calculation 2 13 3" xfId="18225"/>
    <cellStyle name="Calculation 2 14" xfId="3148"/>
    <cellStyle name="Calculation 2 14 2" xfId="18228"/>
    <cellStyle name="Calculation 2 14 3" xfId="18227"/>
    <cellStyle name="Calculation 2 15" xfId="3519"/>
    <cellStyle name="Calculation 2 15 2" xfId="18230"/>
    <cellStyle name="Calculation 2 15 3" xfId="18229"/>
    <cellStyle name="Calculation 2 16" xfId="3657"/>
    <cellStyle name="Calculation 2 16 2" xfId="18232"/>
    <cellStyle name="Calculation 2 16 3" xfId="18231"/>
    <cellStyle name="Calculation 2 17" xfId="18233"/>
    <cellStyle name="Calculation 2 17 2" xfId="18234"/>
    <cellStyle name="Calculation 2 18" xfId="18235"/>
    <cellStyle name="Calculation 2 19" xfId="18218"/>
    <cellStyle name="Calculation 2 2" xfId="137"/>
    <cellStyle name="Calculation 2 2 2" xfId="163"/>
    <cellStyle name="Calculation 2 2 2 2" xfId="18238"/>
    <cellStyle name="Calculation 2 2 2 3" xfId="18237"/>
    <cellStyle name="Calculation 2 2 3" xfId="327"/>
    <cellStyle name="Calculation 2 2 3 2" xfId="18240"/>
    <cellStyle name="Calculation 2 2 3 3" xfId="18239"/>
    <cellStyle name="Calculation 2 2 4" xfId="2150"/>
    <cellStyle name="Calculation 2 2 4 2" xfId="18242"/>
    <cellStyle name="Calculation 2 2 4 3" xfId="18241"/>
    <cellStyle name="Calculation 2 2 5" xfId="2524"/>
    <cellStyle name="Calculation 2 2 5 2" xfId="18244"/>
    <cellStyle name="Calculation 2 2 5 3" xfId="18243"/>
    <cellStyle name="Calculation 2 2 6" xfId="2896"/>
    <cellStyle name="Calculation 2 2 6 2" xfId="18246"/>
    <cellStyle name="Calculation 2 2 6 3" xfId="18245"/>
    <cellStyle name="Calculation 2 2 7" xfId="3267"/>
    <cellStyle name="Calculation 2 2 7 2" xfId="18248"/>
    <cellStyle name="Calculation 2 2 7 3" xfId="18247"/>
    <cellStyle name="Calculation 2 2 8" xfId="18249"/>
    <cellStyle name="Calculation 2 2 9" xfId="18236"/>
    <cellStyle name="Calculation 2 20" xfId="24491"/>
    <cellStyle name="Calculation 2 3" xfId="302"/>
    <cellStyle name="Calculation 2 3 2" xfId="1326"/>
    <cellStyle name="Calculation 2 3 2 2" xfId="18251"/>
    <cellStyle name="Calculation 2 3 3" xfId="18250"/>
    <cellStyle name="Calculation 2 4" xfId="458"/>
    <cellStyle name="Calculation 2 4 2" xfId="18253"/>
    <cellStyle name="Calculation 2 4 3" xfId="18252"/>
    <cellStyle name="Calculation 2 5" xfId="594"/>
    <cellStyle name="Calculation 2 5 2" xfId="18255"/>
    <cellStyle name="Calculation 2 5 3" xfId="18254"/>
    <cellStyle name="Calculation 2 6" xfId="742"/>
    <cellStyle name="Calculation 2 6 2" xfId="18257"/>
    <cellStyle name="Calculation 2 6 3" xfId="18256"/>
    <cellStyle name="Calculation 2 7" xfId="743"/>
    <cellStyle name="Calculation 2 7 2" xfId="18259"/>
    <cellStyle name="Calculation 2 7 3" xfId="18258"/>
    <cellStyle name="Calculation 2 8" xfId="875"/>
    <cellStyle name="Calculation 2 8 2" xfId="1421"/>
    <cellStyle name="Calculation 2 8 2 2" xfId="18261"/>
    <cellStyle name="Calculation 2 8 3" xfId="18260"/>
    <cellStyle name="Calculation 2 9" xfId="972"/>
    <cellStyle name="Calculation 2 9 2" xfId="1556"/>
    <cellStyle name="Calculation 2 9 2 2" xfId="18263"/>
    <cellStyle name="Calculation 2 9 3" xfId="18262"/>
    <cellStyle name="Calculation 3" xfId="204"/>
    <cellStyle name="Calculation 3 10" xfId="3700"/>
    <cellStyle name="Calculation 3 10 2" xfId="18266"/>
    <cellStyle name="Calculation 3 10 3" xfId="18265"/>
    <cellStyle name="Calculation 3 11" xfId="18267"/>
    <cellStyle name="Calculation 3 11 2" xfId="18268"/>
    <cellStyle name="Calculation 3 12" xfId="18269"/>
    <cellStyle name="Calculation 3 13" xfId="18264"/>
    <cellStyle name="Calculation 3 2" xfId="1473"/>
    <cellStyle name="Calculation 3 2 2" xfId="1815"/>
    <cellStyle name="Calculation 3 2 2 2" xfId="18272"/>
    <cellStyle name="Calculation 3 2 2 3" xfId="18271"/>
    <cellStyle name="Calculation 3 2 3" xfId="2190"/>
    <cellStyle name="Calculation 3 2 3 2" xfId="18274"/>
    <cellStyle name="Calculation 3 2 3 3" xfId="18273"/>
    <cellStyle name="Calculation 3 2 4" xfId="2564"/>
    <cellStyle name="Calculation 3 2 4 2" xfId="18276"/>
    <cellStyle name="Calculation 3 2 4 3" xfId="18275"/>
    <cellStyle name="Calculation 3 2 5" xfId="2936"/>
    <cellStyle name="Calculation 3 2 5 2" xfId="18278"/>
    <cellStyle name="Calculation 3 2 5 3" xfId="18277"/>
    <cellStyle name="Calculation 3 2 6" xfId="3308"/>
    <cellStyle name="Calculation 3 2 6 2" xfId="18280"/>
    <cellStyle name="Calculation 3 2 6 3" xfId="18279"/>
    <cellStyle name="Calculation 3 2 7" xfId="18281"/>
    <cellStyle name="Calculation 3 2 8" xfId="18270"/>
    <cellStyle name="Calculation 3 3" xfId="1600"/>
    <cellStyle name="Calculation 3 3 2" xfId="1892"/>
    <cellStyle name="Calculation 3 3 2 2" xfId="18284"/>
    <cellStyle name="Calculation 3 3 2 3" xfId="18283"/>
    <cellStyle name="Calculation 3 3 3" xfId="2267"/>
    <cellStyle name="Calculation 3 3 3 2" xfId="18286"/>
    <cellStyle name="Calculation 3 3 3 3" xfId="18285"/>
    <cellStyle name="Calculation 3 3 4" xfId="2640"/>
    <cellStyle name="Calculation 3 3 4 2" xfId="18288"/>
    <cellStyle name="Calculation 3 3 4 3" xfId="18287"/>
    <cellStyle name="Calculation 3 3 5" xfId="3013"/>
    <cellStyle name="Calculation 3 3 5 2" xfId="18290"/>
    <cellStyle name="Calculation 3 3 5 3" xfId="18289"/>
    <cellStyle name="Calculation 3 3 6" xfId="3384"/>
    <cellStyle name="Calculation 3 3 6 2" xfId="18292"/>
    <cellStyle name="Calculation 3 3 6 3" xfId="18291"/>
    <cellStyle name="Calculation 3 3 7" xfId="18293"/>
    <cellStyle name="Calculation 3 3 8" xfId="18282"/>
    <cellStyle name="Calculation 3 4" xfId="1737"/>
    <cellStyle name="Calculation 3 4 2" xfId="1936"/>
    <cellStyle name="Calculation 3 4 2 2" xfId="18296"/>
    <cellStyle name="Calculation 3 4 2 3" xfId="18295"/>
    <cellStyle name="Calculation 3 4 3" xfId="2311"/>
    <cellStyle name="Calculation 3 4 3 2" xfId="18298"/>
    <cellStyle name="Calculation 3 4 3 3" xfId="18297"/>
    <cellStyle name="Calculation 3 4 4" xfId="2684"/>
    <cellStyle name="Calculation 3 4 4 2" xfId="18300"/>
    <cellStyle name="Calculation 3 4 4 3" xfId="18299"/>
    <cellStyle name="Calculation 3 4 5" xfId="3057"/>
    <cellStyle name="Calculation 3 4 5 2" xfId="18302"/>
    <cellStyle name="Calculation 3 4 5 3" xfId="18301"/>
    <cellStyle name="Calculation 3 4 6" xfId="3428"/>
    <cellStyle name="Calculation 3 4 6 2" xfId="18304"/>
    <cellStyle name="Calculation 3 4 6 3" xfId="18303"/>
    <cellStyle name="Calculation 3 4 7" xfId="18305"/>
    <cellStyle name="Calculation 3 4 8" xfId="18294"/>
    <cellStyle name="Calculation 3 5" xfId="2072"/>
    <cellStyle name="Calculation 3 5 2" xfId="18307"/>
    <cellStyle name="Calculation 3 5 3" xfId="18306"/>
    <cellStyle name="Calculation 3 6" xfId="2446"/>
    <cellStyle name="Calculation 3 6 2" xfId="18309"/>
    <cellStyle name="Calculation 3 6 3" xfId="18308"/>
    <cellStyle name="Calculation 3 7" xfId="2818"/>
    <cellStyle name="Calculation 3 7 2" xfId="18311"/>
    <cellStyle name="Calculation 3 7 3" xfId="18310"/>
    <cellStyle name="Calculation 3 8" xfId="3189"/>
    <cellStyle name="Calculation 3 8 2" xfId="18313"/>
    <cellStyle name="Calculation 3 8 3" xfId="18312"/>
    <cellStyle name="Calculation 3 9" xfId="3564"/>
    <cellStyle name="Calculation 3 9 2" xfId="18315"/>
    <cellStyle name="Calculation 3 9 3" xfId="18314"/>
    <cellStyle name="Calculation 4" xfId="260"/>
    <cellStyle name="Calculation 4 10" xfId="3744"/>
    <cellStyle name="Calculation 4 10 2" xfId="18318"/>
    <cellStyle name="Calculation 4 10 3" xfId="18317"/>
    <cellStyle name="Calculation 4 11" xfId="1286"/>
    <cellStyle name="Calculation 4 11 2" xfId="18320"/>
    <cellStyle name="Calculation 4 11 3" xfId="18319"/>
    <cellStyle name="Calculation 4 12" xfId="18321"/>
    <cellStyle name="Calculation 4 13" xfId="18316"/>
    <cellStyle name="Calculation 4 2" xfId="1518"/>
    <cellStyle name="Calculation 4 2 2" xfId="18323"/>
    <cellStyle name="Calculation 4 2 3" xfId="18322"/>
    <cellStyle name="Calculation 4 3" xfId="1643"/>
    <cellStyle name="Calculation 4 3 2" xfId="18325"/>
    <cellStyle name="Calculation 4 3 3" xfId="18324"/>
    <cellStyle name="Calculation 4 4" xfId="1784"/>
    <cellStyle name="Calculation 4 4 2" xfId="18327"/>
    <cellStyle name="Calculation 4 4 3" xfId="18326"/>
    <cellStyle name="Calculation 4 5" xfId="2119"/>
    <cellStyle name="Calculation 4 5 2" xfId="18329"/>
    <cellStyle name="Calculation 4 5 3" xfId="18328"/>
    <cellStyle name="Calculation 4 6" xfId="2493"/>
    <cellStyle name="Calculation 4 6 2" xfId="18331"/>
    <cellStyle name="Calculation 4 6 3" xfId="18330"/>
    <cellStyle name="Calculation 4 7" xfId="2865"/>
    <cellStyle name="Calculation 4 7 2" xfId="18333"/>
    <cellStyle name="Calculation 4 7 3" xfId="18332"/>
    <cellStyle name="Calculation 4 8" xfId="3236"/>
    <cellStyle name="Calculation 4 8 2" xfId="18335"/>
    <cellStyle name="Calculation 4 8 3" xfId="18334"/>
    <cellStyle name="Calculation 4 9" xfId="3607"/>
    <cellStyle name="Calculation 4 9 2" xfId="18337"/>
    <cellStyle name="Calculation 4 9 3" xfId="18336"/>
    <cellStyle name="Calculation 5" xfId="459"/>
    <cellStyle name="Calculation 5 2" xfId="1870"/>
    <cellStyle name="Calculation 5 2 2" xfId="18340"/>
    <cellStyle name="Calculation 5 2 3" xfId="18339"/>
    <cellStyle name="Calculation 5 3" xfId="2245"/>
    <cellStyle name="Calculation 5 3 2" xfId="18342"/>
    <cellStyle name="Calculation 5 3 3" xfId="18341"/>
    <cellStyle name="Calculation 5 4" xfId="2619"/>
    <cellStyle name="Calculation 5 4 2" xfId="18344"/>
    <cellStyle name="Calculation 5 4 3" xfId="18343"/>
    <cellStyle name="Calculation 5 5" xfId="2991"/>
    <cellStyle name="Calculation 5 5 2" xfId="18346"/>
    <cellStyle name="Calculation 5 5 3" xfId="18345"/>
    <cellStyle name="Calculation 5 6" xfId="3363"/>
    <cellStyle name="Calculation 5 6 2" xfId="18348"/>
    <cellStyle name="Calculation 5 6 3" xfId="18347"/>
    <cellStyle name="Calculation 5 7" xfId="18349"/>
    <cellStyle name="Calculation 5 7 2" xfId="18350"/>
    <cellStyle name="Calculation 5 8" xfId="18351"/>
    <cellStyle name="Calculation 5 9" xfId="18338"/>
    <cellStyle name="Calculation 6" xfId="460"/>
    <cellStyle name="Calculation 6 10" xfId="18352"/>
    <cellStyle name="Calculation 6 2" xfId="1994"/>
    <cellStyle name="Calculation 6 2 2" xfId="18354"/>
    <cellStyle name="Calculation 6 2 3" xfId="18353"/>
    <cellStyle name="Calculation 6 3" xfId="2369"/>
    <cellStyle name="Calculation 6 3 2" xfId="18356"/>
    <cellStyle name="Calculation 6 3 3" xfId="18355"/>
    <cellStyle name="Calculation 6 4" xfId="2742"/>
    <cellStyle name="Calculation 6 4 2" xfId="18358"/>
    <cellStyle name="Calculation 6 4 3" xfId="18357"/>
    <cellStyle name="Calculation 6 5" xfId="3115"/>
    <cellStyle name="Calculation 6 5 2" xfId="18360"/>
    <cellStyle name="Calculation 6 5 3" xfId="18359"/>
    <cellStyle name="Calculation 6 6" xfId="3486"/>
    <cellStyle name="Calculation 6 6 2" xfId="18362"/>
    <cellStyle name="Calculation 6 6 3" xfId="18361"/>
    <cellStyle name="Calculation 6 7" xfId="3792"/>
    <cellStyle name="Calculation 6 7 2" xfId="18364"/>
    <cellStyle name="Calculation 6 7 3" xfId="18363"/>
    <cellStyle name="Calculation 6 8" xfId="18365"/>
    <cellStyle name="Calculation 6 8 2" xfId="18366"/>
    <cellStyle name="Calculation 6 9" xfId="18367"/>
    <cellStyle name="Calculation 7" xfId="461"/>
    <cellStyle name="Calculation 7 2" xfId="18369"/>
    <cellStyle name="Calculation 7 3" xfId="18368"/>
    <cellStyle name="Calculation 8" xfId="595"/>
    <cellStyle name="Calculation 8 2" xfId="18371"/>
    <cellStyle name="Calculation 8 3" xfId="18370"/>
    <cellStyle name="Calculation 9" xfId="596"/>
    <cellStyle name="Calculation 9 2" xfId="18373"/>
    <cellStyle name="Calculation 9 3" xfId="18372"/>
    <cellStyle name="Check Cell 10" xfId="744"/>
    <cellStyle name="Check Cell 10 2" xfId="18376"/>
    <cellStyle name="Check Cell 10 3" xfId="18375"/>
    <cellStyle name="Check Cell 11" xfId="745"/>
    <cellStyle name="Check Cell 11 2" xfId="18378"/>
    <cellStyle name="Check Cell 11 3" xfId="18377"/>
    <cellStyle name="Check Cell 12" xfId="876"/>
    <cellStyle name="Check Cell 12 2" xfId="18379"/>
    <cellStyle name="Check Cell 13" xfId="877"/>
    <cellStyle name="Check Cell 13 2" xfId="18374"/>
    <cellStyle name="Check Cell 14" xfId="973"/>
    <cellStyle name="Check Cell 2" xfId="94"/>
    <cellStyle name="Check Cell 2 10" xfId="1693"/>
    <cellStyle name="Check Cell 2 10 2" xfId="18382"/>
    <cellStyle name="Check Cell 2 10 3" xfId="18381"/>
    <cellStyle name="Check Cell 2 11" xfId="2028"/>
    <cellStyle name="Check Cell 2 11 2" xfId="18384"/>
    <cellStyle name="Check Cell 2 11 3" xfId="18383"/>
    <cellStyle name="Check Cell 2 12" xfId="2402"/>
    <cellStyle name="Check Cell 2 12 2" xfId="18386"/>
    <cellStyle name="Check Cell 2 12 3" xfId="18385"/>
    <cellStyle name="Check Cell 2 13" xfId="2775"/>
    <cellStyle name="Check Cell 2 13 2" xfId="18388"/>
    <cellStyle name="Check Cell 2 13 3" xfId="18387"/>
    <cellStyle name="Check Cell 2 14" xfId="3149"/>
    <cellStyle name="Check Cell 2 14 2" xfId="18390"/>
    <cellStyle name="Check Cell 2 14 3" xfId="18389"/>
    <cellStyle name="Check Cell 2 15" xfId="3520"/>
    <cellStyle name="Check Cell 2 15 2" xfId="18392"/>
    <cellStyle name="Check Cell 2 15 3" xfId="18391"/>
    <cellStyle name="Check Cell 2 16" xfId="3658"/>
    <cellStyle name="Check Cell 2 16 2" xfId="18394"/>
    <cellStyle name="Check Cell 2 16 3" xfId="18393"/>
    <cellStyle name="Check Cell 2 17" xfId="18395"/>
    <cellStyle name="Check Cell 2 17 2" xfId="18396"/>
    <cellStyle name="Check Cell 2 18" xfId="18397"/>
    <cellStyle name="Check Cell 2 19" xfId="18380"/>
    <cellStyle name="Check Cell 2 2" xfId="138"/>
    <cellStyle name="Check Cell 2 2 2" xfId="165"/>
    <cellStyle name="Check Cell 2 2 2 2" xfId="18400"/>
    <cellStyle name="Check Cell 2 2 2 3" xfId="18399"/>
    <cellStyle name="Check Cell 2 2 3" xfId="329"/>
    <cellStyle name="Check Cell 2 2 3 2" xfId="18402"/>
    <cellStyle name="Check Cell 2 2 3 3" xfId="18401"/>
    <cellStyle name="Check Cell 2 2 4" xfId="2152"/>
    <cellStyle name="Check Cell 2 2 4 2" xfId="18404"/>
    <cellStyle name="Check Cell 2 2 4 3" xfId="18403"/>
    <cellStyle name="Check Cell 2 2 5" xfId="2526"/>
    <cellStyle name="Check Cell 2 2 5 2" xfId="18406"/>
    <cellStyle name="Check Cell 2 2 5 3" xfId="18405"/>
    <cellStyle name="Check Cell 2 2 6" xfId="2898"/>
    <cellStyle name="Check Cell 2 2 6 2" xfId="18408"/>
    <cellStyle name="Check Cell 2 2 6 3" xfId="18407"/>
    <cellStyle name="Check Cell 2 2 7" xfId="3269"/>
    <cellStyle name="Check Cell 2 2 7 2" xfId="18410"/>
    <cellStyle name="Check Cell 2 2 7 3" xfId="18409"/>
    <cellStyle name="Check Cell 2 2 8" xfId="18411"/>
    <cellStyle name="Check Cell 2 2 9" xfId="18398"/>
    <cellStyle name="Check Cell 2 20" xfId="20542"/>
    <cellStyle name="Check Cell 2 3" xfId="303"/>
    <cellStyle name="Check Cell 2 3 2" xfId="1328"/>
    <cellStyle name="Check Cell 2 3 2 2" xfId="18413"/>
    <cellStyle name="Check Cell 2 3 3" xfId="18412"/>
    <cellStyle name="Check Cell 2 4" xfId="462"/>
    <cellStyle name="Check Cell 2 4 2" xfId="18415"/>
    <cellStyle name="Check Cell 2 4 3" xfId="18414"/>
    <cellStyle name="Check Cell 2 5" xfId="597"/>
    <cellStyle name="Check Cell 2 5 2" xfId="18417"/>
    <cellStyle name="Check Cell 2 5 3" xfId="18416"/>
    <cellStyle name="Check Cell 2 6" xfId="746"/>
    <cellStyle name="Check Cell 2 6 2" xfId="18419"/>
    <cellStyle name="Check Cell 2 6 3" xfId="18418"/>
    <cellStyle name="Check Cell 2 7" xfId="747"/>
    <cellStyle name="Check Cell 2 7 2" xfId="18421"/>
    <cellStyle name="Check Cell 2 7 3" xfId="18420"/>
    <cellStyle name="Check Cell 2 8" xfId="878"/>
    <cellStyle name="Check Cell 2 8 2" xfId="1422"/>
    <cellStyle name="Check Cell 2 8 2 2" xfId="18423"/>
    <cellStyle name="Check Cell 2 8 3" xfId="18422"/>
    <cellStyle name="Check Cell 2 9" xfId="974"/>
    <cellStyle name="Check Cell 2 9 2" xfId="1555"/>
    <cellStyle name="Check Cell 2 9 2 2" xfId="18425"/>
    <cellStyle name="Check Cell 2 9 3" xfId="18424"/>
    <cellStyle name="Check Cell 3" xfId="206"/>
    <cellStyle name="Check Cell 3 10" xfId="3701"/>
    <cellStyle name="Check Cell 3 10 2" xfId="18428"/>
    <cellStyle name="Check Cell 3 10 3" xfId="18427"/>
    <cellStyle name="Check Cell 3 11" xfId="18429"/>
    <cellStyle name="Check Cell 3 11 2" xfId="18430"/>
    <cellStyle name="Check Cell 3 12" xfId="18431"/>
    <cellStyle name="Check Cell 3 13" xfId="18426"/>
    <cellStyle name="Check Cell 3 2" xfId="1474"/>
    <cellStyle name="Check Cell 3 2 2" xfId="1817"/>
    <cellStyle name="Check Cell 3 2 2 2" xfId="18434"/>
    <cellStyle name="Check Cell 3 2 2 3" xfId="18433"/>
    <cellStyle name="Check Cell 3 2 3" xfId="2192"/>
    <cellStyle name="Check Cell 3 2 3 2" xfId="18436"/>
    <cellStyle name="Check Cell 3 2 3 3" xfId="18435"/>
    <cellStyle name="Check Cell 3 2 4" xfId="2566"/>
    <cellStyle name="Check Cell 3 2 4 2" xfId="18438"/>
    <cellStyle name="Check Cell 3 2 4 3" xfId="18437"/>
    <cellStyle name="Check Cell 3 2 5" xfId="2938"/>
    <cellStyle name="Check Cell 3 2 5 2" xfId="18440"/>
    <cellStyle name="Check Cell 3 2 5 3" xfId="18439"/>
    <cellStyle name="Check Cell 3 2 6" xfId="3310"/>
    <cellStyle name="Check Cell 3 2 6 2" xfId="18442"/>
    <cellStyle name="Check Cell 3 2 6 3" xfId="18441"/>
    <cellStyle name="Check Cell 3 2 7" xfId="18443"/>
    <cellStyle name="Check Cell 3 2 8" xfId="18432"/>
    <cellStyle name="Check Cell 3 3" xfId="1601"/>
    <cellStyle name="Check Cell 3 3 2" xfId="1894"/>
    <cellStyle name="Check Cell 3 3 2 2" xfId="18446"/>
    <cellStyle name="Check Cell 3 3 2 3" xfId="18445"/>
    <cellStyle name="Check Cell 3 3 3" xfId="2269"/>
    <cellStyle name="Check Cell 3 3 3 2" xfId="18448"/>
    <cellStyle name="Check Cell 3 3 3 3" xfId="18447"/>
    <cellStyle name="Check Cell 3 3 4" xfId="2642"/>
    <cellStyle name="Check Cell 3 3 4 2" xfId="18450"/>
    <cellStyle name="Check Cell 3 3 4 3" xfId="18449"/>
    <cellStyle name="Check Cell 3 3 5" xfId="3015"/>
    <cellStyle name="Check Cell 3 3 5 2" xfId="18452"/>
    <cellStyle name="Check Cell 3 3 5 3" xfId="18451"/>
    <cellStyle name="Check Cell 3 3 6" xfId="3386"/>
    <cellStyle name="Check Cell 3 3 6 2" xfId="18454"/>
    <cellStyle name="Check Cell 3 3 6 3" xfId="18453"/>
    <cellStyle name="Check Cell 3 3 7" xfId="18455"/>
    <cellStyle name="Check Cell 3 3 8" xfId="18444"/>
    <cellStyle name="Check Cell 3 4" xfId="1738"/>
    <cellStyle name="Check Cell 3 4 2" xfId="1938"/>
    <cellStyle name="Check Cell 3 4 2 2" xfId="18458"/>
    <cellStyle name="Check Cell 3 4 2 3" xfId="18457"/>
    <cellStyle name="Check Cell 3 4 3" xfId="2313"/>
    <cellStyle name="Check Cell 3 4 3 2" xfId="18460"/>
    <cellStyle name="Check Cell 3 4 3 3" xfId="18459"/>
    <cellStyle name="Check Cell 3 4 4" xfId="2686"/>
    <cellStyle name="Check Cell 3 4 4 2" xfId="18462"/>
    <cellStyle name="Check Cell 3 4 4 3" xfId="18461"/>
    <cellStyle name="Check Cell 3 4 5" xfId="3059"/>
    <cellStyle name="Check Cell 3 4 5 2" xfId="18464"/>
    <cellStyle name="Check Cell 3 4 5 3" xfId="18463"/>
    <cellStyle name="Check Cell 3 4 6" xfId="3430"/>
    <cellStyle name="Check Cell 3 4 6 2" xfId="18466"/>
    <cellStyle name="Check Cell 3 4 6 3" xfId="18465"/>
    <cellStyle name="Check Cell 3 4 7" xfId="18467"/>
    <cellStyle name="Check Cell 3 4 8" xfId="18456"/>
    <cellStyle name="Check Cell 3 5" xfId="2073"/>
    <cellStyle name="Check Cell 3 5 2" xfId="18469"/>
    <cellStyle name="Check Cell 3 5 3" xfId="18468"/>
    <cellStyle name="Check Cell 3 6" xfId="2447"/>
    <cellStyle name="Check Cell 3 6 2" xfId="18471"/>
    <cellStyle name="Check Cell 3 6 3" xfId="18470"/>
    <cellStyle name="Check Cell 3 7" xfId="2819"/>
    <cellStyle name="Check Cell 3 7 2" xfId="18473"/>
    <cellStyle name="Check Cell 3 7 3" xfId="18472"/>
    <cellStyle name="Check Cell 3 8" xfId="3190"/>
    <cellStyle name="Check Cell 3 8 2" xfId="18475"/>
    <cellStyle name="Check Cell 3 8 3" xfId="18474"/>
    <cellStyle name="Check Cell 3 9" xfId="3565"/>
    <cellStyle name="Check Cell 3 9 2" xfId="18477"/>
    <cellStyle name="Check Cell 3 9 3" xfId="18476"/>
    <cellStyle name="Check Cell 4" xfId="261"/>
    <cellStyle name="Check Cell 4 10" xfId="3745"/>
    <cellStyle name="Check Cell 4 10 2" xfId="18480"/>
    <cellStyle name="Check Cell 4 10 3" xfId="18479"/>
    <cellStyle name="Check Cell 4 11" xfId="1288"/>
    <cellStyle name="Check Cell 4 11 2" xfId="18482"/>
    <cellStyle name="Check Cell 4 11 3" xfId="18481"/>
    <cellStyle name="Check Cell 4 12" xfId="18483"/>
    <cellStyle name="Check Cell 4 13" xfId="18478"/>
    <cellStyle name="Check Cell 4 2" xfId="1519"/>
    <cellStyle name="Check Cell 4 2 2" xfId="18485"/>
    <cellStyle name="Check Cell 4 2 3" xfId="18484"/>
    <cellStyle name="Check Cell 4 3" xfId="1644"/>
    <cellStyle name="Check Cell 4 3 2" xfId="18487"/>
    <cellStyle name="Check Cell 4 3 3" xfId="18486"/>
    <cellStyle name="Check Cell 4 4" xfId="1783"/>
    <cellStyle name="Check Cell 4 4 2" xfId="18489"/>
    <cellStyle name="Check Cell 4 4 3" xfId="18488"/>
    <cellStyle name="Check Cell 4 5" xfId="2118"/>
    <cellStyle name="Check Cell 4 5 2" xfId="18491"/>
    <cellStyle name="Check Cell 4 5 3" xfId="18490"/>
    <cellStyle name="Check Cell 4 6" xfId="2492"/>
    <cellStyle name="Check Cell 4 6 2" xfId="18493"/>
    <cellStyle name="Check Cell 4 6 3" xfId="18492"/>
    <cellStyle name="Check Cell 4 7" xfId="2864"/>
    <cellStyle name="Check Cell 4 7 2" xfId="18495"/>
    <cellStyle name="Check Cell 4 7 3" xfId="18494"/>
    <cellStyle name="Check Cell 4 8" xfId="3235"/>
    <cellStyle name="Check Cell 4 8 2" xfId="18497"/>
    <cellStyle name="Check Cell 4 8 3" xfId="18496"/>
    <cellStyle name="Check Cell 4 9" xfId="3608"/>
    <cellStyle name="Check Cell 4 9 2" xfId="18499"/>
    <cellStyle name="Check Cell 4 9 3" xfId="18498"/>
    <cellStyle name="Check Cell 5" xfId="463"/>
    <cellStyle name="Check Cell 5 2" xfId="1853"/>
    <cellStyle name="Check Cell 5 2 2" xfId="18502"/>
    <cellStyle name="Check Cell 5 2 3" xfId="18501"/>
    <cellStyle name="Check Cell 5 3" xfId="2228"/>
    <cellStyle name="Check Cell 5 3 2" xfId="18504"/>
    <cellStyle name="Check Cell 5 3 3" xfId="18503"/>
    <cellStyle name="Check Cell 5 4" xfId="2602"/>
    <cellStyle name="Check Cell 5 4 2" xfId="18506"/>
    <cellStyle name="Check Cell 5 4 3" xfId="18505"/>
    <cellStyle name="Check Cell 5 5" xfId="2974"/>
    <cellStyle name="Check Cell 5 5 2" xfId="18508"/>
    <cellStyle name="Check Cell 5 5 3" xfId="18507"/>
    <cellStyle name="Check Cell 5 6" xfId="3346"/>
    <cellStyle name="Check Cell 5 6 2" xfId="18510"/>
    <cellStyle name="Check Cell 5 6 3" xfId="18509"/>
    <cellStyle name="Check Cell 5 7" xfId="18511"/>
    <cellStyle name="Check Cell 5 7 2" xfId="18512"/>
    <cellStyle name="Check Cell 5 8" xfId="18513"/>
    <cellStyle name="Check Cell 5 9" xfId="18500"/>
    <cellStyle name="Check Cell 6" xfId="464"/>
    <cellStyle name="Check Cell 6 10" xfId="18514"/>
    <cellStyle name="Check Cell 6 2" xfId="1995"/>
    <cellStyle name="Check Cell 6 2 2" xfId="18516"/>
    <cellStyle name="Check Cell 6 2 3" xfId="18515"/>
    <cellStyle name="Check Cell 6 3" xfId="2370"/>
    <cellStyle name="Check Cell 6 3 2" xfId="18518"/>
    <cellStyle name="Check Cell 6 3 3" xfId="18517"/>
    <cellStyle name="Check Cell 6 4" xfId="2743"/>
    <cellStyle name="Check Cell 6 4 2" xfId="18520"/>
    <cellStyle name="Check Cell 6 4 3" xfId="18519"/>
    <cellStyle name="Check Cell 6 5" xfId="3116"/>
    <cellStyle name="Check Cell 6 5 2" xfId="18522"/>
    <cellStyle name="Check Cell 6 5 3" xfId="18521"/>
    <cellStyle name="Check Cell 6 6" xfId="3487"/>
    <cellStyle name="Check Cell 6 6 2" xfId="18524"/>
    <cellStyle name="Check Cell 6 6 3" xfId="18523"/>
    <cellStyle name="Check Cell 6 7" xfId="3793"/>
    <cellStyle name="Check Cell 6 7 2" xfId="18526"/>
    <cellStyle name="Check Cell 6 7 3" xfId="18525"/>
    <cellStyle name="Check Cell 6 8" xfId="18527"/>
    <cellStyle name="Check Cell 6 8 2" xfId="18528"/>
    <cellStyle name="Check Cell 6 9" xfId="18529"/>
    <cellStyle name="Check Cell 7" xfId="465"/>
    <cellStyle name="Check Cell 7 2" xfId="18531"/>
    <cellStyle name="Check Cell 7 3" xfId="18530"/>
    <cellStyle name="Check Cell 8" xfId="598"/>
    <cellStyle name="Check Cell 8 2" xfId="18533"/>
    <cellStyle name="Check Cell 8 3" xfId="18532"/>
    <cellStyle name="Check Cell 9" xfId="599"/>
    <cellStyle name="Check Cell 9 2" xfId="18535"/>
    <cellStyle name="Check Cell 9 3" xfId="18534"/>
    <cellStyle name="Comma" xfId="1" builtinId="3"/>
    <cellStyle name="Comma [0] 2" xfId="24492"/>
    <cellStyle name="Comma [0] 2 2" xfId="24508"/>
    <cellStyle name="Comma [0] 2 2 2" xfId="24573"/>
    <cellStyle name="Comma [0] 2 3" xfId="24574"/>
    <cellStyle name="Comma [0] 2 4" xfId="24575"/>
    <cellStyle name="Comma [0] 2 4 2" xfId="26757"/>
    <cellStyle name="Comma [0] 3" xfId="24509"/>
    <cellStyle name="Comma 10" xfId="31"/>
    <cellStyle name="Comma 10 10" xfId="4689"/>
    <cellStyle name="Comma 10 10 2" xfId="18538"/>
    <cellStyle name="Comma 10 10 3" xfId="18537"/>
    <cellStyle name="Comma 10 11" xfId="4690"/>
    <cellStyle name="Comma 10 11 2" xfId="18540"/>
    <cellStyle name="Comma 10 11 3" xfId="18539"/>
    <cellStyle name="Comma 10 12" xfId="4691"/>
    <cellStyle name="Comma 10 12 2" xfId="18542"/>
    <cellStyle name="Comma 10 12 3" xfId="18541"/>
    <cellStyle name="Comma 10 13" xfId="4692"/>
    <cellStyle name="Comma 10 13 2" xfId="18544"/>
    <cellStyle name="Comma 10 13 3" xfId="18543"/>
    <cellStyle name="Comma 10 14" xfId="4693"/>
    <cellStyle name="Comma 10 14 2" xfId="18546"/>
    <cellStyle name="Comma 10 14 3" xfId="18545"/>
    <cellStyle name="Comma 10 15" xfId="4694"/>
    <cellStyle name="Comma 10 15 2" xfId="18548"/>
    <cellStyle name="Comma 10 15 3" xfId="18547"/>
    <cellStyle name="Comma 10 16" xfId="4695"/>
    <cellStyle name="Comma 10 16 2" xfId="18550"/>
    <cellStyle name="Comma 10 16 3" xfId="18549"/>
    <cellStyle name="Comma 10 17" xfId="4696"/>
    <cellStyle name="Comma 10 17 2" xfId="18552"/>
    <cellStyle name="Comma 10 17 3" xfId="18551"/>
    <cellStyle name="Comma 10 18" xfId="4697"/>
    <cellStyle name="Comma 10 18 2" xfId="18554"/>
    <cellStyle name="Comma 10 18 3" xfId="18553"/>
    <cellStyle name="Comma 10 19" xfId="4698"/>
    <cellStyle name="Comma 10 19 2" xfId="18556"/>
    <cellStyle name="Comma 10 19 3" xfId="18555"/>
    <cellStyle name="Comma 10 2" xfId="3881"/>
    <cellStyle name="Comma 10 2 2" xfId="18558"/>
    <cellStyle name="Comma 10 2 2 2" xfId="24576"/>
    <cellStyle name="Comma 10 2 2 2 2" xfId="26758"/>
    <cellStyle name="Comma 10 2 3" xfId="18557"/>
    <cellStyle name="Comma 10 2 3 2" xfId="24577"/>
    <cellStyle name="Comma 10 2 3 2 2" xfId="26759"/>
    <cellStyle name="Comma 10 2 4" xfId="24578"/>
    <cellStyle name="Comma 10 2 4 2" xfId="26760"/>
    <cellStyle name="Comma 10 2 5" xfId="24579"/>
    <cellStyle name="Comma 10 2 6" xfId="24580"/>
    <cellStyle name="Comma 10 2 6 2" xfId="26761"/>
    <cellStyle name="Comma 10 2 7" xfId="24511"/>
    <cellStyle name="Comma 10 20" xfId="4699"/>
    <cellStyle name="Comma 10 20 2" xfId="18560"/>
    <cellStyle name="Comma 10 20 3" xfId="18559"/>
    <cellStyle name="Comma 10 21" xfId="4700"/>
    <cellStyle name="Comma 10 21 2" xfId="18562"/>
    <cellStyle name="Comma 10 21 3" xfId="18561"/>
    <cellStyle name="Comma 10 22" xfId="4701"/>
    <cellStyle name="Comma 10 22 2" xfId="18564"/>
    <cellStyle name="Comma 10 22 3" xfId="18563"/>
    <cellStyle name="Comma 10 23" xfId="4702"/>
    <cellStyle name="Comma 10 23 2" xfId="18566"/>
    <cellStyle name="Comma 10 23 3" xfId="18565"/>
    <cellStyle name="Comma 10 24" xfId="4703"/>
    <cellStyle name="Comma 10 24 2" xfId="18568"/>
    <cellStyle name="Comma 10 24 3" xfId="18567"/>
    <cellStyle name="Comma 10 25" xfId="18569"/>
    <cellStyle name="Comma 10 26" xfId="18536"/>
    <cellStyle name="Comma 10 27" xfId="24510"/>
    <cellStyle name="Comma 10 3" xfId="4704"/>
    <cellStyle name="Comma 10 3 2" xfId="18571"/>
    <cellStyle name="Comma 10 3 3" xfId="18570"/>
    <cellStyle name="Comma 10 3 4" xfId="24581"/>
    <cellStyle name="Comma 10 3 4 2" xfId="26762"/>
    <cellStyle name="Comma 10 4" xfId="4705"/>
    <cellStyle name="Comma 10 4 2" xfId="18573"/>
    <cellStyle name="Comma 10 4 3" xfId="18572"/>
    <cellStyle name="Comma 10 4 4" xfId="24582"/>
    <cellStyle name="Comma 10 4 4 2" xfId="26763"/>
    <cellStyle name="Comma 10 5" xfId="4706"/>
    <cellStyle name="Comma 10 5 2" xfId="18575"/>
    <cellStyle name="Comma 10 5 3" xfId="18574"/>
    <cellStyle name="Comma 10 5 4" xfId="24583"/>
    <cellStyle name="Comma 10 5 4 2" xfId="26764"/>
    <cellStyle name="Comma 10 6" xfId="4707"/>
    <cellStyle name="Comma 10 6 2" xfId="18577"/>
    <cellStyle name="Comma 10 6 3" xfId="18576"/>
    <cellStyle name="Comma 10 6 4" xfId="24584"/>
    <cellStyle name="Comma 10 7" xfId="4708"/>
    <cellStyle name="Comma 10 7 2" xfId="18579"/>
    <cellStyle name="Comma 10 7 3" xfId="18578"/>
    <cellStyle name="Comma 10 7 4" xfId="24585"/>
    <cellStyle name="Comma 10 7 4 2" xfId="26765"/>
    <cellStyle name="Comma 10 8" xfId="4709"/>
    <cellStyle name="Comma 10 8 2" xfId="18581"/>
    <cellStyle name="Comma 10 8 3" xfId="18580"/>
    <cellStyle name="Comma 10 9" xfId="4710"/>
    <cellStyle name="Comma 10 9 2" xfId="18583"/>
    <cellStyle name="Comma 10 9 3" xfId="18582"/>
    <cellStyle name="Comma 11" xfId="32"/>
    <cellStyle name="Comma 11 10" xfId="4711"/>
    <cellStyle name="Comma 11 10 2" xfId="18586"/>
    <cellStyle name="Comma 11 10 3" xfId="18585"/>
    <cellStyle name="Comma 11 11" xfId="4712"/>
    <cellStyle name="Comma 11 11 2" xfId="18588"/>
    <cellStyle name="Comma 11 11 3" xfId="18587"/>
    <cellStyle name="Comma 11 12" xfId="4713"/>
    <cellStyle name="Comma 11 12 2" xfId="18590"/>
    <cellStyle name="Comma 11 12 3" xfId="18589"/>
    <cellStyle name="Comma 11 13" xfId="4714"/>
    <cellStyle name="Comma 11 13 2" xfId="18592"/>
    <cellStyle name="Comma 11 13 3" xfId="18591"/>
    <cellStyle name="Comma 11 14" xfId="4715"/>
    <cellStyle name="Comma 11 14 2" xfId="18594"/>
    <cellStyle name="Comma 11 14 3" xfId="18593"/>
    <cellStyle name="Comma 11 15" xfId="4716"/>
    <cellStyle name="Comma 11 15 2" xfId="18596"/>
    <cellStyle name="Comma 11 15 3" xfId="18595"/>
    <cellStyle name="Comma 11 16" xfId="4717"/>
    <cellStyle name="Comma 11 16 2" xfId="18598"/>
    <cellStyle name="Comma 11 16 3" xfId="18597"/>
    <cellStyle name="Comma 11 17" xfId="4718"/>
    <cellStyle name="Comma 11 17 2" xfId="18600"/>
    <cellStyle name="Comma 11 17 3" xfId="18599"/>
    <cellStyle name="Comma 11 18" xfId="4719"/>
    <cellStyle name="Comma 11 18 2" xfId="18602"/>
    <cellStyle name="Comma 11 18 3" xfId="18601"/>
    <cellStyle name="Comma 11 19" xfId="4720"/>
    <cellStyle name="Comma 11 19 2" xfId="18604"/>
    <cellStyle name="Comma 11 19 3" xfId="18603"/>
    <cellStyle name="Comma 11 2" xfId="3913"/>
    <cellStyle name="Comma 11 2 2" xfId="18606"/>
    <cellStyle name="Comma 11 2 3" xfId="18605"/>
    <cellStyle name="Comma 11 2 4" xfId="24513"/>
    <cellStyle name="Comma 11 20" xfId="4721"/>
    <cellStyle name="Comma 11 20 2" xfId="18608"/>
    <cellStyle name="Comma 11 20 3" xfId="18607"/>
    <cellStyle name="Comma 11 21" xfId="4722"/>
    <cellStyle name="Comma 11 21 2" xfId="18610"/>
    <cellStyle name="Comma 11 21 3" xfId="18609"/>
    <cellStyle name="Comma 11 22" xfId="4723"/>
    <cellStyle name="Comma 11 22 2" xfId="18612"/>
    <cellStyle name="Comma 11 22 3" xfId="18611"/>
    <cellStyle name="Comma 11 23" xfId="4724"/>
    <cellStyle name="Comma 11 23 2" xfId="18614"/>
    <cellStyle name="Comma 11 23 3" xfId="18613"/>
    <cellStyle name="Comma 11 24" xfId="4725"/>
    <cellStyle name="Comma 11 24 2" xfId="18616"/>
    <cellStyle name="Comma 11 24 3" xfId="18615"/>
    <cellStyle name="Comma 11 25" xfId="18617"/>
    <cellStyle name="Comma 11 26" xfId="18584"/>
    <cellStyle name="Comma 11 27" xfId="24512"/>
    <cellStyle name="Comma 11 3" xfId="4726"/>
    <cellStyle name="Comma 11 3 2" xfId="18619"/>
    <cellStyle name="Comma 11 3 3" xfId="18618"/>
    <cellStyle name="Comma 11 3 4" xfId="24586"/>
    <cellStyle name="Comma 11 4" xfId="4727"/>
    <cellStyle name="Comma 11 4 2" xfId="18621"/>
    <cellStyle name="Comma 11 4 3" xfId="18620"/>
    <cellStyle name="Comma 11 4 4" xfId="24587"/>
    <cellStyle name="Comma 11 5" xfId="4728"/>
    <cellStyle name="Comma 11 5 2" xfId="18623"/>
    <cellStyle name="Comma 11 5 3" xfId="18622"/>
    <cellStyle name="Comma 11 6" xfId="4729"/>
    <cellStyle name="Comma 11 6 2" xfId="18625"/>
    <cellStyle name="Comma 11 6 3" xfId="18624"/>
    <cellStyle name="Comma 11 7" xfId="4730"/>
    <cellStyle name="Comma 11 7 2" xfId="18627"/>
    <cellStyle name="Comma 11 7 3" xfId="18626"/>
    <cellStyle name="Comma 11 8" xfId="4731"/>
    <cellStyle name="Comma 11 8 2" xfId="18629"/>
    <cellStyle name="Comma 11 8 3" xfId="18628"/>
    <cellStyle name="Comma 11 9" xfId="4732"/>
    <cellStyle name="Comma 11 9 2" xfId="18631"/>
    <cellStyle name="Comma 11 9 3" xfId="18630"/>
    <cellStyle name="Comma 12" xfId="33"/>
    <cellStyle name="Comma 12 2" xfId="3883"/>
    <cellStyle name="Comma 12 2 2" xfId="18634"/>
    <cellStyle name="Comma 12 2 2 2" xfId="24589"/>
    <cellStyle name="Comma 12 2 2 2 2" xfId="26766"/>
    <cellStyle name="Comma 12 2 3" xfId="18633"/>
    <cellStyle name="Comma 12 2 3 2" xfId="24590"/>
    <cellStyle name="Comma 12 2 3 2 2" xfId="26767"/>
    <cellStyle name="Comma 12 2 4" xfId="24591"/>
    <cellStyle name="Comma 12 2 4 2" xfId="26768"/>
    <cellStyle name="Comma 12 2 5" xfId="24588"/>
    <cellStyle name="Comma 12 2 5 2" xfId="26769"/>
    <cellStyle name="Comma 12 3" xfId="18635"/>
    <cellStyle name="Comma 12 3 2" xfId="24592"/>
    <cellStyle name="Comma 12 3 2 2" xfId="26770"/>
    <cellStyle name="Comma 12 4" xfId="18632"/>
    <cellStyle name="Comma 12 4 2" xfId="24593"/>
    <cellStyle name="Comma 12 4 2 2" xfId="26771"/>
    <cellStyle name="Comma 12 5" xfId="24594"/>
    <cellStyle name="Comma 12 5 2" xfId="26772"/>
    <cellStyle name="Comma 12 6" xfId="24595"/>
    <cellStyle name="Comma 12 7" xfId="24596"/>
    <cellStyle name="Comma 12 7 2" xfId="26773"/>
    <cellStyle name="Comma 12 8" xfId="24514"/>
    <cellStyle name="Comma 13" xfId="34"/>
    <cellStyle name="Comma 13 2" xfId="3915"/>
    <cellStyle name="Comma 13 2 2" xfId="18638"/>
    <cellStyle name="Comma 13 2 2 2" xfId="24598"/>
    <cellStyle name="Comma 13 2 2 2 2" xfId="26774"/>
    <cellStyle name="Comma 13 2 3" xfId="18637"/>
    <cellStyle name="Comma 13 2 3 2" xfId="24599"/>
    <cellStyle name="Comma 13 2 3 2 2" xfId="26775"/>
    <cellStyle name="Comma 13 2 4" xfId="24600"/>
    <cellStyle name="Comma 13 2 4 2" xfId="26776"/>
    <cellStyle name="Comma 13 2 5" xfId="24597"/>
    <cellStyle name="Comma 13 2 5 2" xfId="26777"/>
    <cellStyle name="Comma 13 3" xfId="18639"/>
    <cellStyle name="Comma 13 3 2" xfId="24601"/>
    <cellStyle name="Comma 13 3 2 2" xfId="26778"/>
    <cellStyle name="Comma 13 4" xfId="18636"/>
    <cellStyle name="Comma 13 4 2" xfId="24602"/>
    <cellStyle name="Comma 13 4 2 2" xfId="26779"/>
    <cellStyle name="Comma 13 5" xfId="24603"/>
    <cellStyle name="Comma 13 5 2" xfId="26780"/>
    <cellStyle name="Comma 13 6" xfId="24604"/>
    <cellStyle name="Comma 13 7" xfId="24605"/>
    <cellStyle name="Comma 13 7 2" xfId="26781"/>
    <cellStyle name="Comma 13 8" xfId="24515"/>
    <cellStyle name="Comma 14" xfId="35"/>
    <cellStyle name="Comma 14 2" xfId="3885"/>
    <cellStyle name="Comma 14 2 2" xfId="18641"/>
    <cellStyle name="Comma 14 2 2 2" xfId="24607"/>
    <cellStyle name="Comma 14 2 2 2 2" xfId="26782"/>
    <cellStyle name="Comma 14 2 3" xfId="24608"/>
    <cellStyle name="Comma 14 2 3 2" xfId="26783"/>
    <cellStyle name="Comma 14 2 4" xfId="24609"/>
    <cellStyle name="Comma 14 2 4 2" xfId="26784"/>
    <cellStyle name="Comma 14 2 5" xfId="24606"/>
    <cellStyle name="Comma 14 2 5 2" xfId="26785"/>
    <cellStyle name="Comma 14 3" xfId="1022"/>
    <cellStyle name="Comma 14 3 2" xfId="24610"/>
    <cellStyle name="Comma 14 3 2 2" xfId="26786"/>
    <cellStyle name="Comma 14 4" xfId="18640"/>
    <cellStyle name="Comma 14 4 2" xfId="24611"/>
    <cellStyle name="Comma 14 4 2 2" xfId="26787"/>
    <cellStyle name="Comma 14 5" xfId="24612"/>
    <cellStyle name="Comma 14 5 2" xfId="26788"/>
    <cellStyle name="Comma 14 6" xfId="24613"/>
    <cellStyle name="Comma 14 7" xfId="24614"/>
    <cellStyle name="Comma 14 7 2" xfId="26789"/>
    <cellStyle name="Comma 15" xfId="4733"/>
    <cellStyle name="Comma 15 2" xfId="24615"/>
    <cellStyle name="Comma 15 2 2" xfId="24616"/>
    <cellStyle name="Comma 15 2 2 2" xfId="26791"/>
    <cellStyle name="Comma 15 2 3" xfId="24617"/>
    <cellStyle name="Comma 15 2 3 2" xfId="26792"/>
    <cellStyle name="Comma 15 2 4" xfId="24618"/>
    <cellStyle name="Comma 15 2 4 2" xfId="26793"/>
    <cellStyle name="Comma 15 2 5" xfId="26790"/>
    <cellStyle name="Comma 15 3" xfId="24619"/>
    <cellStyle name="Comma 15 3 2" xfId="26794"/>
    <cellStyle name="Comma 15 4" xfId="24620"/>
    <cellStyle name="Comma 15 4 2" xfId="26795"/>
    <cellStyle name="Comma 15 5" xfId="24621"/>
    <cellStyle name="Comma 15 5 2" xfId="26796"/>
    <cellStyle name="Comma 15 6" xfId="24622"/>
    <cellStyle name="Comma 15 7" xfId="24623"/>
    <cellStyle name="Comma 15 7 2" xfId="26797"/>
    <cellStyle name="Comma 16" xfId="1024"/>
    <cellStyle name="Comma 16 2" xfId="3887"/>
    <cellStyle name="Comma 16 3" xfId="24569"/>
    <cellStyle name="Comma 17" xfId="7099"/>
    <cellStyle name="Comma 17 2" xfId="24624"/>
    <cellStyle name="Comma 17 2 2" xfId="24625"/>
    <cellStyle name="Comma 17 2 2 2" xfId="26800"/>
    <cellStyle name="Comma 17 2 3" xfId="24626"/>
    <cellStyle name="Comma 17 2 3 2" xfId="26801"/>
    <cellStyle name="Comma 17 2 4" xfId="24627"/>
    <cellStyle name="Comma 17 2 4 2" xfId="26802"/>
    <cellStyle name="Comma 17 2 5" xfId="26799"/>
    <cellStyle name="Comma 17 3" xfId="24628"/>
    <cellStyle name="Comma 17 3 2" xfId="26803"/>
    <cellStyle name="Comma 17 4" xfId="24629"/>
    <cellStyle name="Comma 17 4 2" xfId="26804"/>
    <cellStyle name="Comma 17 5" xfId="24630"/>
    <cellStyle name="Comma 17 5 2" xfId="26805"/>
    <cellStyle name="Comma 17 6" xfId="24631"/>
    <cellStyle name="Comma 17 7" xfId="24632"/>
    <cellStyle name="Comma 17 7 2" xfId="26806"/>
    <cellStyle name="Comma 17 8" xfId="24571"/>
    <cellStyle name="Comma 17 8 2" xfId="26807"/>
    <cellStyle name="Comma 17 9" xfId="26798"/>
    <cellStyle name="Comma 18" xfId="1026"/>
    <cellStyle name="Comma 18 2" xfId="3889"/>
    <cellStyle name="Comma 18 2 2" xfId="24635"/>
    <cellStyle name="Comma 18 2 2 2" xfId="26808"/>
    <cellStyle name="Comma 18 2 3" xfId="24636"/>
    <cellStyle name="Comma 18 2 3 2" xfId="26809"/>
    <cellStyle name="Comma 18 2 4" xfId="24637"/>
    <cellStyle name="Comma 18 2 4 2" xfId="26810"/>
    <cellStyle name="Comma 18 2 5" xfId="24634"/>
    <cellStyle name="Comma 18 2 5 2" xfId="26811"/>
    <cellStyle name="Comma 18 3" xfId="24638"/>
    <cellStyle name="Comma 18 3 2" xfId="26812"/>
    <cellStyle name="Comma 18 4" xfId="24639"/>
    <cellStyle name="Comma 18 4 2" xfId="26813"/>
    <cellStyle name="Comma 18 5" xfId="24640"/>
    <cellStyle name="Comma 18 5 2" xfId="26814"/>
    <cellStyle name="Comma 18 6" xfId="24641"/>
    <cellStyle name="Comma 18 7" xfId="24642"/>
    <cellStyle name="Comma 18 7 2" xfId="26815"/>
    <cellStyle name="Comma 18 8" xfId="24633"/>
    <cellStyle name="Comma 19" xfId="7114"/>
    <cellStyle name="Comma 19 2" xfId="24643"/>
    <cellStyle name="Comma 19 2 2" xfId="24644"/>
    <cellStyle name="Comma 19 2 2 2" xfId="26818"/>
    <cellStyle name="Comma 19 2 3" xfId="24645"/>
    <cellStyle name="Comma 19 2 3 2" xfId="26819"/>
    <cellStyle name="Comma 19 2 4" xfId="24646"/>
    <cellStyle name="Comma 19 2 4 2" xfId="26820"/>
    <cellStyle name="Comma 19 2 5" xfId="26817"/>
    <cellStyle name="Comma 19 3" xfId="24647"/>
    <cellStyle name="Comma 19 3 2" xfId="26821"/>
    <cellStyle name="Comma 19 4" xfId="24648"/>
    <cellStyle name="Comma 19 4 2" xfId="26822"/>
    <cellStyle name="Comma 19 5" xfId="24649"/>
    <cellStyle name="Comma 19 5 2" xfId="26823"/>
    <cellStyle name="Comma 19 6" xfId="26816"/>
    <cellStyle name="Comma 2" xfId="2"/>
    <cellStyle name="Comma 2 10" xfId="1016"/>
    <cellStyle name="Comma 2 10 2" xfId="3535"/>
    <cellStyle name="Comma 2 10 2 2" xfId="18643"/>
    <cellStyle name="Comma 2 10 3" xfId="3876"/>
    <cellStyle name="Comma 2 10 4" xfId="18642"/>
    <cellStyle name="Comma 2 11" xfId="1034"/>
    <cellStyle name="Comma 2 11 2" xfId="3671"/>
    <cellStyle name="Comma 2 11 2 2" xfId="18645"/>
    <cellStyle name="Comma 2 11 3" xfId="3899"/>
    <cellStyle name="Comma 2 11 4" xfId="18644"/>
    <cellStyle name="Comma 2 12" xfId="1040"/>
    <cellStyle name="Comma 2 12 2" xfId="3907"/>
    <cellStyle name="Comma 2 12 2 2" xfId="18648"/>
    <cellStyle name="Comma 2 12 2 3" xfId="18647"/>
    <cellStyle name="Comma 2 12 3" xfId="18649"/>
    <cellStyle name="Comma 2 12 4" xfId="18646"/>
    <cellStyle name="Comma 2 13" xfId="1060"/>
    <cellStyle name="Comma 2 13 2" xfId="3930"/>
    <cellStyle name="Comma 2 13 2 2" xfId="18651"/>
    <cellStyle name="Comma 2 13 3" xfId="18650"/>
    <cellStyle name="Comma 2 14" xfId="1070"/>
    <cellStyle name="Comma 2 14 2" xfId="3940"/>
    <cellStyle name="Comma 2 14 2 2" xfId="18653"/>
    <cellStyle name="Comma 2 14 3" xfId="18652"/>
    <cellStyle name="Comma 2 15" xfId="1080"/>
    <cellStyle name="Comma 2 15 2" xfId="3950"/>
    <cellStyle name="Comma 2 15 3" xfId="28692"/>
    <cellStyle name="Comma 2 16" xfId="1090"/>
    <cellStyle name="Comma 2 16 2" xfId="3960"/>
    <cellStyle name="Comma 2 17" xfId="1100"/>
    <cellStyle name="Comma 2 17 2" xfId="3970"/>
    <cellStyle name="Comma 2 18" xfId="1110"/>
    <cellStyle name="Comma 2 18 2" xfId="3980"/>
    <cellStyle name="Comma 2 19" xfId="1120"/>
    <cellStyle name="Comma 2 19 2" xfId="3990"/>
    <cellStyle name="Comma 2 2" xfId="36"/>
    <cellStyle name="Comma 2 2 10" xfId="4734"/>
    <cellStyle name="Comma 2 2 10 2" xfId="18656"/>
    <cellStyle name="Comma 2 2 10 3" xfId="18655"/>
    <cellStyle name="Comma 2 2 11" xfId="4735"/>
    <cellStyle name="Comma 2 2 11 2" xfId="18658"/>
    <cellStyle name="Comma 2 2 11 3" xfId="18657"/>
    <cellStyle name="Comma 2 2 12" xfId="4736"/>
    <cellStyle name="Comma 2 2 12 2" xfId="18660"/>
    <cellStyle name="Comma 2 2 12 3" xfId="18659"/>
    <cellStyle name="Comma 2 2 13" xfId="4737"/>
    <cellStyle name="Comma 2 2 13 2" xfId="18662"/>
    <cellStyle name="Comma 2 2 13 3" xfId="18661"/>
    <cellStyle name="Comma 2 2 14" xfId="4738"/>
    <cellStyle name="Comma 2 2 14 2" xfId="18664"/>
    <cellStyle name="Comma 2 2 14 3" xfId="18663"/>
    <cellStyle name="Comma 2 2 15" xfId="4739"/>
    <cellStyle name="Comma 2 2 15 2" xfId="18666"/>
    <cellStyle name="Comma 2 2 15 3" xfId="18665"/>
    <cellStyle name="Comma 2 2 16" xfId="4740"/>
    <cellStyle name="Comma 2 2 16 2" xfId="18668"/>
    <cellStyle name="Comma 2 2 16 3" xfId="18667"/>
    <cellStyle name="Comma 2 2 17" xfId="4741"/>
    <cellStyle name="Comma 2 2 17 2" xfId="18670"/>
    <cellStyle name="Comma 2 2 17 3" xfId="18669"/>
    <cellStyle name="Comma 2 2 18" xfId="4742"/>
    <cellStyle name="Comma 2 2 18 2" xfId="18672"/>
    <cellStyle name="Comma 2 2 18 3" xfId="18671"/>
    <cellStyle name="Comma 2 2 19" xfId="4743"/>
    <cellStyle name="Comma 2 2 19 2" xfId="18674"/>
    <cellStyle name="Comma 2 2 19 3" xfId="18673"/>
    <cellStyle name="Comma 2 2 2" xfId="111"/>
    <cellStyle name="Comma 2 2 2 2" xfId="4744"/>
    <cellStyle name="Comma 2 2 2 2 2" xfId="4745"/>
    <cellStyle name="Comma 2 2 2 2 2 2" xfId="18678"/>
    <cellStyle name="Comma 2 2 2 2 2 3" xfId="18677"/>
    <cellStyle name="Comma 2 2 2 2 3" xfId="4746"/>
    <cellStyle name="Comma 2 2 2 2 3 2" xfId="18680"/>
    <cellStyle name="Comma 2 2 2 2 3 3" xfId="18679"/>
    <cellStyle name="Comma 2 2 2 2 4" xfId="18681"/>
    <cellStyle name="Comma 2 2 2 2 5" xfId="18676"/>
    <cellStyle name="Comma 2 2 2 3" xfId="18682"/>
    <cellStyle name="Comma 2 2 2 4" xfId="18675"/>
    <cellStyle name="Comma 2 2 20" xfId="4747"/>
    <cellStyle name="Comma 2 2 20 2" xfId="18684"/>
    <cellStyle name="Comma 2 2 20 3" xfId="18683"/>
    <cellStyle name="Comma 2 2 21" xfId="4748"/>
    <cellStyle name="Comma 2 2 21 2" xfId="18686"/>
    <cellStyle name="Comma 2 2 21 3" xfId="18685"/>
    <cellStyle name="Comma 2 2 22" xfId="4749"/>
    <cellStyle name="Comma 2 2 22 2" xfId="18688"/>
    <cellStyle name="Comma 2 2 22 3" xfId="18687"/>
    <cellStyle name="Comma 2 2 23" xfId="4750"/>
    <cellStyle name="Comma 2 2 23 2" xfId="18690"/>
    <cellStyle name="Comma 2 2 23 3" xfId="18689"/>
    <cellStyle name="Comma 2 2 24" xfId="4751"/>
    <cellStyle name="Comma 2 2 24 2" xfId="18692"/>
    <cellStyle name="Comma 2 2 24 3" xfId="18691"/>
    <cellStyle name="Comma 2 2 25" xfId="18693"/>
    <cellStyle name="Comma 2 2 26" xfId="18654"/>
    <cellStyle name="Comma 2 2 3" xfId="4752"/>
    <cellStyle name="Comma 2 2 3 2" xfId="18695"/>
    <cellStyle name="Comma 2 2 3 3" xfId="18694"/>
    <cellStyle name="Comma 2 2 4" xfId="4753"/>
    <cellStyle name="Comma 2 2 4 2" xfId="18697"/>
    <cellStyle name="Comma 2 2 4 3" xfId="18696"/>
    <cellStyle name="Comma 2 2 5" xfId="4754"/>
    <cellStyle name="Comma 2 2 5 2" xfId="18699"/>
    <cellStyle name="Comma 2 2 5 3" xfId="18698"/>
    <cellStyle name="Comma 2 2 6" xfId="4755"/>
    <cellStyle name="Comma 2 2 6 2" xfId="18701"/>
    <cellStyle name="Comma 2 2 6 3" xfId="18700"/>
    <cellStyle name="Comma 2 2 7" xfId="4756"/>
    <cellStyle name="Comma 2 2 7 2" xfId="18703"/>
    <cellStyle name="Comma 2 2 7 3" xfId="18702"/>
    <cellStyle name="Comma 2 2 8" xfId="4757"/>
    <cellStyle name="Comma 2 2 8 2" xfId="18705"/>
    <cellStyle name="Comma 2 2 8 3" xfId="18704"/>
    <cellStyle name="Comma 2 2 9" xfId="4758"/>
    <cellStyle name="Comma 2 2 9 2" xfId="18707"/>
    <cellStyle name="Comma 2 2 9 3" xfId="18706"/>
    <cellStyle name="Comma 2 20" xfId="1130"/>
    <cellStyle name="Comma 2 20 2" xfId="4000"/>
    <cellStyle name="Comma 2 21" xfId="1140"/>
    <cellStyle name="Comma 2 21 2" xfId="4010"/>
    <cellStyle name="Comma 2 22" xfId="1150"/>
    <cellStyle name="Comma 2 22 2" xfId="4020"/>
    <cellStyle name="Comma 2 23" xfId="1158"/>
    <cellStyle name="Comma 2 23 2" xfId="4028"/>
    <cellStyle name="Comma 2 24" xfId="1170"/>
    <cellStyle name="Comma 2 24 2" xfId="4040"/>
    <cellStyle name="Comma 2 25" xfId="1180"/>
    <cellStyle name="Comma 2 25 2" xfId="4050"/>
    <cellStyle name="Comma 2 26" xfId="1190"/>
    <cellStyle name="Comma 2 26 2" xfId="4060"/>
    <cellStyle name="Comma 2 27" xfId="1200"/>
    <cellStyle name="Comma 2 27 2" xfId="4070"/>
    <cellStyle name="Comma 2 28" xfId="1210"/>
    <cellStyle name="Comma 2 28 2" xfId="4080"/>
    <cellStyle name="Comma 2 29" xfId="1220"/>
    <cellStyle name="Comma 2 29 2" xfId="4090"/>
    <cellStyle name="Comma 2 3" xfId="276"/>
    <cellStyle name="Comma 2 3 2" xfId="18709"/>
    <cellStyle name="Comma 2 3 2 2" xfId="24516"/>
    <cellStyle name="Comma 2 3 3" xfId="18708"/>
    <cellStyle name="Comma 2 30" xfId="1230"/>
    <cellStyle name="Comma 2 30 2" xfId="4100"/>
    <cellStyle name="Comma 2 31" xfId="1240"/>
    <cellStyle name="Comma 2 31 2" xfId="4110"/>
    <cellStyle name="Comma 2 32" xfId="1250"/>
    <cellStyle name="Comma 2 32 2" xfId="4120"/>
    <cellStyle name="Comma 2 33" xfId="1260"/>
    <cellStyle name="Comma 2 33 2" xfId="4130"/>
    <cellStyle name="Comma 2 34" xfId="1268"/>
    <cellStyle name="Comma 2 34 2" xfId="4138"/>
    <cellStyle name="Comma 2 35" xfId="95"/>
    <cellStyle name="Comma 2 4" xfId="1005"/>
    <cellStyle name="Comma 2 4 2" xfId="1538"/>
    <cellStyle name="Comma 2 4 2 2" xfId="18711"/>
    <cellStyle name="Comma 2 4 3" xfId="3864"/>
    <cellStyle name="Comma 2 4 3 2" xfId="24651"/>
    <cellStyle name="Comma 2 4 3 2 2" xfId="26824"/>
    <cellStyle name="Comma 2 4 4" xfId="18710"/>
    <cellStyle name="Comma 2 5" xfId="1007"/>
    <cellStyle name="Comma 2 5 2" xfId="1760"/>
    <cellStyle name="Comma 2 5 2 2" xfId="18713"/>
    <cellStyle name="Comma 2 5 3" xfId="3866"/>
    <cellStyle name="Comma 2 5 4" xfId="18712"/>
    <cellStyle name="Comma 2 6" xfId="1008"/>
    <cellStyle name="Comma 2 6 2" xfId="2095"/>
    <cellStyle name="Comma 2 6 2 2" xfId="18715"/>
    <cellStyle name="Comma 2 6 3" xfId="3868"/>
    <cellStyle name="Comma 2 6 4" xfId="18714"/>
    <cellStyle name="Comma 2 7" xfId="1010"/>
    <cellStyle name="Comma 2 7 2" xfId="2469"/>
    <cellStyle name="Comma 2 7 2 2" xfId="18717"/>
    <cellStyle name="Comma 2 7 3" xfId="3870"/>
    <cellStyle name="Comma 2 7 4" xfId="18716"/>
    <cellStyle name="Comma 2 8" xfId="1012"/>
    <cellStyle name="Comma 2 8 2" xfId="2841"/>
    <cellStyle name="Comma 2 8 2 2" xfId="18719"/>
    <cellStyle name="Comma 2 8 3" xfId="3872"/>
    <cellStyle name="Comma 2 8 4" xfId="18718"/>
    <cellStyle name="Comma 2 9" xfId="1014"/>
    <cellStyle name="Comma 2 9 2" xfId="3212"/>
    <cellStyle name="Comma 2 9 2 2" xfId="18721"/>
    <cellStyle name="Comma 2 9 3" xfId="3874"/>
    <cellStyle name="Comma 2 9 4" xfId="18720"/>
    <cellStyle name="Comma 20" xfId="1028"/>
    <cellStyle name="Comma 20 2" xfId="3891"/>
    <cellStyle name="Comma 20 2 2" xfId="24654"/>
    <cellStyle name="Comma 20 2 2 2" xfId="26825"/>
    <cellStyle name="Comma 20 2 3" xfId="24655"/>
    <cellStyle name="Comma 20 2 3 2" xfId="26826"/>
    <cellStyle name="Comma 20 2 4" xfId="24656"/>
    <cellStyle name="Comma 20 2 4 2" xfId="26827"/>
    <cellStyle name="Comma 20 2 5" xfId="24653"/>
    <cellStyle name="Comma 20 2 5 2" xfId="26828"/>
    <cellStyle name="Comma 20 3" xfId="24657"/>
    <cellStyle name="Comma 20 3 2" xfId="26829"/>
    <cellStyle name="Comma 20 4" xfId="24658"/>
    <cellStyle name="Comma 20 4 2" xfId="26830"/>
    <cellStyle name="Comma 20 5" xfId="24659"/>
    <cellStyle name="Comma 20 5 2" xfId="26831"/>
    <cellStyle name="Comma 20 6" xfId="24652"/>
    <cellStyle name="Comma 20 6 2" xfId="26832"/>
    <cellStyle name="Comma 21" xfId="24660"/>
    <cellStyle name="Comma 21 2" xfId="24661"/>
    <cellStyle name="Comma 21 2 2" xfId="24662"/>
    <cellStyle name="Comma 21 2 2 2" xfId="26835"/>
    <cellStyle name="Comma 21 2 3" xfId="24663"/>
    <cellStyle name="Comma 21 2 3 2" xfId="26836"/>
    <cellStyle name="Comma 21 2 4" xfId="24664"/>
    <cellStyle name="Comma 21 2 4 2" xfId="26837"/>
    <cellStyle name="Comma 21 2 5" xfId="26834"/>
    <cellStyle name="Comma 21 3" xfId="24665"/>
    <cellStyle name="Comma 21 3 2" xfId="26838"/>
    <cellStyle name="Comma 21 4" xfId="24666"/>
    <cellStyle name="Comma 21 4 2" xfId="26839"/>
    <cellStyle name="Comma 21 5" xfId="24667"/>
    <cellStyle name="Comma 21 5 2" xfId="26840"/>
    <cellStyle name="Comma 21 6" xfId="26833"/>
    <cellStyle name="Comma 22" xfId="1030"/>
    <cellStyle name="Comma 22 2" xfId="3893"/>
    <cellStyle name="Comma 22 2 2" xfId="24670"/>
    <cellStyle name="Comma 22 2 2 2" xfId="26841"/>
    <cellStyle name="Comma 22 2 3" xfId="24671"/>
    <cellStyle name="Comma 22 2 3 2" xfId="26842"/>
    <cellStyle name="Comma 22 2 4" xfId="24672"/>
    <cellStyle name="Comma 22 2 4 2" xfId="26843"/>
    <cellStyle name="Comma 22 2 5" xfId="24669"/>
    <cellStyle name="Comma 22 2 5 2" xfId="26844"/>
    <cellStyle name="Comma 22 3" xfId="24673"/>
    <cellStyle name="Comma 22 3 2" xfId="26845"/>
    <cellStyle name="Comma 22 4" xfId="24674"/>
    <cellStyle name="Comma 22 4 2" xfId="26846"/>
    <cellStyle name="Comma 22 5" xfId="24675"/>
    <cellStyle name="Comma 22 5 2" xfId="26847"/>
    <cellStyle name="Comma 22 6" xfId="24668"/>
    <cellStyle name="Comma 22 6 2" xfId="26848"/>
    <cellStyle name="Comma 23" xfId="37"/>
    <cellStyle name="Comma 23 2" xfId="18723"/>
    <cellStyle name="Comma 23 2 2" xfId="24678"/>
    <cellStyle name="Comma 23 2 2 2" xfId="26849"/>
    <cellStyle name="Comma 23 2 3" xfId="24679"/>
    <cellStyle name="Comma 23 2 3 2" xfId="26850"/>
    <cellStyle name="Comma 23 2 4" xfId="24680"/>
    <cellStyle name="Comma 23 2 4 2" xfId="26851"/>
    <cellStyle name="Comma 23 2 5" xfId="24677"/>
    <cellStyle name="Comma 23 2 5 2" xfId="26852"/>
    <cellStyle name="Comma 23 3" xfId="18722"/>
    <cellStyle name="Comma 23 3 2" xfId="24681"/>
    <cellStyle name="Comma 23 3 2 2" xfId="26853"/>
    <cellStyle name="Comma 23 4" xfId="24682"/>
    <cellStyle name="Comma 23 4 2" xfId="26854"/>
    <cellStyle name="Comma 23 5" xfId="24683"/>
    <cellStyle name="Comma 23 5 2" xfId="26855"/>
    <cellStyle name="Comma 23 6" xfId="24676"/>
    <cellStyle name="Comma 23 6 2" xfId="26856"/>
    <cellStyle name="Comma 24" xfId="38"/>
    <cellStyle name="Comma 24 2" xfId="3895"/>
    <cellStyle name="Comma 24 2 2" xfId="18725"/>
    <cellStyle name="Comma 24 3" xfId="18724"/>
    <cellStyle name="Comma 24 4" xfId="24684"/>
    <cellStyle name="Comma 25" xfId="39"/>
    <cellStyle name="Comma 25 2" xfId="18727"/>
    <cellStyle name="Comma 25 3" xfId="18726"/>
    <cellStyle name="Comma 25 4" xfId="24685"/>
    <cellStyle name="Comma 26" xfId="40"/>
    <cellStyle name="Comma 26 2" xfId="3897"/>
    <cellStyle name="Comma 26 2 2" xfId="18729"/>
    <cellStyle name="Comma 26 2 3" xfId="24687"/>
    <cellStyle name="Comma 26 2 3 2" xfId="26857"/>
    <cellStyle name="Comma 26 3" xfId="18728"/>
    <cellStyle name="Comma 26 3 2" xfId="24688"/>
    <cellStyle name="Comma 26 3 2 2" xfId="26858"/>
    <cellStyle name="Comma 26 4" xfId="24689"/>
    <cellStyle name="Comma 26 4 2" xfId="26859"/>
    <cellStyle name="Comma 26 5" xfId="24686"/>
    <cellStyle name="Comma 26 5 2" xfId="26860"/>
    <cellStyle name="Comma 27" xfId="41"/>
    <cellStyle name="Comma 27 2" xfId="18731"/>
    <cellStyle name="Comma 27 2 2" xfId="24691"/>
    <cellStyle name="Comma 27 2 2 2" xfId="26861"/>
    <cellStyle name="Comma 27 3" xfId="18730"/>
    <cellStyle name="Comma 27 3 2" xfId="24692"/>
    <cellStyle name="Comma 27 3 2 2" xfId="26862"/>
    <cellStyle name="Comma 27 4" xfId="24693"/>
    <cellStyle name="Comma 27 4 2" xfId="26863"/>
    <cellStyle name="Comma 27 5" xfId="24690"/>
    <cellStyle name="Comma 27 5 2" xfId="26864"/>
    <cellStyle name="Comma 28" xfId="24694"/>
    <cellStyle name="Comma 28 2" xfId="24695"/>
    <cellStyle name="Comma 28 2 2" xfId="26866"/>
    <cellStyle name="Comma 28 3" xfId="24696"/>
    <cellStyle name="Comma 28 3 2" xfId="26867"/>
    <cellStyle name="Comma 28 4" xfId="24697"/>
    <cellStyle name="Comma 28 4 2" xfId="26868"/>
    <cellStyle name="Comma 28 5" xfId="26865"/>
    <cellStyle name="Comma 29" xfId="18732"/>
    <cellStyle name="Comma 29 2" xfId="18733"/>
    <cellStyle name="Comma 29 2 2" xfId="18734"/>
    <cellStyle name="Comma 29 3" xfId="18735"/>
    <cellStyle name="Comma 29 4" xfId="24698"/>
    <cellStyle name="Comma 3" xfId="3"/>
    <cellStyle name="Comma 3 10" xfId="1114"/>
    <cellStyle name="Comma 3 10 2" xfId="3984"/>
    <cellStyle name="Comma 3 11" xfId="1124"/>
    <cellStyle name="Comma 3 11 2" xfId="3994"/>
    <cellStyle name="Comma 3 12" xfId="1134"/>
    <cellStyle name="Comma 3 12 2" xfId="4004"/>
    <cellStyle name="Comma 3 13" xfId="1144"/>
    <cellStyle name="Comma 3 13 2" xfId="4014"/>
    <cellStyle name="Comma 3 14" xfId="1152"/>
    <cellStyle name="Comma 3 14 2" xfId="4022"/>
    <cellStyle name="Comma 3 15" xfId="1164"/>
    <cellStyle name="Comma 3 15 2" xfId="4034"/>
    <cellStyle name="Comma 3 16" xfId="1174"/>
    <cellStyle name="Comma 3 16 2" xfId="4044"/>
    <cellStyle name="Comma 3 17" xfId="1184"/>
    <cellStyle name="Comma 3 17 2" xfId="4054"/>
    <cellStyle name="Comma 3 18" xfId="1194"/>
    <cellStyle name="Comma 3 18 2" xfId="4064"/>
    <cellStyle name="Comma 3 19" xfId="1204"/>
    <cellStyle name="Comma 3 19 2" xfId="4074"/>
    <cellStyle name="Comma 3 2" xfId="1035"/>
    <cellStyle name="Comma 3 2 2" xfId="1273"/>
    <cellStyle name="Comma 3 2 2 2" xfId="18737"/>
    <cellStyle name="Comma 3 2 2 2 2" xfId="24517"/>
    <cellStyle name="Comma 3 2 3" xfId="3900"/>
    <cellStyle name="Comma 3 2 3 2" xfId="24700"/>
    <cellStyle name="Comma 3 2 3 3" xfId="24699"/>
    <cellStyle name="Comma 3 2 4" xfId="18736"/>
    <cellStyle name="Comma 3 20" xfId="1214"/>
    <cellStyle name="Comma 3 20 2" xfId="4084"/>
    <cellStyle name="Comma 3 21" xfId="1224"/>
    <cellStyle name="Comma 3 21 2" xfId="4094"/>
    <cellStyle name="Comma 3 22" xfId="1234"/>
    <cellStyle name="Comma 3 22 2" xfId="4104"/>
    <cellStyle name="Comma 3 23" xfId="1244"/>
    <cellStyle name="Comma 3 23 2" xfId="4114"/>
    <cellStyle name="Comma 3 24" xfId="1254"/>
    <cellStyle name="Comma 3 24 2" xfId="4124"/>
    <cellStyle name="Comma 3 25" xfId="1263"/>
    <cellStyle name="Comma 3 25 2" xfId="4133"/>
    <cellStyle name="Comma 3 26" xfId="110"/>
    <cellStyle name="Comma 3 27" xfId="24506"/>
    <cellStyle name="Comma 3 27 2" xfId="26869"/>
    <cellStyle name="Comma 3 28" xfId="28688"/>
    <cellStyle name="Comma 3 3" xfId="1036"/>
    <cellStyle name="Comma 3 3 2" xfId="1759"/>
    <cellStyle name="Comma 3 3 2 2" xfId="18739"/>
    <cellStyle name="Comma 3 3 3" xfId="3901"/>
    <cellStyle name="Comma 3 3 4" xfId="18738"/>
    <cellStyle name="Comma 3 4" xfId="1054"/>
    <cellStyle name="Comma 3 4 2" xfId="2094"/>
    <cellStyle name="Comma 3 4 2 2" xfId="18741"/>
    <cellStyle name="Comma 3 4 3" xfId="3924"/>
    <cellStyle name="Comma 3 4 4" xfId="18740"/>
    <cellStyle name="Comma 3 5" xfId="1064"/>
    <cellStyle name="Comma 3 5 2" xfId="2468"/>
    <cellStyle name="Comma 3 5 2 2" xfId="18743"/>
    <cellStyle name="Comma 3 5 3" xfId="3934"/>
    <cellStyle name="Comma 3 5 4" xfId="18742"/>
    <cellStyle name="Comma 3 6" xfId="1074"/>
    <cellStyle name="Comma 3 6 2" xfId="2840"/>
    <cellStyle name="Comma 3 6 2 2" xfId="18745"/>
    <cellStyle name="Comma 3 6 3" xfId="3944"/>
    <cellStyle name="Comma 3 6 4" xfId="18744"/>
    <cellStyle name="Comma 3 7" xfId="1084"/>
    <cellStyle name="Comma 3 7 2" xfId="3211"/>
    <cellStyle name="Comma 3 7 2 2" xfId="18747"/>
    <cellStyle name="Comma 3 7 3" xfId="3954"/>
    <cellStyle name="Comma 3 7 4" xfId="18746"/>
    <cellStyle name="Comma 3 8" xfId="1094"/>
    <cellStyle name="Comma 3 8 2" xfId="3964"/>
    <cellStyle name="Comma 3 8 2 2" xfId="18749"/>
    <cellStyle name="Comma 3 8 3" xfId="18748"/>
    <cellStyle name="Comma 3 9" xfId="1104"/>
    <cellStyle name="Comma 3 9 2" xfId="3974"/>
    <cellStyle name="Comma 30" xfId="18750"/>
    <cellStyle name="Comma 30 2" xfId="18751"/>
    <cellStyle name="Comma 30 3" xfId="24701"/>
    <cellStyle name="Comma 31" xfId="42"/>
    <cellStyle name="Comma 31 2" xfId="18753"/>
    <cellStyle name="Comma 31 2 2" xfId="18754"/>
    <cellStyle name="Comma 31 2 3" xfId="24703"/>
    <cellStyle name="Comma 31 3" xfId="18755"/>
    <cellStyle name="Comma 31 3 2" xfId="18756"/>
    <cellStyle name="Comma 31 4" xfId="18757"/>
    <cellStyle name="Comma 31 5" xfId="18752"/>
    <cellStyle name="Comma 31 6" xfId="24702"/>
    <cellStyle name="Comma 31 6 2" xfId="26870"/>
    <cellStyle name="Comma 32" xfId="18758"/>
    <cellStyle name="Comma 32 2" xfId="18759"/>
    <cellStyle name="Comma 32 2 2" xfId="18760"/>
    <cellStyle name="Comma 32 2 3" xfId="24705"/>
    <cellStyle name="Comma 32 3" xfId="18761"/>
    <cellStyle name="Comma 32 4" xfId="24704"/>
    <cellStyle name="Comma 32 4 2" xfId="26871"/>
    <cellStyle name="Comma 33" xfId="18762"/>
    <cellStyle name="Comma 33 2" xfId="18763"/>
    <cellStyle name="Comma 33 2 2" xfId="18764"/>
    <cellStyle name="Comma 33 2 3" xfId="24707"/>
    <cellStyle name="Comma 33 3" xfId="18765"/>
    <cellStyle name="Comma 33 4" xfId="24706"/>
    <cellStyle name="Comma 34" xfId="24708"/>
    <cellStyle name="Comma 35" xfId="24709"/>
    <cellStyle name="Comma 36" xfId="24710"/>
    <cellStyle name="Comma 36 2" xfId="24711"/>
    <cellStyle name="Comma 36 2 2" xfId="26873"/>
    <cellStyle name="Comma 36 3" xfId="26872"/>
    <cellStyle name="Comma 37" xfId="24712"/>
    <cellStyle name="Comma 37 2" xfId="24713"/>
    <cellStyle name="Comma 38" xfId="24714"/>
    <cellStyle name="Comma 38 2" xfId="24715"/>
    <cellStyle name="Comma 39" xfId="24716"/>
    <cellStyle name="Comma 4" xfId="4"/>
    <cellStyle name="Comma 4 10" xfId="4759"/>
    <cellStyle name="Comma 4 10 2" xfId="18768"/>
    <cellStyle name="Comma 4 10 3" xfId="18767"/>
    <cellStyle name="Comma 4 11" xfId="4760"/>
    <cellStyle name="Comma 4 11 2" xfId="18770"/>
    <cellStyle name="Comma 4 11 3" xfId="18769"/>
    <cellStyle name="Comma 4 12" xfId="4761"/>
    <cellStyle name="Comma 4 12 2" xfId="18772"/>
    <cellStyle name="Comma 4 12 3" xfId="18771"/>
    <cellStyle name="Comma 4 13" xfId="4762"/>
    <cellStyle name="Comma 4 13 2" xfId="18774"/>
    <cellStyle name="Comma 4 13 3" xfId="18773"/>
    <cellStyle name="Comma 4 14" xfId="4763"/>
    <cellStyle name="Comma 4 14 2" xfId="18776"/>
    <cellStyle name="Comma 4 14 3" xfId="18775"/>
    <cellStyle name="Comma 4 15" xfId="4764"/>
    <cellStyle name="Comma 4 15 2" xfId="18778"/>
    <cellStyle name="Comma 4 15 3" xfId="18777"/>
    <cellStyle name="Comma 4 16" xfId="4765"/>
    <cellStyle name="Comma 4 16 2" xfId="18780"/>
    <cellStyle name="Comma 4 16 3" xfId="18779"/>
    <cellStyle name="Comma 4 17" xfId="4766"/>
    <cellStyle name="Comma 4 17 2" xfId="18782"/>
    <cellStyle name="Comma 4 17 3" xfId="18781"/>
    <cellStyle name="Comma 4 18" xfId="4767"/>
    <cellStyle name="Comma 4 18 2" xfId="18784"/>
    <cellStyle name="Comma 4 18 3" xfId="18783"/>
    <cellStyle name="Comma 4 19" xfId="4768"/>
    <cellStyle name="Comma 4 19 2" xfId="18786"/>
    <cellStyle name="Comma 4 19 3" xfId="18785"/>
    <cellStyle name="Comma 4 2" xfId="43"/>
    <cellStyle name="Comma 4 2 2" xfId="18788"/>
    <cellStyle name="Comma 4 2 2 2" xfId="24717"/>
    <cellStyle name="Comma 4 2 2 2 2" xfId="26874"/>
    <cellStyle name="Comma 4 2 3" xfId="18787"/>
    <cellStyle name="Comma 4 2 3 2" xfId="24718"/>
    <cellStyle name="Comma 4 2 4" xfId="24519"/>
    <cellStyle name="Comma 4 2 4 2" xfId="26875"/>
    <cellStyle name="Comma 4 20" xfId="4769"/>
    <cellStyle name="Comma 4 20 2" xfId="18790"/>
    <cellStyle name="Comma 4 20 3" xfId="18789"/>
    <cellStyle name="Comma 4 21" xfId="4770"/>
    <cellStyle name="Comma 4 21 2" xfId="18792"/>
    <cellStyle name="Comma 4 21 3" xfId="18791"/>
    <cellStyle name="Comma 4 22" xfId="4771"/>
    <cellStyle name="Comma 4 22 2" xfId="18794"/>
    <cellStyle name="Comma 4 22 3" xfId="18793"/>
    <cellStyle name="Comma 4 23" xfId="4772"/>
    <cellStyle name="Comma 4 23 2" xfId="18796"/>
    <cellStyle name="Comma 4 23 3" xfId="18795"/>
    <cellStyle name="Comma 4 24" xfId="4773"/>
    <cellStyle name="Comma 4 24 2" xfId="18798"/>
    <cellStyle name="Comma 4 24 3" xfId="18797"/>
    <cellStyle name="Comma 4 25" xfId="18799"/>
    <cellStyle name="Comma 4 26" xfId="18766"/>
    <cellStyle name="Comma 4 27" xfId="24518"/>
    <cellStyle name="Comma 4 3" xfId="44"/>
    <cellStyle name="Comma 4 3 2" xfId="18801"/>
    <cellStyle name="Comma 4 3 3" xfId="18800"/>
    <cellStyle name="Comma 4 3 4" xfId="24520"/>
    <cellStyle name="Comma 4 4" xfId="4774"/>
    <cellStyle name="Comma 4 4 2" xfId="18803"/>
    <cellStyle name="Comma 4 4 3" xfId="18802"/>
    <cellStyle name="Comma 4 5" xfId="4775"/>
    <cellStyle name="Comma 4 5 2" xfId="18805"/>
    <cellStyle name="Comma 4 5 3" xfId="18804"/>
    <cellStyle name="Comma 4 6" xfId="4776"/>
    <cellStyle name="Comma 4 6 2" xfId="18807"/>
    <cellStyle name="Comma 4 6 3" xfId="18806"/>
    <cellStyle name="Comma 4 7" xfId="4777"/>
    <cellStyle name="Comma 4 7 2" xfId="18809"/>
    <cellStyle name="Comma 4 7 3" xfId="18808"/>
    <cellStyle name="Comma 4 8" xfId="4778"/>
    <cellStyle name="Comma 4 8 2" xfId="18811"/>
    <cellStyle name="Comma 4 8 3" xfId="18810"/>
    <cellStyle name="Comma 4 9" xfId="4779"/>
    <cellStyle name="Comma 4 9 2" xfId="18813"/>
    <cellStyle name="Comma 4 9 3" xfId="18812"/>
    <cellStyle name="Comma 40" xfId="24719"/>
    <cellStyle name="Comma 41" xfId="24720"/>
    <cellStyle name="Comma 41 2" xfId="26876"/>
    <cellStyle name="Comma 42" xfId="24721"/>
    <cellStyle name="Comma 42 2" xfId="26877"/>
    <cellStyle name="Comma 43" xfId="24722"/>
    <cellStyle name="Comma 43 2" xfId="26878"/>
    <cellStyle name="Comma 44" xfId="24723"/>
    <cellStyle name="Comma 44 2" xfId="26879"/>
    <cellStyle name="Comma 45" xfId="24724"/>
    <cellStyle name="Comma 46" xfId="24725"/>
    <cellStyle name="Comma 47" xfId="24726"/>
    <cellStyle name="Comma 47 2" xfId="26880"/>
    <cellStyle name="Comma 48" xfId="24727"/>
    <cellStyle name="Comma 48 2" xfId="26881"/>
    <cellStyle name="Comma 49" xfId="24728"/>
    <cellStyle name="Comma 49 2" xfId="26882"/>
    <cellStyle name="Comma 5" xfId="45"/>
    <cellStyle name="Comma 5 10" xfId="1111"/>
    <cellStyle name="Comma 5 10 2" xfId="3981"/>
    <cellStyle name="Comma 5 10 2 2" xfId="18815"/>
    <cellStyle name="Comma 5 10 3" xfId="18814"/>
    <cellStyle name="Comma 5 11" xfId="1121"/>
    <cellStyle name="Comma 5 11 2" xfId="3991"/>
    <cellStyle name="Comma 5 11 2 2" xfId="18817"/>
    <cellStyle name="Comma 5 11 3" xfId="18816"/>
    <cellStyle name="Comma 5 12" xfId="1131"/>
    <cellStyle name="Comma 5 12 2" xfId="4001"/>
    <cellStyle name="Comma 5 12 2 2" xfId="18819"/>
    <cellStyle name="Comma 5 12 3" xfId="18818"/>
    <cellStyle name="Comma 5 13" xfId="1141"/>
    <cellStyle name="Comma 5 13 2" xfId="4011"/>
    <cellStyle name="Comma 5 13 2 2" xfId="18821"/>
    <cellStyle name="Comma 5 13 3" xfId="18820"/>
    <cellStyle name="Comma 5 14" xfId="1142"/>
    <cellStyle name="Comma 5 14 2" xfId="4012"/>
    <cellStyle name="Comma 5 14 2 2" xfId="18823"/>
    <cellStyle name="Comma 5 14 3" xfId="18822"/>
    <cellStyle name="Comma 5 15" xfId="1159"/>
    <cellStyle name="Comma 5 15 2" xfId="4029"/>
    <cellStyle name="Comma 5 15 2 2" xfId="18825"/>
    <cellStyle name="Comma 5 15 3" xfId="18824"/>
    <cellStyle name="Comma 5 16" xfId="1171"/>
    <cellStyle name="Comma 5 16 2" xfId="4041"/>
    <cellStyle name="Comma 5 16 2 2" xfId="18827"/>
    <cellStyle name="Comma 5 16 3" xfId="18826"/>
    <cellStyle name="Comma 5 17" xfId="1181"/>
    <cellStyle name="Comma 5 17 2" xfId="4051"/>
    <cellStyle name="Comma 5 17 2 2" xfId="18829"/>
    <cellStyle name="Comma 5 17 3" xfId="18828"/>
    <cellStyle name="Comma 5 18" xfId="1191"/>
    <cellStyle name="Comma 5 18 2" xfId="4061"/>
    <cellStyle name="Comma 5 18 2 2" xfId="18831"/>
    <cellStyle name="Comma 5 18 3" xfId="18830"/>
    <cellStyle name="Comma 5 19" xfId="1201"/>
    <cellStyle name="Comma 5 19 2" xfId="4071"/>
    <cellStyle name="Comma 5 19 2 2" xfId="18833"/>
    <cellStyle name="Comma 5 19 3" xfId="18832"/>
    <cellStyle name="Comma 5 2" xfId="46"/>
    <cellStyle name="Comma 5 2 2" xfId="47"/>
    <cellStyle name="Comma 5 2 2 2" xfId="18835"/>
    <cellStyle name="Comma 5 2 3" xfId="48"/>
    <cellStyle name="Comma 5 2 4" xfId="18834"/>
    <cellStyle name="Comma 5 20" xfId="1211"/>
    <cellStyle name="Comma 5 20 2" xfId="4081"/>
    <cellStyle name="Comma 5 20 2 2" xfId="18837"/>
    <cellStyle name="Comma 5 20 3" xfId="18836"/>
    <cellStyle name="Comma 5 21" xfId="1221"/>
    <cellStyle name="Comma 5 21 2" xfId="4091"/>
    <cellStyle name="Comma 5 21 2 2" xfId="18839"/>
    <cellStyle name="Comma 5 21 3" xfId="18838"/>
    <cellStyle name="Comma 5 22" xfId="1231"/>
    <cellStyle name="Comma 5 22 2" xfId="4101"/>
    <cellStyle name="Comma 5 22 2 2" xfId="18841"/>
    <cellStyle name="Comma 5 22 3" xfId="18840"/>
    <cellStyle name="Comma 5 23" xfId="1241"/>
    <cellStyle name="Comma 5 23 2" xfId="4111"/>
    <cellStyle name="Comma 5 23 2 2" xfId="18843"/>
    <cellStyle name="Comma 5 23 3" xfId="18842"/>
    <cellStyle name="Comma 5 24" xfId="1251"/>
    <cellStyle name="Comma 5 24 2" xfId="4121"/>
    <cellStyle name="Comma 5 24 2 2" xfId="18845"/>
    <cellStyle name="Comma 5 24 3" xfId="18844"/>
    <cellStyle name="Comma 5 25" xfId="1261"/>
    <cellStyle name="Comma 5 25 2" xfId="4131"/>
    <cellStyle name="Comma 5 26" xfId="24521"/>
    <cellStyle name="Comma 5 26 2" xfId="26883"/>
    <cellStyle name="Comma 5 3" xfId="49"/>
    <cellStyle name="Comma 5 3 2" xfId="3916"/>
    <cellStyle name="Comma 5 3 2 2" xfId="18847"/>
    <cellStyle name="Comma 5 3 3" xfId="1046"/>
    <cellStyle name="Comma 5 3 4" xfId="18846"/>
    <cellStyle name="Comma 5 3 5" xfId="24729"/>
    <cellStyle name="Comma 5 3 5 2" xfId="26884"/>
    <cellStyle name="Comma 5 4" xfId="1048"/>
    <cellStyle name="Comma 5 4 2" xfId="3918"/>
    <cellStyle name="Comma 5 4 2 2" xfId="18849"/>
    <cellStyle name="Comma 5 4 3" xfId="18848"/>
    <cellStyle name="Comma 5 4 4" xfId="24730"/>
    <cellStyle name="Comma 5 5" xfId="1061"/>
    <cellStyle name="Comma 5 5 2" xfId="3931"/>
    <cellStyle name="Comma 5 5 2 2" xfId="18851"/>
    <cellStyle name="Comma 5 5 3" xfId="18850"/>
    <cellStyle name="Comma 5 6" xfId="1071"/>
    <cellStyle name="Comma 5 6 2" xfId="3941"/>
    <cellStyle name="Comma 5 6 2 2" xfId="18853"/>
    <cellStyle name="Comma 5 6 3" xfId="18852"/>
    <cellStyle name="Comma 5 7" xfId="1081"/>
    <cellStyle name="Comma 5 7 2" xfId="3951"/>
    <cellStyle name="Comma 5 7 2 2" xfId="18855"/>
    <cellStyle name="Comma 5 7 3" xfId="18854"/>
    <cellStyle name="Comma 5 8" xfId="1091"/>
    <cellStyle name="Comma 5 8 2" xfId="3961"/>
    <cellStyle name="Comma 5 8 2 2" xfId="18857"/>
    <cellStyle name="Comma 5 8 3" xfId="18856"/>
    <cellStyle name="Comma 5 9" xfId="1101"/>
    <cellStyle name="Comma 5 9 2" xfId="3971"/>
    <cellStyle name="Comma 5 9 2 2" xfId="18859"/>
    <cellStyle name="Comma 5 9 3" xfId="18858"/>
    <cellStyle name="Comma 50" xfId="24731"/>
    <cellStyle name="Comma 51" xfId="24732"/>
    <cellStyle name="Comma 52" xfId="24733"/>
    <cellStyle name="Comma 53" xfId="24734"/>
    <cellStyle name="Comma 54" xfId="24735"/>
    <cellStyle name="Comma 55" xfId="24736"/>
    <cellStyle name="Comma 56" xfId="24737"/>
    <cellStyle name="Comma 57" xfId="24738"/>
    <cellStyle name="Comma 58" xfId="24466"/>
    <cellStyle name="Comma 59" xfId="24555"/>
    <cellStyle name="Comma 6" xfId="65"/>
    <cellStyle name="Comma 6 10" xfId="4780"/>
    <cellStyle name="Comma 6 10 2" xfId="18862"/>
    <cellStyle name="Comma 6 10 3" xfId="18861"/>
    <cellStyle name="Comma 6 11" xfId="4781"/>
    <cellStyle name="Comma 6 11 2" xfId="18864"/>
    <cellStyle name="Comma 6 11 3" xfId="18863"/>
    <cellStyle name="Comma 6 12" xfId="4782"/>
    <cellStyle name="Comma 6 12 2" xfId="18866"/>
    <cellStyle name="Comma 6 12 3" xfId="18865"/>
    <cellStyle name="Comma 6 13" xfId="4783"/>
    <cellStyle name="Comma 6 13 2" xfId="18868"/>
    <cellStyle name="Comma 6 13 3" xfId="18867"/>
    <cellStyle name="Comma 6 14" xfId="4784"/>
    <cellStyle name="Comma 6 14 2" xfId="18870"/>
    <cellStyle name="Comma 6 14 3" xfId="18869"/>
    <cellStyle name="Comma 6 15" xfId="4785"/>
    <cellStyle name="Comma 6 15 2" xfId="18872"/>
    <cellStyle name="Comma 6 15 3" xfId="18871"/>
    <cellStyle name="Comma 6 16" xfId="4786"/>
    <cellStyle name="Comma 6 16 2" xfId="18874"/>
    <cellStyle name="Comma 6 16 3" xfId="18873"/>
    <cellStyle name="Comma 6 17" xfId="4787"/>
    <cellStyle name="Comma 6 17 2" xfId="18876"/>
    <cellStyle name="Comma 6 17 3" xfId="18875"/>
    <cellStyle name="Comma 6 18" xfId="4788"/>
    <cellStyle name="Comma 6 18 2" xfId="18878"/>
    <cellStyle name="Comma 6 18 3" xfId="18877"/>
    <cellStyle name="Comma 6 19" xfId="4789"/>
    <cellStyle name="Comma 6 19 2" xfId="18880"/>
    <cellStyle name="Comma 6 19 3" xfId="18879"/>
    <cellStyle name="Comma 6 2" xfId="50"/>
    <cellStyle name="Comma 6 2 2" xfId="18882"/>
    <cellStyle name="Comma 6 2 3" xfId="18881"/>
    <cellStyle name="Comma 6 2 4" xfId="24739"/>
    <cellStyle name="Comma 6 20" xfId="4790"/>
    <cellStyle name="Comma 6 20 2" xfId="18884"/>
    <cellStyle name="Comma 6 20 3" xfId="18883"/>
    <cellStyle name="Comma 6 21" xfId="4791"/>
    <cellStyle name="Comma 6 21 2" xfId="18886"/>
    <cellStyle name="Comma 6 21 3" xfId="18885"/>
    <cellStyle name="Comma 6 22" xfId="4792"/>
    <cellStyle name="Comma 6 22 2" xfId="18888"/>
    <cellStyle name="Comma 6 22 3" xfId="18887"/>
    <cellStyle name="Comma 6 23" xfId="4793"/>
    <cellStyle name="Comma 6 23 2" xfId="18890"/>
    <cellStyle name="Comma 6 23 3" xfId="18889"/>
    <cellStyle name="Comma 6 24" xfId="4794"/>
    <cellStyle name="Comma 6 24 2" xfId="18892"/>
    <cellStyle name="Comma 6 24 3" xfId="18891"/>
    <cellStyle name="Comma 6 25" xfId="6500"/>
    <cellStyle name="Comma 6 25 2" xfId="18893"/>
    <cellStyle name="Comma 6 25 3" xfId="26886"/>
    <cellStyle name="Comma 6 26" xfId="18860"/>
    <cellStyle name="Comma 6 27" xfId="24522"/>
    <cellStyle name="Comma 6 28" xfId="26885"/>
    <cellStyle name="Comma 6 3" xfId="51"/>
    <cellStyle name="Comma 6 3 2" xfId="18895"/>
    <cellStyle name="Comma 6 3 3" xfId="18894"/>
    <cellStyle name="Comma 6 3 4" xfId="24740"/>
    <cellStyle name="Comma 6 4" xfId="4795"/>
    <cellStyle name="Comma 6 4 2" xfId="18897"/>
    <cellStyle name="Comma 6 4 3" xfId="18896"/>
    <cellStyle name="Comma 6 4 4" xfId="24741"/>
    <cellStyle name="Comma 6 5" xfId="4796"/>
    <cellStyle name="Comma 6 5 2" xfId="18899"/>
    <cellStyle name="Comma 6 5 3" xfId="18898"/>
    <cellStyle name="Comma 6 6" xfId="4797"/>
    <cellStyle name="Comma 6 6 2" xfId="18901"/>
    <cellStyle name="Comma 6 6 3" xfId="18900"/>
    <cellStyle name="Comma 6 7" xfId="4798"/>
    <cellStyle name="Comma 6 7 2" xfId="18903"/>
    <cellStyle name="Comma 6 7 3" xfId="18902"/>
    <cellStyle name="Comma 6 8" xfId="4799"/>
    <cellStyle name="Comma 6 8 2" xfId="18905"/>
    <cellStyle name="Comma 6 8 3" xfId="18904"/>
    <cellStyle name="Comma 6 9" xfId="4800"/>
    <cellStyle name="Comma 6 9 2" xfId="18907"/>
    <cellStyle name="Comma 6 9 3" xfId="18906"/>
    <cellStyle name="Comma 60" xfId="24650"/>
    <cellStyle name="Comma 61" xfId="24828"/>
    <cellStyle name="Comma 62" xfId="24830"/>
    <cellStyle name="Comma 63" xfId="24859"/>
    <cellStyle name="Comma 64" xfId="24873"/>
    <cellStyle name="Comma 65" xfId="28139"/>
    <cellStyle name="Comma 66" xfId="28684"/>
    <cellStyle name="Comma 67" xfId="28697"/>
    <cellStyle name="Comma 68" xfId="28683"/>
    <cellStyle name="Comma 69" xfId="28696"/>
    <cellStyle name="Comma 7" xfId="52"/>
    <cellStyle name="Comma 7 10" xfId="4801"/>
    <cellStyle name="Comma 7 10 2" xfId="18910"/>
    <cellStyle name="Comma 7 10 3" xfId="18909"/>
    <cellStyle name="Comma 7 11" xfId="4802"/>
    <cellStyle name="Comma 7 11 2" xfId="18912"/>
    <cellStyle name="Comma 7 11 3" xfId="18911"/>
    <cellStyle name="Comma 7 12" xfId="4803"/>
    <cellStyle name="Comma 7 12 2" xfId="18914"/>
    <cellStyle name="Comma 7 12 3" xfId="18913"/>
    <cellStyle name="Comma 7 13" xfId="4804"/>
    <cellStyle name="Comma 7 13 2" xfId="18916"/>
    <cellStyle name="Comma 7 13 3" xfId="18915"/>
    <cellStyle name="Comma 7 14" xfId="4805"/>
    <cellStyle name="Comma 7 14 2" xfId="18918"/>
    <cellStyle name="Comma 7 14 3" xfId="18917"/>
    <cellStyle name="Comma 7 15" xfId="4806"/>
    <cellStyle name="Comma 7 15 2" xfId="18920"/>
    <cellStyle name="Comma 7 15 3" xfId="18919"/>
    <cellStyle name="Comma 7 16" xfId="4807"/>
    <cellStyle name="Comma 7 16 2" xfId="18922"/>
    <cellStyle name="Comma 7 16 3" xfId="18921"/>
    <cellStyle name="Comma 7 17" xfId="4808"/>
    <cellStyle name="Comma 7 17 2" xfId="18924"/>
    <cellStyle name="Comma 7 17 3" xfId="18923"/>
    <cellStyle name="Comma 7 18" xfId="4809"/>
    <cellStyle name="Comma 7 18 2" xfId="18926"/>
    <cellStyle name="Comma 7 18 3" xfId="18925"/>
    <cellStyle name="Comma 7 19" xfId="4810"/>
    <cellStyle name="Comma 7 19 2" xfId="18928"/>
    <cellStyle name="Comma 7 19 3" xfId="18927"/>
    <cellStyle name="Comma 7 2" xfId="3905"/>
    <cellStyle name="Comma 7 2 2" xfId="18930"/>
    <cellStyle name="Comma 7 2 3" xfId="18929"/>
    <cellStyle name="Comma 7 2 4" xfId="24524"/>
    <cellStyle name="Comma 7 20" xfId="4811"/>
    <cellStyle name="Comma 7 20 2" xfId="18932"/>
    <cellStyle name="Comma 7 20 3" xfId="18931"/>
    <cellStyle name="Comma 7 21" xfId="4812"/>
    <cellStyle name="Comma 7 21 2" xfId="18934"/>
    <cellStyle name="Comma 7 21 3" xfId="18933"/>
    <cellStyle name="Comma 7 22" xfId="4813"/>
    <cellStyle name="Comma 7 22 2" xfId="18936"/>
    <cellStyle name="Comma 7 22 3" xfId="18935"/>
    <cellStyle name="Comma 7 23" xfId="4814"/>
    <cellStyle name="Comma 7 23 2" xfId="18938"/>
    <cellStyle name="Comma 7 23 3" xfId="18937"/>
    <cellStyle name="Comma 7 24" xfId="4815"/>
    <cellStyle name="Comma 7 24 2" xfId="18940"/>
    <cellStyle name="Comma 7 24 3" xfId="18939"/>
    <cellStyle name="Comma 7 25" xfId="18941"/>
    <cellStyle name="Comma 7 26" xfId="18908"/>
    <cellStyle name="Comma 7 27" xfId="24523"/>
    <cellStyle name="Comma 7 3" xfId="4816"/>
    <cellStyle name="Comma 7 3 2" xfId="18943"/>
    <cellStyle name="Comma 7 3 3" xfId="18942"/>
    <cellStyle name="Comma 7 4" xfId="4817"/>
    <cellStyle name="Comma 7 4 2" xfId="18945"/>
    <cellStyle name="Comma 7 4 3" xfId="18944"/>
    <cellStyle name="Comma 7 5" xfId="4818"/>
    <cellStyle name="Comma 7 5 2" xfId="18947"/>
    <cellStyle name="Comma 7 5 3" xfId="18946"/>
    <cellStyle name="Comma 7 6" xfId="4819"/>
    <cellStyle name="Comma 7 6 2" xfId="18949"/>
    <cellStyle name="Comma 7 6 3" xfId="18948"/>
    <cellStyle name="Comma 7 7" xfId="4820"/>
    <cellStyle name="Comma 7 7 2" xfId="18951"/>
    <cellStyle name="Comma 7 7 3" xfId="18950"/>
    <cellStyle name="Comma 7 8" xfId="4821"/>
    <cellStyle name="Comma 7 8 2" xfId="18953"/>
    <cellStyle name="Comma 7 8 3" xfId="18952"/>
    <cellStyle name="Comma 7 9" xfId="4822"/>
    <cellStyle name="Comma 7 9 2" xfId="18955"/>
    <cellStyle name="Comma 7 9 3" xfId="18954"/>
    <cellStyle name="Comma 70" xfId="28682"/>
    <cellStyle name="Comma 71" xfId="28695"/>
    <cellStyle name="Comma 72" xfId="28698"/>
    <cellStyle name="Comma 73" xfId="28694"/>
    <cellStyle name="Comma 74" xfId="28681"/>
    <cellStyle name="Comma 75" xfId="28693"/>
    <cellStyle name="Comma 76" xfId="28680"/>
    <cellStyle name="Comma 77" xfId="28700"/>
    <cellStyle name="Comma 78" xfId="28702"/>
    <cellStyle name="Comma 79" xfId="28703"/>
    <cellStyle name="Comma 8" xfId="53"/>
    <cellStyle name="Comma 8 10" xfId="4823"/>
    <cellStyle name="Comma 8 10 2" xfId="18958"/>
    <cellStyle name="Comma 8 10 3" xfId="18957"/>
    <cellStyle name="Comma 8 11" xfId="4824"/>
    <cellStyle name="Comma 8 11 2" xfId="18960"/>
    <cellStyle name="Comma 8 11 3" xfId="18959"/>
    <cellStyle name="Comma 8 12" xfId="4825"/>
    <cellStyle name="Comma 8 12 2" xfId="18962"/>
    <cellStyle name="Comma 8 12 3" xfId="18961"/>
    <cellStyle name="Comma 8 13" xfId="4826"/>
    <cellStyle name="Comma 8 13 2" xfId="18964"/>
    <cellStyle name="Comma 8 13 3" xfId="18963"/>
    <cellStyle name="Comma 8 14" xfId="4827"/>
    <cellStyle name="Comma 8 14 2" xfId="18966"/>
    <cellStyle name="Comma 8 14 3" xfId="18965"/>
    <cellStyle name="Comma 8 15" xfId="4828"/>
    <cellStyle name="Comma 8 15 2" xfId="18968"/>
    <cellStyle name="Comma 8 15 3" xfId="18967"/>
    <cellStyle name="Comma 8 16" xfId="4829"/>
    <cellStyle name="Comma 8 16 2" xfId="18970"/>
    <cellStyle name="Comma 8 16 3" xfId="18969"/>
    <cellStyle name="Comma 8 17" xfId="4830"/>
    <cellStyle name="Comma 8 17 2" xfId="18972"/>
    <cellStyle name="Comma 8 17 3" xfId="18971"/>
    <cellStyle name="Comma 8 18" xfId="4831"/>
    <cellStyle name="Comma 8 18 2" xfId="18974"/>
    <cellStyle name="Comma 8 18 3" xfId="18973"/>
    <cellStyle name="Comma 8 19" xfId="4832"/>
    <cellStyle name="Comma 8 19 2" xfId="18976"/>
    <cellStyle name="Comma 8 19 3" xfId="18975"/>
    <cellStyle name="Comma 8 2" xfId="3879"/>
    <cellStyle name="Comma 8 2 2" xfId="18978"/>
    <cellStyle name="Comma 8 2 2 2" xfId="24742"/>
    <cellStyle name="Comma 8 2 2 2 2" xfId="26887"/>
    <cellStyle name="Comma 8 2 3" xfId="18977"/>
    <cellStyle name="Comma 8 2 3 2" xfId="24743"/>
    <cellStyle name="Comma 8 2 3 2 2" xfId="26888"/>
    <cellStyle name="Comma 8 2 4" xfId="24744"/>
    <cellStyle name="Comma 8 2 4 2" xfId="26889"/>
    <cellStyle name="Comma 8 2 5" xfId="24745"/>
    <cellStyle name="Comma 8 2 6" xfId="24746"/>
    <cellStyle name="Comma 8 2 6 2" xfId="26890"/>
    <cellStyle name="Comma 8 2 7" xfId="24526"/>
    <cellStyle name="Comma 8 20" xfId="4833"/>
    <cellStyle name="Comma 8 20 2" xfId="18980"/>
    <cellStyle name="Comma 8 20 3" xfId="18979"/>
    <cellStyle name="Comma 8 21" xfId="4834"/>
    <cellStyle name="Comma 8 21 2" xfId="18982"/>
    <cellStyle name="Comma 8 21 3" xfId="18981"/>
    <cellStyle name="Comma 8 22" xfId="4835"/>
    <cellStyle name="Comma 8 22 2" xfId="18984"/>
    <cellStyle name="Comma 8 22 3" xfId="18983"/>
    <cellStyle name="Comma 8 23" xfId="4836"/>
    <cellStyle name="Comma 8 23 2" xfId="18986"/>
    <cellStyle name="Comma 8 23 3" xfId="18985"/>
    <cellStyle name="Comma 8 24" xfId="4837"/>
    <cellStyle name="Comma 8 24 2" xfId="18988"/>
    <cellStyle name="Comma 8 24 3" xfId="18987"/>
    <cellStyle name="Comma 8 25" xfId="18989"/>
    <cellStyle name="Comma 8 26" xfId="18956"/>
    <cellStyle name="Comma 8 27" xfId="24525"/>
    <cellStyle name="Comma 8 3" xfId="4838"/>
    <cellStyle name="Comma 8 3 2" xfId="18991"/>
    <cellStyle name="Comma 8 3 3" xfId="18990"/>
    <cellStyle name="Comma 8 3 4" xfId="24747"/>
    <cellStyle name="Comma 8 3 4 2" xfId="26891"/>
    <cellStyle name="Comma 8 4" xfId="4839"/>
    <cellStyle name="Comma 8 4 2" xfId="18993"/>
    <cellStyle name="Comma 8 4 3" xfId="18992"/>
    <cellStyle name="Comma 8 4 4" xfId="24748"/>
    <cellStyle name="Comma 8 4 4 2" xfId="26892"/>
    <cellStyle name="Comma 8 5" xfId="4840"/>
    <cellStyle name="Comma 8 5 2" xfId="18995"/>
    <cellStyle name="Comma 8 5 3" xfId="18994"/>
    <cellStyle name="Comma 8 5 4" xfId="24749"/>
    <cellStyle name="Comma 8 5 4 2" xfId="26893"/>
    <cellStyle name="Comma 8 6" xfId="4841"/>
    <cellStyle name="Comma 8 6 2" xfId="18997"/>
    <cellStyle name="Comma 8 6 3" xfId="18996"/>
    <cellStyle name="Comma 8 6 4" xfId="24750"/>
    <cellStyle name="Comma 8 7" xfId="4842"/>
    <cellStyle name="Comma 8 7 2" xfId="18999"/>
    <cellStyle name="Comma 8 7 3" xfId="18998"/>
    <cellStyle name="Comma 8 7 4" xfId="24751"/>
    <cellStyle name="Comma 8 7 4 2" xfId="26894"/>
    <cellStyle name="Comma 8 8" xfId="4843"/>
    <cellStyle name="Comma 8 8 2" xfId="19001"/>
    <cellStyle name="Comma 8 8 3" xfId="19000"/>
    <cellStyle name="Comma 8 9" xfId="4844"/>
    <cellStyle name="Comma 8 9 2" xfId="19003"/>
    <cellStyle name="Comma 8 9 3" xfId="19002"/>
    <cellStyle name="Comma 80" xfId="28704"/>
    <cellStyle name="Comma 81" xfId="28706"/>
    <cellStyle name="Comma 82" xfId="28707"/>
    <cellStyle name="Comma 83" xfId="28708"/>
    <cellStyle name="Comma 84" xfId="28709"/>
    <cellStyle name="Comma 85" xfId="28710"/>
    <cellStyle name="Comma 9" xfId="54"/>
    <cellStyle name="Comma 9 10" xfId="4845"/>
    <cellStyle name="Comma 9 10 2" xfId="19006"/>
    <cellStyle name="Comma 9 10 3" xfId="19005"/>
    <cellStyle name="Comma 9 11" xfId="4846"/>
    <cellStyle name="Comma 9 11 2" xfId="19008"/>
    <cellStyle name="Comma 9 11 3" xfId="19007"/>
    <cellStyle name="Comma 9 12" xfId="4847"/>
    <cellStyle name="Comma 9 12 2" xfId="19010"/>
    <cellStyle name="Comma 9 12 3" xfId="19009"/>
    <cellStyle name="Comma 9 13" xfId="4848"/>
    <cellStyle name="Comma 9 13 2" xfId="19012"/>
    <cellStyle name="Comma 9 13 3" xfId="19011"/>
    <cellStyle name="Comma 9 14" xfId="4849"/>
    <cellStyle name="Comma 9 14 2" xfId="19014"/>
    <cellStyle name="Comma 9 14 3" xfId="19013"/>
    <cellStyle name="Comma 9 15" xfId="4850"/>
    <cellStyle name="Comma 9 15 2" xfId="19016"/>
    <cellStyle name="Comma 9 15 3" xfId="19015"/>
    <cellStyle name="Comma 9 16" xfId="4851"/>
    <cellStyle name="Comma 9 16 2" xfId="19018"/>
    <cellStyle name="Comma 9 16 3" xfId="19017"/>
    <cellStyle name="Comma 9 17" xfId="4852"/>
    <cellStyle name="Comma 9 17 2" xfId="19020"/>
    <cellStyle name="Comma 9 17 3" xfId="19019"/>
    <cellStyle name="Comma 9 18" xfId="4853"/>
    <cellStyle name="Comma 9 18 2" xfId="19022"/>
    <cellStyle name="Comma 9 18 3" xfId="19021"/>
    <cellStyle name="Comma 9 19" xfId="4854"/>
    <cellStyle name="Comma 9 19 2" xfId="19024"/>
    <cellStyle name="Comma 9 19 3" xfId="19023"/>
    <cellStyle name="Comma 9 2" xfId="3909"/>
    <cellStyle name="Comma 9 2 2" xfId="19026"/>
    <cellStyle name="Comma 9 2 2 2" xfId="24752"/>
    <cellStyle name="Comma 9 2 2 2 2" xfId="26895"/>
    <cellStyle name="Comma 9 2 3" xfId="19025"/>
    <cellStyle name="Comma 9 2 3 2" xfId="24753"/>
    <cellStyle name="Comma 9 2 3 2 2" xfId="26896"/>
    <cellStyle name="Comma 9 2 4" xfId="24754"/>
    <cellStyle name="Comma 9 2 4 2" xfId="26897"/>
    <cellStyle name="Comma 9 2 5" xfId="24755"/>
    <cellStyle name="Comma 9 2 6" xfId="24756"/>
    <cellStyle name="Comma 9 2 6 2" xfId="26898"/>
    <cellStyle name="Comma 9 2 7" xfId="24528"/>
    <cellStyle name="Comma 9 20" xfId="4855"/>
    <cellStyle name="Comma 9 20 2" xfId="19028"/>
    <cellStyle name="Comma 9 20 3" xfId="19027"/>
    <cellStyle name="Comma 9 21" xfId="4856"/>
    <cellStyle name="Comma 9 21 2" xfId="19030"/>
    <cellStyle name="Comma 9 21 3" xfId="19029"/>
    <cellStyle name="Comma 9 22" xfId="4857"/>
    <cellStyle name="Comma 9 22 2" xfId="19032"/>
    <cellStyle name="Comma 9 22 3" xfId="19031"/>
    <cellStyle name="Comma 9 23" xfId="4858"/>
    <cellStyle name="Comma 9 23 2" xfId="19034"/>
    <cellStyle name="Comma 9 23 3" xfId="19033"/>
    <cellStyle name="Comma 9 24" xfId="4859"/>
    <cellStyle name="Comma 9 24 2" xfId="19036"/>
    <cellStyle name="Comma 9 24 3" xfId="19035"/>
    <cellStyle name="Comma 9 25" xfId="19037"/>
    <cellStyle name="Comma 9 26" xfId="19004"/>
    <cellStyle name="Comma 9 27" xfId="24527"/>
    <cellStyle name="Comma 9 3" xfId="4860"/>
    <cellStyle name="Comma 9 3 2" xfId="19039"/>
    <cellStyle name="Comma 9 3 3" xfId="19038"/>
    <cellStyle name="Comma 9 3 4" xfId="24757"/>
    <cellStyle name="Comma 9 3 4 2" xfId="26899"/>
    <cellStyle name="Comma 9 4" xfId="4861"/>
    <cellStyle name="Comma 9 4 2" xfId="19041"/>
    <cellStyle name="Comma 9 4 3" xfId="19040"/>
    <cellStyle name="Comma 9 4 4" xfId="24758"/>
    <cellStyle name="Comma 9 4 4 2" xfId="26900"/>
    <cellStyle name="Comma 9 5" xfId="4862"/>
    <cellStyle name="Comma 9 5 2" xfId="19043"/>
    <cellStyle name="Comma 9 5 3" xfId="19042"/>
    <cellStyle name="Comma 9 5 4" xfId="24759"/>
    <cellStyle name="Comma 9 5 4 2" xfId="26901"/>
    <cellStyle name="Comma 9 6" xfId="4863"/>
    <cellStyle name="Comma 9 6 2" xfId="19045"/>
    <cellStyle name="Comma 9 6 3" xfId="19044"/>
    <cellStyle name="Comma 9 6 4" xfId="24760"/>
    <cellStyle name="Comma 9 7" xfId="4864"/>
    <cellStyle name="Comma 9 7 2" xfId="19047"/>
    <cellStyle name="Comma 9 7 3" xfId="19046"/>
    <cellStyle name="Comma 9 7 4" xfId="24761"/>
    <cellStyle name="Comma 9 7 4 2" xfId="26902"/>
    <cellStyle name="Comma 9 8" xfId="4865"/>
    <cellStyle name="Comma 9 8 2" xfId="19049"/>
    <cellStyle name="Comma 9 8 3" xfId="19048"/>
    <cellStyle name="Comma 9 9" xfId="4866"/>
    <cellStyle name="Comma 9 9 2" xfId="19051"/>
    <cellStyle name="Comma 9 9 3" xfId="19050"/>
    <cellStyle name="Comma0" xfId="24762"/>
    <cellStyle name="Comma0 2" xfId="24763"/>
    <cellStyle name="Comma1 - Style1" xfId="24529"/>
    <cellStyle name="Currency" xfId="5" builtinId="4"/>
    <cellStyle name="Currency 2" xfId="6"/>
    <cellStyle name="Currency 2 2" xfId="139"/>
    <cellStyle name="Currency 2 2 2" xfId="19053"/>
    <cellStyle name="Currency 2 2 2 2" xfId="24530"/>
    <cellStyle name="Currency 2 2 3" xfId="19052"/>
    <cellStyle name="Currency 2 3" xfId="304"/>
    <cellStyle name="Currency 2 3 2" xfId="19055"/>
    <cellStyle name="Currency 2 3 2 2" xfId="24531"/>
    <cellStyle name="Currency 2 3 3" xfId="19054"/>
    <cellStyle name="Currency 2 4" xfId="2122"/>
    <cellStyle name="Currency 2 4 2" xfId="19057"/>
    <cellStyle name="Currency 2 4 3" xfId="19056"/>
    <cellStyle name="Currency 2 5" xfId="2496"/>
    <cellStyle name="Currency 2 5 2" xfId="19059"/>
    <cellStyle name="Currency 2 5 3" xfId="19058"/>
    <cellStyle name="Currency 2 6" xfId="2868"/>
    <cellStyle name="Currency 2 6 2" xfId="19061"/>
    <cellStyle name="Currency 2 6 3" xfId="19060"/>
    <cellStyle name="Currency 2 7" xfId="3239"/>
    <cellStyle name="Currency 2 7 2" xfId="19063"/>
    <cellStyle name="Currency 2 7 3" xfId="19062"/>
    <cellStyle name="Currency 2 8" xfId="1272"/>
    <cellStyle name="Currency 2 8 2" xfId="19065"/>
    <cellStyle name="Currency 2 8 3" xfId="19064"/>
    <cellStyle name="Currency 3" xfId="4867"/>
    <cellStyle name="Currency 3 2" xfId="19067"/>
    <cellStyle name="Currency 3 2 2" xfId="24764"/>
    <cellStyle name="Currency 3 2 2 2" xfId="26903"/>
    <cellStyle name="Currency 3 2 3" xfId="24765"/>
    <cellStyle name="Currency 3 2 3 2" xfId="26904"/>
    <cellStyle name="Currency 3 2 4" xfId="24766"/>
    <cellStyle name="Currency 3 2 4 2" xfId="26905"/>
    <cellStyle name="Currency 3 2 5" xfId="24767"/>
    <cellStyle name="Currency 3 2 6" xfId="24768"/>
    <cellStyle name="Currency 3 2 6 2" xfId="26906"/>
    <cellStyle name="Currency 3 2 7" xfId="24533"/>
    <cellStyle name="Currency 3 3" xfId="19066"/>
    <cellStyle name="Currency 3 3 2" xfId="24769"/>
    <cellStyle name="Currency 3 3 2 2" xfId="26907"/>
    <cellStyle name="Currency 3 4" xfId="24770"/>
    <cellStyle name="Currency 3 4 2" xfId="26908"/>
    <cellStyle name="Currency 3 5" xfId="24771"/>
    <cellStyle name="Currency 3 5 2" xfId="26909"/>
    <cellStyle name="Currency 3 6" xfId="24772"/>
    <cellStyle name="Currency 3 7" xfId="24773"/>
    <cellStyle name="Currency 3 7 2" xfId="26910"/>
    <cellStyle name="Currency 3 8" xfId="24532"/>
    <cellStyle name="Currency 4" xfId="7101"/>
    <cellStyle name="Currency 4 2" xfId="24534"/>
    <cellStyle name="Currency 5" xfId="24535"/>
    <cellStyle name="Currency0" xfId="24774"/>
    <cellStyle name="Currency0 2" xfId="24775"/>
    <cellStyle name="Date" xfId="24776"/>
    <cellStyle name="Date 2" xfId="24777"/>
    <cellStyle name="Euro" xfId="55"/>
    <cellStyle name="Euro 2" xfId="19069"/>
    <cellStyle name="Euro 2 2" xfId="19070"/>
    <cellStyle name="Euro 2 2 2" xfId="19071"/>
    <cellStyle name="Euro 2 3" xfId="19072"/>
    <cellStyle name="Euro 3" xfId="19073"/>
    <cellStyle name="Euro 3 2" xfId="19074"/>
    <cellStyle name="Euro 3 2 2" xfId="19075"/>
    <cellStyle name="Euro 3 3" xfId="19076"/>
    <cellStyle name="Euro 4" xfId="19077"/>
    <cellStyle name="Euro 4 2" xfId="19078"/>
    <cellStyle name="Euro 5" xfId="19079"/>
    <cellStyle name="Euro 5 2" xfId="19080"/>
    <cellStyle name="Euro 6" xfId="19081"/>
    <cellStyle name="Euro 7" xfId="19068"/>
    <cellStyle name="Explanatory Text 10" xfId="748"/>
    <cellStyle name="Explanatory Text 10 2" xfId="19084"/>
    <cellStyle name="Explanatory Text 10 3" xfId="19083"/>
    <cellStyle name="Explanatory Text 11" xfId="749"/>
    <cellStyle name="Explanatory Text 11 2" xfId="19086"/>
    <cellStyle name="Explanatory Text 11 3" xfId="19085"/>
    <cellStyle name="Explanatory Text 12" xfId="879"/>
    <cellStyle name="Explanatory Text 12 2" xfId="19087"/>
    <cellStyle name="Explanatory Text 13" xfId="880"/>
    <cellStyle name="Explanatory Text 13 2" xfId="19082"/>
    <cellStyle name="Explanatory Text 14" xfId="975"/>
    <cellStyle name="Explanatory Text 2" xfId="96"/>
    <cellStyle name="Explanatory Text 2 10" xfId="1694"/>
    <cellStyle name="Explanatory Text 2 10 2" xfId="19090"/>
    <cellStyle name="Explanatory Text 2 10 3" xfId="19089"/>
    <cellStyle name="Explanatory Text 2 11" xfId="2029"/>
    <cellStyle name="Explanatory Text 2 11 2" xfId="19092"/>
    <cellStyle name="Explanatory Text 2 11 3" xfId="19091"/>
    <cellStyle name="Explanatory Text 2 12" xfId="2403"/>
    <cellStyle name="Explanatory Text 2 12 2" xfId="19094"/>
    <cellStyle name="Explanatory Text 2 12 3" xfId="19093"/>
    <cellStyle name="Explanatory Text 2 13" xfId="2776"/>
    <cellStyle name="Explanatory Text 2 13 2" xfId="19096"/>
    <cellStyle name="Explanatory Text 2 13 3" xfId="19095"/>
    <cellStyle name="Explanatory Text 2 14" xfId="3150"/>
    <cellStyle name="Explanatory Text 2 14 2" xfId="19098"/>
    <cellStyle name="Explanatory Text 2 14 3" xfId="19097"/>
    <cellStyle name="Explanatory Text 2 15" xfId="3521"/>
    <cellStyle name="Explanatory Text 2 15 2" xfId="19100"/>
    <cellStyle name="Explanatory Text 2 15 3" xfId="19099"/>
    <cellStyle name="Explanatory Text 2 16" xfId="3659"/>
    <cellStyle name="Explanatory Text 2 16 2" xfId="19102"/>
    <cellStyle name="Explanatory Text 2 16 3" xfId="19101"/>
    <cellStyle name="Explanatory Text 2 17" xfId="19103"/>
    <cellStyle name="Explanatory Text 2 17 2" xfId="19104"/>
    <cellStyle name="Explanatory Text 2 18" xfId="19105"/>
    <cellStyle name="Explanatory Text 2 19" xfId="19088"/>
    <cellStyle name="Explanatory Text 2 2" xfId="140"/>
    <cellStyle name="Explanatory Text 2 2 2" xfId="168"/>
    <cellStyle name="Explanatory Text 2 2 2 2" xfId="19108"/>
    <cellStyle name="Explanatory Text 2 2 2 3" xfId="19107"/>
    <cellStyle name="Explanatory Text 2 2 3" xfId="332"/>
    <cellStyle name="Explanatory Text 2 2 3 2" xfId="19110"/>
    <cellStyle name="Explanatory Text 2 2 3 3" xfId="19109"/>
    <cellStyle name="Explanatory Text 2 2 4" xfId="2154"/>
    <cellStyle name="Explanatory Text 2 2 4 2" xfId="19112"/>
    <cellStyle name="Explanatory Text 2 2 4 3" xfId="19111"/>
    <cellStyle name="Explanatory Text 2 2 5" xfId="2528"/>
    <cellStyle name="Explanatory Text 2 2 5 2" xfId="19114"/>
    <cellStyle name="Explanatory Text 2 2 5 3" xfId="19113"/>
    <cellStyle name="Explanatory Text 2 2 6" xfId="2900"/>
    <cellStyle name="Explanatory Text 2 2 6 2" xfId="19116"/>
    <cellStyle name="Explanatory Text 2 2 6 3" xfId="19115"/>
    <cellStyle name="Explanatory Text 2 2 7" xfId="3272"/>
    <cellStyle name="Explanatory Text 2 2 7 2" xfId="19118"/>
    <cellStyle name="Explanatory Text 2 2 7 3" xfId="19117"/>
    <cellStyle name="Explanatory Text 2 2 8" xfId="19119"/>
    <cellStyle name="Explanatory Text 2 2 9" xfId="19106"/>
    <cellStyle name="Explanatory Text 2 20" xfId="24493"/>
    <cellStyle name="Explanatory Text 2 3" xfId="305"/>
    <cellStyle name="Explanatory Text 2 3 2" xfId="1330"/>
    <cellStyle name="Explanatory Text 2 3 2 2" xfId="19121"/>
    <cellStyle name="Explanatory Text 2 3 3" xfId="19120"/>
    <cellStyle name="Explanatory Text 2 4" xfId="466"/>
    <cellStyle name="Explanatory Text 2 4 2" xfId="19123"/>
    <cellStyle name="Explanatory Text 2 4 3" xfId="19122"/>
    <cellStyle name="Explanatory Text 2 5" xfId="600"/>
    <cellStyle name="Explanatory Text 2 5 2" xfId="19125"/>
    <cellStyle name="Explanatory Text 2 5 3" xfId="19124"/>
    <cellStyle name="Explanatory Text 2 6" xfId="750"/>
    <cellStyle name="Explanatory Text 2 6 2" xfId="19127"/>
    <cellStyle name="Explanatory Text 2 6 3" xfId="19126"/>
    <cellStyle name="Explanatory Text 2 7" xfId="751"/>
    <cellStyle name="Explanatory Text 2 7 2" xfId="19129"/>
    <cellStyle name="Explanatory Text 2 7 3" xfId="19128"/>
    <cellStyle name="Explanatory Text 2 8" xfId="881"/>
    <cellStyle name="Explanatory Text 2 8 2" xfId="1423"/>
    <cellStyle name="Explanatory Text 2 8 2 2" xfId="19131"/>
    <cellStyle name="Explanatory Text 2 8 3" xfId="19130"/>
    <cellStyle name="Explanatory Text 2 9" xfId="976"/>
    <cellStyle name="Explanatory Text 2 9 2" xfId="1554"/>
    <cellStyle name="Explanatory Text 2 9 2 2" xfId="19133"/>
    <cellStyle name="Explanatory Text 2 9 3" xfId="19132"/>
    <cellStyle name="Explanatory Text 3" xfId="209"/>
    <cellStyle name="Explanatory Text 3 10" xfId="3702"/>
    <cellStyle name="Explanatory Text 3 10 2" xfId="19136"/>
    <cellStyle name="Explanatory Text 3 10 3" xfId="19135"/>
    <cellStyle name="Explanatory Text 3 11" xfId="19137"/>
    <cellStyle name="Explanatory Text 3 11 2" xfId="19138"/>
    <cellStyle name="Explanatory Text 3 12" xfId="19139"/>
    <cellStyle name="Explanatory Text 3 13" xfId="19134"/>
    <cellStyle name="Explanatory Text 3 2" xfId="1475"/>
    <cellStyle name="Explanatory Text 3 2 2" xfId="1820"/>
    <cellStyle name="Explanatory Text 3 2 2 2" xfId="19142"/>
    <cellStyle name="Explanatory Text 3 2 2 3" xfId="19141"/>
    <cellStyle name="Explanatory Text 3 2 3" xfId="2195"/>
    <cellStyle name="Explanatory Text 3 2 3 2" xfId="19144"/>
    <cellStyle name="Explanatory Text 3 2 3 3" xfId="19143"/>
    <cellStyle name="Explanatory Text 3 2 4" xfId="2569"/>
    <cellStyle name="Explanatory Text 3 2 4 2" xfId="19146"/>
    <cellStyle name="Explanatory Text 3 2 4 3" xfId="19145"/>
    <cellStyle name="Explanatory Text 3 2 5" xfId="2941"/>
    <cellStyle name="Explanatory Text 3 2 5 2" xfId="19148"/>
    <cellStyle name="Explanatory Text 3 2 5 3" xfId="19147"/>
    <cellStyle name="Explanatory Text 3 2 6" xfId="3313"/>
    <cellStyle name="Explanatory Text 3 2 6 2" xfId="19150"/>
    <cellStyle name="Explanatory Text 3 2 6 3" xfId="19149"/>
    <cellStyle name="Explanatory Text 3 2 7" xfId="19151"/>
    <cellStyle name="Explanatory Text 3 2 8" xfId="19140"/>
    <cellStyle name="Explanatory Text 3 3" xfId="1602"/>
    <cellStyle name="Explanatory Text 3 3 2" xfId="1897"/>
    <cellStyle name="Explanatory Text 3 3 2 2" xfId="19154"/>
    <cellStyle name="Explanatory Text 3 3 2 3" xfId="19153"/>
    <cellStyle name="Explanatory Text 3 3 3" xfId="2272"/>
    <cellStyle name="Explanatory Text 3 3 3 2" xfId="19156"/>
    <cellStyle name="Explanatory Text 3 3 3 3" xfId="19155"/>
    <cellStyle name="Explanatory Text 3 3 4" xfId="2645"/>
    <cellStyle name="Explanatory Text 3 3 4 2" xfId="19158"/>
    <cellStyle name="Explanatory Text 3 3 4 3" xfId="19157"/>
    <cellStyle name="Explanatory Text 3 3 5" xfId="3018"/>
    <cellStyle name="Explanatory Text 3 3 5 2" xfId="19160"/>
    <cellStyle name="Explanatory Text 3 3 5 3" xfId="19159"/>
    <cellStyle name="Explanatory Text 3 3 6" xfId="3389"/>
    <cellStyle name="Explanatory Text 3 3 6 2" xfId="19162"/>
    <cellStyle name="Explanatory Text 3 3 6 3" xfId="19161"/>
    <cellStyle name="Explanatory Text 3 3 7" xfId="19163"/>
    <cellStyle name="Explanatory Text 3 3 8" xfId="19152"/>
    <cellStyle name="Explanatory Text 3 4" xfId="1741"/>
    <cellStyle name="Explanatory Text 3 4 2" xfId="1941"/>
    <cellStyle name="Explanatory Text 3 4 2 2" xfId="19166"/>
    <cellStyle name="Explanatory Text 3 4 2 3" xfId="19165"/>
    <cellStyle name="Explanatory Text 3 4 3" xfId="2316"/>
    <cellStyle name="Explanatory Text 3 4 3 2" xfId="19168"/>
    <cellStyle name="Explanatory Text 3 4 3 3" xfId="19167"/>
    <cellStyle name="Explanatory Text 3 4 4" xfId="2689"/>
    <cellStyle name="Explanatory Text 3 4 4 2" xfId="19170"/>
    <cellStyle name="Explanatory Text 3 4 4 3" xfId="19169"/>
    <cellStyle name="Explanatory Text 3 4 5" xfId="3062"/>
    <cellStyle name="Explanatory Text 3 4 5 2" xfId="19172"/>
    <cellStyle name="Explanatory Text 3 4 5 3" xfId="19171"/>
    <cellStyle name="Explanatory Text 3 4 6" xfId="3433"/>
    <cellStyle name="Explanatory Text 3 4 6 2" xfId="19174"/>
    <cellStyle name="Explanatory Text 3 4 6 3" xfId="19173"/>
    <cellStyle name="Explanatory Text 3 4 7" xfId="19175"/>
    <cellStyle name="Explanatory Text 3 4 8" xfId="19164"/>
    <cellStyle name="Explanatory Text 3 5" xfId="2076"/>
    <cellStyle name="Explanatory Text 3 5 2" xfId="19177"/>
    <cellStyle name="Explanatory Text 3 5 3" xfId="19176"/>
    <cellStyle name="Explanatory Text 3 6" xfId="2450"/>
    <cellStyle name="Explanatory Text 3 6 2" xfId="19179"/>
    <cellStyle name="Explanatory Text 3 6 3" xfId="19178"/>
    <cellStyle name="Explanatory Text 3 7" xfId="2822"/>
    <cellStyle name="Explanatory Text 3 7 2" xfId="19181"/>
    <cellStyle name="Explanatory Text 3 7 3" xfId="19180"/>
    <cellStyle name="Explanatory Text 3 8" xfId="3193"/>
    <cellStyle name="Explanatory Text 3 8 2" xfId="19183"/>
    <cellStyle name="Explanatory Text 3 8 3" xfId="19182"/>
    <cellStyle name="Explanatory Text 3 9" xfId="3566"/>
    <cellStyle name="Explanatory Text 3 9 2" xfId="19185"/>
    <cellStyle name="Explanatory Text 3 9 3" xfId="19184"/>
    <cellStyle name="Explanatory Text 4" xfId="262"/>
    <cellStyle name="Explanatory Text 4 10" xfId="3746"/>
    <cellStyle name="Explanatory Text 4 10 2" xfId="19188"/>
    <cellStyle name="Explanatory Text 4 10 3" xfId="19187"/>
    <cellStyle name="Explanatory Text 4 11" xfId="1291"/>
    <cellStyle name="Explanatory Text 4 11 2" xfId="19190"/>
    <cellStyle name="Explanatory Text 4 11 3" xfId="19189"/>
    <cellStyle name="Explanatory Text 4 12" xfId="19191"/>
    <cellStyle name="Explanatory Text 4 13" xfId="19186"/>
    <cellStyle name="Explanatory Text 4 2" xfId="1520"/>
    <cellStyle name="Explanatory Text 4 2 2" xfId="19193"/>
    <cellStyle name="Explanatory Text 4 2 3" xfId="19192"/>
    <cellStyle name="Explanatory Text 4 3" xfId="1645"/>
    <cellStyle name="Explanatory Text 4 3 2" xfId="19195"/>
    <cellStyle name="Explanatory Text 4 3 3" xfId="19194"/>
    <cellStyle name="Explanatory Text 4 4" xfId="1781"/>
    <cellStyle name="Explanatory Text 4 4 2" xfId="19197"/>
    <cellStyle name="Explanatory Text 4 4 3" xfId="19196"/>
    <cellStyle name="Explanatory Text 4 5" xfId="2116"/>
    <cellStyle name="Explanatory Text 4 5 2" xfId="19199"/>
    <cellStyle name="Explanatory Text 4 5 3" xfId="19198"/>
    <cellStyle name="Explanatory Text 4 6" xfId="2490"/>
    <cellStyle name="Explanatory Text 4 6 2" xfId="19201"/>
    <cellStyle name="Explanatory Text 4 6 3" xfId="19200"/>
    <cellStyle name="Explanatory Text 4 7" xfId="2862"/>
    <cellStyle name="Explanatory Text 4 7 2" xfId="19203"/>
    <cellStyle name="Explanatory Text 4 7 3" xfId="19202"/>
    <cellStyle name="Explanatory Text 4 8" xfId="3233"/>
    <cellStyle name="Explanatory Text 4 8 2" xfId="19205"/>
    <cellStyle name="Explanatory Text 4 8 3" xfId="19204"/>
    <cellStyle name="Explanatory Text 4 9" xfId="3609"/>
    <cellStyle name="Explanatory Text 4 9 2" xfId="19207"/>
    <cellStyle name="Explanatory Text 4 9 3" xfId="19206"/>
    <cellStyle name="Explanatory Text 5" xfId="467"/>
    <cellStyle name="Explanatory Text 5 2" xfId="1869"/>
    <cellStyle name="Explanatory Text 5 2 2" xfId="19210"/>
    <cellStyle name="Explanatory Text 5 2 3" xfId="19209"/>
    <cellStyle name="Explanatory Text 5 3" xfId="2244"/>
    <cellStyle name="Explanatory Text 5 3 2" xfId="19212"/>
    <cellStyle name="Explanatory Text 5 3 3" xfId="19211"/>
    <cellStyle name="Explanatory Text 5 4" xfId="2618"/>
    <cellStyle name="Explanatory Text 5 4 2" xfId="19214"/>
    <cellStyle name="Explanatory Text 5 4 3" xfId="19213"/>
    <cellStyle name="Explanatory Text 5 5" xfId="2990"/>
    <cellStyle name="Explanatory Text 5 5 2" xfId="19216"/>
    <cellStyle name="Explanatory Text 5 5 3" xfId="19215"/>
    <cellStyle name="Explanatory Text 5 6" xfId="3362"/>
    <cellStyle name="Explanatory Text 5 6 2" xfId="19218"/>
    <cellStyle name="Explanatory Text 5 6 3" xfId="19217"/>
    <cellStyle name="Explanatory Text 5 7" xfId="19219"/>
    <cellStyle name="Explanatory Text 5 7 2" xfId="19220"/>
    <cellStyle name="Explanatory Text 5 8" xfId="19221"/>
    <cellStyle name="Explanatory Text 5 9" xfId="19208"/>
    <cellStyle name="Explanatory Text 6" xfId="468"/>
    <cellStyle name="Explanatory Text 6 10" xfId="19222"/>
    <cellStyle name="Explanatory Text 6 2" xfId="1996"/>
    <cellStyle name="Explanatory Text 6 2 2" xfId="19224"/>
    <cellStyle name="Explanatory Text 6 2 3" xfId="19223"/>
    <cellStyle name="Explanatory Text 6 3" xfId="2371"/>
    <cellStyle name="Explanatory Text 6 3 2" xfId="19226"/>
    <cellStyle name="Explanatory Text 6 3 3" xfId="19225"/>
    <cellStyle name="Explanatory Text 6 4" xfId="2744"/>
    <cellStyle name="Explanatory Text 6 4 2" xfId="19228"/>
    <cellStyle name="Explanatory Text 6 4 3" xfId="19227"/>
    <cellStyle name="Explanatory Text 6 5" xfId="3117"/>
    <cellStyle name="Explanatory Text 6 5 2" xfId="19230"/>
    <cellStyle name="Explanatory Text 6 5 3" xfId="19229"/>
    <cellStyle name="Explanatory Text 6 6" xfId="3488"/>
    <cellStyle name="Explanatory Text 6 6 2" xfId="19232"/>
    <cellStyle name="Explanatory Text 6 6 3" xfId="19231"/>
    <cellStyle name="Explanatory Text 6 7" xfId="3794"/>
    <cellStyle name="Explanatory Text 6 7 2" xfId="19234"/>
    <cellStyle name="Explanatory Text 6 7 3" xfId="19233"/>
    <cellStyle name="Explanatory Text 6 8" xfId="19235"/>
    <cellStyle name="Explanatory Text 6 8 2" xfId="19236"/>
    <cellStyle name="Explanatory Text 6 9" xfId="19237"/>
    <cellStyle name="Explanatory Text 7" xfId="469"/>
    <cellStyle name="Explanatory Text 7 2" xfId="19239"/>
    <cellStyle name="Explanatory Text 7 3" xfId="19238"/>
    <cellStyle name="Explanatory Text 8" xfId="601"/>
    <cellStyle name="Explanatory Text 8 2" xfId="19241"/>
    <cellStyle name="Explanatory Text 8 3" xfId="19240"/>
    <cellStyle name="Explanatory Text 9" xfId="602"/>
    <cellStyle name="Explanatory Text 9 2" xfId="19243"/>
    <cellStyle name="Explanatory Text 9 3" xfId="19242"/>
    <cellStyle name="F2" xfId="24778"/>
    <cellStyle name="F3" xfId="24779"/>
    <cellStyle name="F4" xfId="24780"/>
    <cellStyle name="F5" xfId="24781"/>
    <cellStyle name="F6" xfId="24782"/>
    <cellStyle name="F7" xfId="24783"/>
    <cellStyle name="F8" xfId="24784"/>
    <cellStyle name="Fixed" xfId="24785"/>
    <cellStyle name="Good 10" xfId="752"/>
    <cellStyle name="Good 10 2" xfId="19246"/>
    <cellStyle name="Good 10 3" xfId="19245"/>
    <cellStyle name="Good 11" xfId="753"/>
    <cellStyle name="Good 11 2" xfId="19248"/>
    <cellStyle name="Good 11 3" xfId="19247"/>
    <cellStyle name="Good 12" xfId="882"/>
    <cellStyle name="Good 12 2" xfId="19249"/>
    <cellStyle name="Good 13" xfId="883"/>
    <cellStyle name="Good 13 2" xfId="19244"/>
    <cellStyle name="Good 14" xfId="977"/>
    <cellStyle name="Good 2" xfId="97"/>
    <cellStyle name="Good 2 10" xfId="1695"/>
    <cellStyle name="Good 2 10 2" xfId="19252"/>
    <cellStyle name="Good 2 10 3" xfId="19251"/>
    <cellStyle name="Good 2 11" xfId="2030"/>
    <cellStyle name="Good 2 11 2" xfId="19254"/>
    <cellStyle name="Good 2 11 3" xfId="19253"/>
    <cellStyle name="Good 2 12" xfId="2404"/>
    <cellStyle name="Good 2 12 2" xfId="19256"/>
    <cellStyle name="Good 2 12 3" xfId="19255"/>
    <cellStyle name="Good 2 13" xfId="2777"/>
    <cellStyle name="Good 2 13 2" xfId="19258"/>
    <cellStyle name="Good 2 13 3" xfId="19257"/>
    <cellStyle name="Good 2 14" xfId="3151"/>
    <cellStyle name="Good 2 14 2" xfId="19260"/>
    <cellStyle name="Good 2 14 3" xfId="19259"/>
    <cellStyle name="Good 2 15" xfId="3522"/>
    <cellStyle name="Good 2 15 2" xfId="19262"/>
    <cellStyle name="Good 2 15 3" xfId="19261"/>
    <cellStyle name="Good 2 16" xfId="3660"/>
    <cellStyle name="Good 2 16 2" xfId="19264"/>
    <cellStyle name="Good 2 16 3" xfId="19263"/>
    <cellStyle name="Good 2 17" xfId="19265"/>
    <cellStyle name="Good 2 17 2" xfId="19266"/>
    <cellStyle name="Good 2 18" xfId="19267"/>
    <cellStyle name="Good 2 19" xfId="19250"/>
    <cellStyle name="Good 2 2" xfId="141"/>
    <cellStyle name="Good 2 2 2" xfId="158"/>
    <cellStyle name="Good 2 2 2 2" xfId="19270"/>
    <cellStyle name="Good 2 2 2 3" xfId="19269"/>
    <cellStyle name="Good 2 2 3" xfId="322"/>
    <cellStyle name="Good 2 2 3 2" xfId="19272"/>
    <cellStyle name="Good 2 2 3 3" xfId="19271"/>
    <cellStyle name="Good 2 2 4" xfId="2145"/>
    <cellStyle name="Good 2 2 4 2" xfId="19274"/>
    <cellStyle name="Good 2 2 4 3" xfId="19273"/>
    <cellStyle name="Good 2 2 5" xfId="2519"/>
    <cellStyle name="Good 2 2 5 2" xfId="19276"/>
    <cellStyle name="Good 2 2 5 3" xfId="19275"/>
    <cellStyle name="Good 2 2 6" xfId="2891"/>
    <cellStyle name="Good 2 2 6 2" xfId="19278"/>
    <cellStyle name="Good 2 2 6 3" xfId="19277"/>
    <cellStyle name="Good 2 2 7" xfId="3262"/>
    <cellStyle name="Good 2 2 7 2" xfId="19280"/>
    <cellStyle name="Good 2 2 7 3" xfId="19279"/>
    <cellStyle name="Good 2 2 8" xfId="19281"/>
    <cellStyle name="Good 2 2 9" xfId="19268"/>
    <cellStyle name="Good 2 20" xfId="24494"/>
    <cellStyle name="Good 2 3" xfId="306"/>
    <cellStyle name="Good 2 3 2" xfId="1321"/>
    <cellStyle name="Good 2 3 2 2" xfId="19283"/>
    <cellStyle name="Good 2 3 3" xfId="19282"/>
    <cellStyle name="Good 2 4" xfId="470"/>
    <cellStyle name="Good 2 4 2" xfId="19285"/>
    <cellStyle name="Good 2 4 3" xfId="19284"/>
    <cellStyle name="Good 2 5" xfId="603"/>
    <cellStyle name="Good 2 5 2" xfId="19287"/>
    <cellStyle name="Good 2 5 3" xfId="19286"/>
    <cellStyle name="Good 2 6" xfId="754"/>
    <cellStyle name="Good 2 6 2" xfId="19289"/>
    <cellStyle name="Good 2 6 3" xfId="19288"/>
    <cellStyle name="Good 2 7" xfId="755"/>
    <cellStyle name="Good 2 7 2" xfId="19291"/>
    <cellStyle name="Good 2 7 3" xfId="19290"/>
    <cellStyle name="Good 2 8" xfId="884"/>
    <cellStyle name="Good 2 8 2" xfId="1424"/>
    <cellStyle name="Good 2 8 2 2" xfId="19293"/>
    <cellStyle name="Good 2 8 3" xfId="19292"/>
    <cellStyle name="Good 2 9" xfId="978"/>
    <cellStyle name="Good 2 9 2" xfId="1553"/>
    <cellStyle name="Good 2 9 2 2" xfId="19295"/>
    <cellStyle name="Good 2 9 3" xfId="19294"/>
    <cellStyle name="Good 3" xfId="199"/>
    <cellStyle name="Good 3 10" xfId="3703"/>
    <cellStyle name="Good 3 10 2" xfId="19298"/>
    <cellStyle name="Good 3 10 3" xfId="19297"/>
    <cellStyle name="Good 3 11" xfId="19299"/>
    <cellStyle name="Good 3 11 2" xfId="19300"/>
    <cellStyle name="Good 3 12" xfId="19301"/>
    <cellStyle name="Good 3 13" xfId="19296"/>
    <cellStyle name="Good 3 2" xfId="1476"/>
    <cellStyle name="Good 3 2 2" xfId="1810"/>
    <cellStyle name="Good 3 2 2 2" xfId="19304"/>
    <cellStyle name="Good 3 2 2 3" xfId="19303"/>
    <cellStyle name="Good 3 2 3" xfId="2185"/>
    <cellStyle name="Good 3 2 3 2" xfId="19306"/>
    <cellStyle name="Good 3 2 3 3" xfId="19305"/>
    <cellStyle name="Good 3 2 4" xfId="2559"/>
    <cellStyle name="Good 3 2 4 2" xfId="19308"/>
    <cellStyle name="Good 3 2 4 3" xfId="19307"/>
    <cellStyle name="Good 3 2 5" xfId="2931"/>
    <cellStyle name="Good 3 2 5 2" xfId="19310"/>
    <cellStyle name="Good 3 2 5 3" xfId="19309"/>
    <cellStyle name="Good 3 2 6" xfId="3303"/>
    <cellStyle name="Good 3 2 6 2" xfId="19312"/>
    <cellStyle name="Good 3 2 6 3" xfId="19311"/>
    <cellStyle name="Good 3 2 7" xfId="19313"/>
    <cellStyle name="Good 3 2 8" xfId="19302"/>
    <cellStyle name="Good 3 3" xfId="1603"/>
    <cellStyle name="Good 3 3 2" xfId="1887"/>
    <cellStyle name="Good 3 3 2 2" xfId="19316"/>
    <cellStyle name="Good 3 3 2 3" xfId="19315"/>
    <cellStyle name="Good 3 3 3" xfId="2262"/>
    <cellStyle name="Good 3 3 3 2" xfId="19318"/>
    <cellStyle name="Good 3 3 3 3" xfId="19317"/>
    <cellStyle name="Good 3 3 4" xfId="2635"/>
    <cellStyle name="Good 3 3 4 2" xfId="19320"/>
    <cellStyle name="Good 3 3 4 3" xfId="19319"/>
    <cellStyle name="Good 3 3 5" xfId="3008"/>
    <cellStyle name="Good 3 3 5 2" xfId="19322"/>
    <cellStyle name="Good 3 3 5 3" xfId="19321"/>
    <cellStyle name="Good 3 3 6" xfId="3379"/>
    <cellStyle name="Good 3 3 6 2" xfId="19324"/>
    <cellStyle name="Good 3 3 6 3" xfId="19323"/>
    <cellStyle name="Good 3 3 7" xfId="19325"/>
    <cellStyle name="Good 3 3 8" xfId="19314"/>
    <cellStyle name="Good 3 4" xfId="1742"/>
    <cellStyle name="Good 3 4 2" xfId="1931"/>
    <cellStyle name="Good 3 4 2 2" xfId="19328"/>
    <cellStyle name="Good 3 4 2 3" xfId="19327"/>
    <cellStyle name="Good 3 4 3" xfId="2306"/>
    <cellStyle name="Good 3 4 3 2" xfId="19330"/>
    <cellStyle name="Good 3 4 3 3" xfId="19329"/>
    <cellStyle name="Good 3 4 4" xfId="2679"/>
    <cellStyle name="Good 3 4 4 2" xfId="19332"/>
    <cellStyle name="Good 3 4 4 3" xfId="19331"/>
    <cellStyle name="Good 3 4 5" xfId="3052"/>
    <cellStyle name="Good 3 4 5 2" xfId="19334"/>
    <cellStyle name="Good 3 4 5 3" xfId="19333"/>
    <cellStyle name="Good 3 4 6" xfId="3423"/>
    <cellStyle name="Good 3 4 6 2" xfId="19336"/>
    <cellStyle name="Good 3 4 6 3" xfId="19335"/>
    <cellStyle name="Good 3 4 7" xfId="19337"/>
    <cellStyle name="Good 3 4 8" xfId="19326"/>
    <cellStyle name="Good 3 5" xfId="2077"/>
    <cellStyle name="Good 3 5 2" xfId="19339"/>
    <cellStyle name="Good 3 5 3" xfId="19338"/>
    <cellStyle name="Good 3 6" xfId="2451"/>
    <cellStyle name="Good 3 6 2" xfId="19341"/>
    <cellStyle name="Good 3 6 3" xfId="19340"/>
    <cellStyle name="Good 3 7" xfId="2823"/>
    <cellStyle name="Good 3 7 2" xfId="19343"/>
    <cellStyle name="Good 3 7 3" xfId="19342"/>
    <cellStyle name="Good 3 8" xfId="3194"/>
    <cellStyle name="Good 3 8 2" xfId="19345"/>
    <cellStyle name="Good 3 8 3" xfId="19344"/>
    <cellStyle name="Good 3 9" xfId="3567"/>
    <cellStyle name="Good 3 9 2" xfId="19347"/>
    <cellStyle name="Good 3 9 3" xfId="19346"/>
    <cellStyle name="Good 4" xfId="263"/>
    <cellStyle name="Good 4 10" xfId="3747"/>
    <cellStyle name="Good 4 10 2" xfId="19350"/>
    <cellStyle name="Good 4 10 3" xfId="19349"/>
    <cellStyle name="Good 4 11" xfId="1281"/>
    <cellStyle name="Good 4 11 2" xfId="19352"/>
    <cellStyle name="Good 4 11 3" xfId="19351"/>
    <cellStyle name="Good 4 12" xfId="19353"/>
    <cellStyle name="Good 4 13" xfId="19348"/>
    <cellStyle name="Good 4 2" xfId="1521"/>
    <cellStyle name="Good 4 2 2" xfId="19355"/>
    <cellStyle name="Good 4 2 3" xfId="19354"/>
    <cellStyle name="Good 4 3" xfId="1646"/>
    <cellStyle name="Good 4 3 2" xfId="19357"/>
    <cellStyle name="Good 4 3 3" xfId="19356"/>
    <cellStyle name="Good 4 4" xfId="1780"/>
    <cellStyle name="Good 4 4 2" xfId="19359"/>
    <cellStyle name="Good 4 4 3" xfId="19358"/>
    <cellStyle name="Good 4 5" xfId="2115"/>
    <cellStyle name="Good 4 5 2" xfId="19361"/>
    <cellStyle name="Good 4 5 3" xfId="19360"/>
    <cellStyle name="Good 4 6" xfId="2489"/>
    <cellStyle name="Good 4 6 2" xfId="19363"/>
    <cellStyle name="Good 4 6 3" xfId="19362"/>
    <cellStyle name="Good 4 7" xfId="2861"/>
    <cellStyle name="Good 4 7 2" xfId="19365"/>
    <cellStyle name="Good 4 7 3" xfId="19364"/>
    <cellStyle name="Good 4 8" xfId="3232"/>
    <cellStyle name="Good 4 8 2" xfId="19367"/>
    <cellStyle name="Good 4 8 3" xfId="19366"/>
    <cellStyle name="Good 4 9" xfId="3610"/>
    <cellStyle name="Good 4 9 2" xfId="19369"/>
    <cellStyle name="Good 4 9 3" xfId="19368"/>
    <cellStyle name="Good 5" xfId="471"/>
    <cellStyle name="Good 5 2" xfId="1852"/>
    <cellStyle name="Good 5 2 2" xfId="19372"/>
    <cellStyle name="Good 5 2 3" xfId="19371"/>
    <cellStyle name="Good 5 3" xfId="2227"/>
    <cellStyle name="Good 5 3 2" xfId="19374"/>
    <cellStyle name="Good 5 3 3" xfId="19373"/>
    <cellStyle name="Good 5 4" xfId="2601"/>
    <cellStyle name="Good 5 4 2" xfId="19376"/>
    <cellStyle name="Good 5 4 3" xfId="19375"/>
    <cellStyle name="Good 5 5" xfId="2973"/>
    <cellStyle name="Good 5 5 2" xfId="19378"/>
    <cellStyle name="Good 5 5 3" xfId="19377"/>
    <cellStyle name="Good 5 6" xfId="3345"/>
    <cellStyle name="Good 5 6 2" xfId="19380"/>
    <cellStyle name="Good 5 6 3" xfId="19379"/>
    <cellStyle name="Good 5 7" xfId="19381"/>
    <cellStyle name="Good 5 7 2" xfId="19382"/>
    <cellStyle name="Good 5 8" xfId="19383"/>
    <cellStyle name="Good 5 9" xfId="19370"/>
    <cellStyle name="Good 6" xfId="472"/>
    <cellStyle name="Good 6 10" xfId="19384"/>
    <cellStyle name="Good 6 2" xfId="1997"/>
    <cellStyle name="Good 6 2 2" xfId="19386"/>
    <cellStyle name="Good 6 2 3" xfId="19385"/>
    <cellStyle name="Good 6 3" xfId="2372"/>
    <cellStyle name="Good 6 3 2" xfId="19388"/>
    <cellStyle name="Good 6 3 3" xfId="19387"/>
    <cellStyle name="Good 6 4" xfId="2745"/>
    <cellStyle name="Good 6 4 2" xfId="19390"/>
    <cellStyle name="Good 6 4 3" xfId="19389"/>
    <cellStyle name="Good 6 5" xfId="3118"/>
    <cellStyle name="Good 6 5 2" xfId="19392"/>
    <cellStyle name="Good 6 5 3" xfId="19391"/>
    <cellStyle name="Good 6 6" xfId="3489"/>
    <cellStyle name="Good 6 6 2" xfId="19394"/>
    <cellStyle name="Good 6 6 3" xfId="19393"/>
    <cellStyle name="Good 6 7" xfId="3795"/>
    <cellStyle name="Good 6 7 2" xfId="19396"/>
    <cellStyle name="Good 6 7 3" xfId="19395"/>
    <cellStyle name="Good 6 8" xfId="19397"/>
    <cellStyle name="Good 6 8 2" xfId="19398"/>
    <cellStyle name="Good 6 9" xfId="19399"/>
    <cellStyle name="Good 7" xfId="473"/>
    <cellStyle name="Good 7 2" xfId="19401"/>
    <cellStyle name="Good 7 3" xfId="19400"/>
    <cellStyle name="Good 8" xfId="604"/>
    <cellStyle name="Good 8 2" xfId="19403"/>
    <cellStyle name="Good 8 3" xfId="19402"/>
    <cellStyle name="Good 9" xfId="605"/>
    <cellStyle name="Good 9 2" xfId="19405"/>
    <cellStyle name="Good 9 3" xfId="19404"/>
    <cellStyle name="Heading 1 10" xfId="756"/>
    <cellStyle name="Heading 1 10 2" xfId="19408"/>
    <cellStyle name="Heading 1 10 3" xfId="19407"/>
    <cellStyle name="Heading 1 11" xfId="757"/>
    <cellStyle name="Heading 1 11 2" xfId="19410"/>
    <cellStyle name="Heading 1 11 3" xfId="19409"/>
    <cellStyle name="Heading 1 12" xfId="885"/>
    <cellStyle name="Heading 1 12 2" xfId="19411"/>
    <cellStyle name="Heading 1 13" xfId="886"/>
    <cellStyle name="Heading 1 13 2" xfId="19406"/>
    <cellStyle name="Heading 1 14" xfId="979"/>
    <cellStyle name="Heading 1 2" xfId="98"/>
    <cellStyle name="Heading 1 2 10" xfId="1696"/>
    <cellStyle name="Heading 1 2 10 2" xfId="19414"/>
    <cellStyle name="Heading 1 2 10 3" xfId="19413"/>
    <cellStyle name="Heading 1 2 11" xfId="2031"/>
    <cellStyle name="Heading 1 2 11 2" xfId="19416"/>
    <cellStyle name="Heading 1 2 11 3" xfId="19415"/>
    <cellStyle name="Heading 1 2 12" xfId="2405"/>
    <cellStyle name="Heading 1 2 12 2" xfId="19418"/>
    <cellStyle name="Heading 1 2 12 3" xfId="19417"/>
    <cellStyle name="Heading 1 2 13" xfId="2778"/>
    <cellStyle name="Heading 1 2 13 2" xfId="19420"/>
    <cellStyle name="Heading 1 2 13 3" xfId="19419"/>
    <cellStyle name="Heading 1 2 14" xfId="3152"/>
    <cellStyle name="Heading 1 2 14 2" xfId="19422"/>
    <cellStyle name="Heading 1 2 14 3" xfId="19421"/>
    <cellStyle name="Heading 1 2 15" xfId="3523"/>
    <cellStyle name="Heading 1 2 15 2" xfId="19424"/>
    <cellStyle name="Heading 1 2 15 3" xfId="19423"/>
    <cellStyle name="Heading 1 2 16" xfId="3661"/>
    <cellStyle name="Heading 1 2 16 2" xfId="19426"/>
    <cellStyle name="Heading 1 2 16 3" xfId="19425"/>
    <cellStyle name="Heading 1 2 17" xfId="19427"/>
    <cellStyle name="Heading 1 2 17 2" xfId="19428"/>
    <cellStyle name="Heading 1 2 18" xfId="19429"/>
    <cellStyle name="Heading 1 2 19" xfId="19412"/>
    <cellStyle name="Heading 1 2 2" xfId="142"/>
    <cellStyle name="Heading 1 2 2 2" xfId="154"/>
    <cellStyle name="Heading 1 2 2 2 2" xfId="19432"/>
    <cellStyle name="Heading 1 2 2 2 3" xfId="19431"/>
    <cellStyle name="Heading 1 2 2 3" xfId="318"/>
    <cellStyle name="Heading 1 2 2 3 2" xfId="19434"/>
    <cellStyle name="Heading 1 2 2 3 3" xfId="19433"/>
    <cellStyle name="Heading 1 2 2 4" xfId="2141"/>
    <cellStyle name="Heading 1 2 2 4 2" xfId="19436"/>
    <cellStyle name="Heading 1 2 2 4 3" xfId="19435"/>
    <cellStyle name="Heading 1 2 2 5" xfId="2515"/>
    <cellStyle name="Heading 1 2 2 5 2" xfId="19438"/>
    <cellStyle name="Heading 1 2 2 5 3" xfId="19437"/>
    <cellStyle name="Heading 1 2 2 6" xfId="2887"/>
    <cellStyle name="Heading 1 2 2 6 2" xfId="19440"/>
    <cellStyle name="Heading 1 2 2 6 3" xfId="19439"/>
    <cellStyle name="Heading 1 2 2 7" xfId="3258"/>
    <cellStyle name="Heading 1 2 2 7 2" xfId="19442"/>
    <cellStyle name="Heading 1 2 2 7 3" xfId="19441"/>
    <cellStyle name="Heading 1 2 2 8" xfId="19443"/>
    <cellStyle name="Heading 1 2 2 9" xfId="19430"/>
    <cellStyle name="Heading 1 2 20" xfId="24495"/>
    <cellStyle name="Heading 1 2 3" xfId="307"/>
    <cellStyle name="Heading 1 2 3 2" xfId="1317"/>
    <cellStyle name="Heading 1 2 3 2 2" xfId="19445"/>
    <cellStyle name="Heading 1 2 3 3" xfId="19444"/>
    <cellStyle name="Heading 1 2 4" xfId="474"/>
    <cellStyle name="Heading 1 2 4 2" xfId="19447"/>
    <cellStyle name="Heading 1 2 4 3" xfId="19446"/>
    <cellStyle name="Heading 1 2 5" xfId="606"/>
    <cellStyle name="Heading 1 2 5 2" xfId="19449"/>
    <cellStyle name="Heading 1 2 5 3" xfId="19448"/>
    <cellStyle name="Heading 1 2 6" xfId="758"/>
    <cellStyle name="Heading 1 2 6 2" xfId="19451"/>
    <cellStyle name="Heading 1 2 6 3" xfId="19450"/>
    <cellStyle name="Heading 1 2 7" xfId="759"/>
    <cellStyle name="Heading 1 2 7 2" xfId="19453"/>
    <cellStyle name="Heading 1 2 7 3" xfId="19452"/>
    <cellStyle name="Heading 1 2 8" xfId="887"/>
    <cellStyle name="Heading 1 2 8 2" xfId="1425"/>
    <cellStyle name="Heading 1 2 8 2 2" xfId="19455"/>
    <cellStyle name="Heading 1 2 8 3" xfId="19454"/>
    <cellStyle name="Heading 1 2 9" xfId="980"/>
    <cellStyle name="Heading 1 2 9 2" xfId="1552"/>
    <cellStyle name="Heading 1 2 9 2 2" xfId="19457"/>
    <cellStyle name="Heading 1 2 9 3" xfId="19456"/>
    <cellStyle name="Heading 1 3" xfId="195"/>
    <cellStyle name="Heading 1 3 10" xfId="3704"/>
    <cellStyle name="Heading 1 3 10 2" xfId="19460"/>
    <cellStyle name="Heading 1 3 10 3" xfId="19459"/>
    <cellStyle name="Heading 1 3 11" xfId="19461"/>
    <cellStyle name="Heading 1 3 11 2" xfId="19462"/>
    <cellStyle name="Heading 1 3 12" xfId="19463"/>
    <cellStyle name="Heading 1 3 13" xfId="19458"/>
    <cellStyle name="Heading 1 3 2" xfId="1477"/>
    <cellStyle name="Heading 1 3 2 2" xfId="1806"/>
    <cellStyle name="Heading 1 3 2 2 2" xfId="19466"/>
    <cellStyle name="Heading 1 3 2 2 3" xfId="19465"/>
    <cellStyle name="Heading 1 3 2 3" xfId="2181"/>
    <cellStyle name="Heading 1 3 2 3 2" xfId="19468"/>
    <cellStyle name="Heading 1 3 2 3 3" xfId="19467"/>
    <cellStyle name="Heading 1 3 2 4" xfId="2555"/>
    <cellStyle name="Heading 1 3 2 4 2" xfId="19470"/>
    <cellStyle name="Heading 1 3 2 4 3" xfId="19469"/>
    <cellStyle name="Heading 1 3 2 5" xfId="2927"/>
    <cellStyle name="Heading 1 3 2 5 2" xfId="19472"/>
    <cellStyle name="Heading 1 3 2 5 3" xfId="19471"/>
    <cellStyle name="Heading 1 3 2 6" xfId="3299"/>
    <cellStyle name="Heading 1 3 2 6 2" xfId="19474"/>
    <cellStyle name="Heading 1 3 2 6 3" xfId="19473"/>
    <cellStyle name="Heading 1 3 2 7" xfId="19475"/>
    <cellStyle name="Heading 1 3 2 8" xfId="19464"/>
    <cellStyle name="Heading 1 3 3" xfId="1604"/>
    <cellStyle name="Heading 1 3 3 2" xfId="1883"/>
    <cellStyle name="Heading 1 3 3 2 2" xfId="19478"/>
    <cellStyle name="Heading 1 3 3 2 3" xfId="19477"/>
    <cellStyle name="Heading 1 3 3 3" xfId="2258"/>
    <cellStyle name="Heading 1 3 3 3 2" xfId="19480"/>
    <cellStyle name="Heading 1 3 3 3 3" xfId="19479"/>
    <cellStyle name="Heading 1 3 3 4" xfId="2631"/>
    <cellStyle name="Heading 1 3 3 4 2" xfId="19482"/>
    <cellStyle name="Heading 1 3 3 4 3" xfId="19481"/>
    <cellStyle name="Heading 1 3 3 5" xfId="3004"/>
    <cellStyle name="Heading 1 3 3 5 2" xfId="19484"/>
    <cellStyle name="Heading 1 3 3 5 3" xfId="19483"/>
    <cellStyle name="Heading 1 3 3 6" xfId="3375"/>
    <cellStyle name="Heading 1 3 3 6 2" xfId="19486"/>
    <cellStyle name="Heading 1 3 3 6 3" xfId="19485"/>
    <cellStyle name="Heading 1 3 3 7" xfId="19487"/>
    <cellStyle name="Heading 1 3 3 8" xfId="19476"/>
    <cellStyle name="Heading 1 3 4" xfId="1743"/>
    <cellStyle name="Heading 1 3 4 2" xfId="1927"/>
    <cellStyle name="Heading 1 3 4 2 2" xfId="19490"/>
    <cellStyle name="Heading 1 3 4 2 3" xfId="19489"/>
    <cellStyle name="Heading 1 3 4 3" xfId="2302"/>
    <cellStyle name="Heading 1 3 4 3 2" xfId="19492"/>
    <cellStyle name="Heading 1 3 4 3 3" xfId="19491"/>
    <cellStyle name="Heading 1 3 4 4" xfId="2675"/>
    <cellStyle name="Heading 1 3 4 4 2" xfId="19494"/>
    <cellStyle name="Heading 1 3 4 4 3" xfId="19493"/>
    <cellStyle name="Heading 1 3 4 5" xfId="3048"/>
    <cellStyle name="Heading 1 3 4 5 2" xfId="19496"/>
    <cellStyle name="Heading 1 3 4 5 3" xfId="19495"/>
    <cellStyle name="Heading 1 3 4 6" xfId="3419"/>
    <cellStyle name="Heading 1 3 4 6 2" xfId="19498"/>
    <cellStyle name="Heading 1 3 4 6 3" xfId="19497"/>
    <cellStyle name="Heading 1 3 4 7" xfId="19499"/>
    <cellStyle name="Heading 1 3 4 8" xfId="19488"/>
    <cellStyle name="Heading 1 3 5" xfId="2078"/>
    <cellStyle name="Heading 1 3 5 2" xfId="19501"/>
    <cellStyle name="Heading 1 3 5 3" xfId="19500"/>
    <cellStyle name="Heading 1 3 6" xfId="2452"/>
    <cellStyle name="Heading 1 3 6 2" xfId="19503"/>
    <cellStyle name="Heading 1 3 6 3" xfId="19502"/>
    <cellStyle name="Heading 1 3 7" xfId="2824"/>
    <cellStyle name="Heading 1 3 7 2" xfId="19505"/>
    <cellStyle name="Heading 1 3 7 3" xfId="19504"/>
    <cellStyle name="Heading 1 3 8" xfId="3195"/>
    <cellStyle name="Heading 1 3 8 2" xfId="19507"/>
    <cellStyle name="Heading 1 3 8 3" xfId="19506"/>
    <cellStyle name="Heading 1 3 9" xfId="3568"/>
    <cellStyle name="Heading 1 3 9 2" xfId="19509"/>
    <cellStyle name="Heading 1 3 9 3" xfId="19508"/>
    <cellStyle name="Heading 1 4" xfId="264"/>
    <cellStyle name="Heading 1 4 10" xfId="3748"/>
    <cellStyle name="Heading 1 4 10 2" xfId="19512"/>
    <cellStyle name="Heading 1 4 10 3" xfId="19511"/>
    <cellStyle name="Heading 1 4 11" xfId="1277"/>
    <cellStyle name="Heading 1 4 11 2" xfId="19514"/>
    <cellStyle name="Heading 1 4 11 3" xfId="19513"/>
    <cellStyle name="Heading 1 4 12" xfId="19515"/>
    <cellStyle name="Heading 1 4 13" xfId="19510"/>
    <cellStyle name="Heading 1 4 2" xfId="1522"/>
    <cellStyle name="Heading 1 4 2 2" xfId="19517"/>
    <cellStyle name="Heading 1 4 2 3" xfId="19516"/>
    <cellStyle name="Heading 1 4 3" xfId="1647"/>
    <cellStyle name="Heading 1 4 3 2" xfId="19519"/>
    <cellStyle name="Heading 1 4 3 3" xfId="19518"/>
    <cellStyle name="Heading 1 4 4" xfId="1779"/>
    <cellStyle name="Heading 1 4 4 2" xfId="19521"/>
    <cellStyle name="Heading 1 4 4 3" xfId="19520"/>
    <cellStyle name="Heading 1 4 5" xfId="2114"/>
    <cellStyle name="Heading 1 4 5 2" xfId="19523"/>
    <cellStyle name="Heading 1 4 5 3" xfId="19522"/>
    <cellStyle name="Heading 1 4 6" xfId="2488"/>
    <cellStyle name="Heading 1 4 6 2" xfId="19525"/>
    <cellStyle name="Heading 1 4 6 3" xfId="19524"/>
    <cellStyle name="Heading 1 4 7" xfId="2860"/>
    <cellStyle name="Heading 1 4 7 2" xfId="19527"/>
    <cellStyle name="Heading 1 4 7 3" xfId="19526"/>
    <cellStyle name="Heading 1 4 8" xfId="3231"/>
    <cellStyle name="Heading 1 4 8 2" xfId="19529"/>
    <cellStyle name="Heading 1 4 8 3" xfId="19528"/>
    <cellStyle name="Heading 1 4 9" xfId="3611"/>
    <cellStyle name="Heading 1 4 9 2" xfId="19531"/>
    <cellStyle name="Heading 1 4 9 3" xfId="19530"/>
    <cellStyle name="Heading 1 5" xfId="475"/>
    <cellStyle name="Heading 1 5 2" xfId="1872"/>
    <cellStyle name="Heading 1 5 2 2" xfId="19534"/>
    <cellStyle name="Heading 1 5 2 3" xfId="19533"/>
    <cellStyle name="Heading 1 5 3" xfId="2247"/>
    <cellStyle name="Heading 1 5 3 2" xfId="19536"/>
    <cellStyle name="Heading 1 5 3 3" xfId="19535"/>
    <cellStyle name="Heading 1 5 4" xfId="2621"/>
    <cellStyle name="Heading 1 5 4 2" xfId="19538"/>
    <cellStyle name="Heading 1 5 4 3" xfId="19537"/>
    <cellStyle name="Heading 1 5 5" xfId="2993"/>
    <cellStyle name="Heading 1 5 5 2" xfId="19540"/>
    <cellStyle name="Heading 1 5 5 3" xfId="19539"/>
    <cellStyle name="Heading 1 5 6" xfId="3365"/>
    <cellStyle name="Heading 1 5 6 2" xfId="19542"/>
    <cellStyle name="Heading 1 5 6 3" xfId="19541"/>
    <cellStyle name="Heading 1 5 7" xfId="19543"/>
    <cellStyle name="Heading 1 5 7 2" xfId="19544"/>
    <cellStyle name="Heading 1 5 8" xfId="19545"/>
    <cellStyle name="Heading 1 5 9" xfId="19532"/>
    <cellStyle name="Heading 1 6" xfId="476"/>
    <cellStyle name="Heading 1 6 10" xfId="19546"/>
    <cellStyle name="Heading 1 6 2" xfId="1998"/>
    <cellStyle name="Heading 1 6 2 2" xfId="19548"/>
    <cellStyle name="Heading 1 6 2 3" xfId="19547"/>
    <cellStyle name="Heading 1 6 3" xfId="2373"/>
    <cellStyle name="Heading 1 6 3 2" xfId="19550"/>
    <cellStyle name="Heading 1 6 3 3" xfId="19549"/>
    <cellStyle name="Heading 1 6 4" xfId="2746"/>
    <cellStyle name="Heading 1 6 4 2" xfId="19552"/>
    <cellStyle name="Heading 1 6 4 3" xfId="19551"/>
    <cellStyle name="Heading 1 6 5" xfId="3119"/>
    <cellStyle name="Heading 1 6 5 2" xfId="19554"/>
    <cellStyle name="Heading 1 6 5 3" xfId="19553"/>
    <cellStyle name="Heading 1 6 6" xfId="3490"/>
    <cellStyle name="Heading 1 6 6 2" xfId="19556"/>
    <cellStyle name="Heading 1 6 6 3" xfId="19555"/>
    <cellStyle name="Heading 1 6 7" xfId="3796"/>
    <cellStyle name="Heading 1 6 7 2" xfId="19558"/>
    <cellStyle name="Heading 1 6 7 3" xfId="19557"/>
    <cellStyle name="Heading 1 6 8" xfId="19559"/>
    <cellStyle name="Heading 1 6 8 2" xfId="19560"/>
    <cellStyle name="Heading 1 6 9" xfId="19561"/>
    <cellStyle name="Heading 1 7" xfId="477"/>
    <cellStyle name="Heading 1 7 2" xfId="19563"/>
    <cellStyle name="Heading 1 7 3" xfId="19562"/>
    <cellStyle name="Heading 1 8" xfId="607"/>
    <cellStyle name="Heading 1 8 2" xfId="19565"/>
    <cellStyle name="Heading 1 8 3" xfId="19564"/>
    <cellStyle name="Heading 1 9" xfId="608"/>
    <cellStyle name="Heading 1 9 2" xfId="19567"/>
    <cellStyle name="Heading 1 9 3" xfId="19566"/>
    <cellStyle name="Heading 2 10" xfId="760"/>
    <cellStyle name="Heading 2 10 2" xfId="19570"/>
    <cellStyle name="Heading 2 10 3" xfId="19569"/>
    <cellStyle name="Heading 2 11" xfId="761"/>
    <cellStyle name="Heading 2 11 2" xfId="19572"/>
    <cellStyle name="Heading 2 11 3" xfId="19571"/>
    <cellStyle name="Heading 2 12" xfId="888"/>
    <cellStyle name="Heading 2 12 2" xfId="19573"/>
    <cellStyle name="Heading 2 13" xfId="889"/>
    <cellStyle name="Heading 2 13 2" xfId="19568"/>
    <cellStyle name="Heading 2 14" xfId="981"/>
    <cellStyle name="Heading 2 2" xfId="99"/>
    <cellStyle name="Heading 2 2 10" xfId="1697"/>
    <cellStyle name="Heading 2 2 10 2" xfId="19576"/>
    <cellStyle name="Heading 2 2 10 3" xfId="19575"/>
    <cellStyle name="Heading 2 2 11" xfId="2032"/>
    <cellStyle name="Heading 2 2 11 2" xfId="19578"/>
    <cellStyle name="Heading 2 2 11 3" xfId="19577"/>
    <cellStyle name="Heading 2 2 12" xfId="2406"/>
    <cellStyle name="Heading 2 2 12 2" xfId="19580"/>
    <cellStyle name="Heading 2 2 12 3" xfId="19579"/>
    <cellStyle name="Heading 2 2 13" xfId="2779"/>
    <cellStyle name="Heading 2 2 13 2" xfId="19582"/>
    <cellStyle name="Heading 2 2 13 3" xfId="19581"/>
    <cellStyle name="Heading 2 2 14" xfId="3153"/>
    <cellStyle name="Heading 2 2 14 2" xfId="19584"/>
    <cellStyle name="Heading 2 2 14 3" xfId="19583"/>
    <cellStyle name="Heading 2 2 15" xfId="3524"/>
    <cellStyle name="Heading 2 2 15 2" xfId="19586"/>
    <cellStyle name="Heading 2 2 15 3" xfId="19585"/>
    <cellStyle name="Heading 2 2 16" xfId="3662"/>
    <cellStyle name="Heading 2 2 16 2" xfId="19588"/>
    <cellStyle name="Heading 2 2 16 3" xfId="19587"/>
    <cellStyle name="Heading 2 2 17" xfId="19589"/>
    <cellStyle name="Heading 2 2 17 2" xfId="19590"/>
    <cellStyle name="Heading 2 2 18" xfId="19591"/>
    <cellStyle name="Heading 2 2 19" xfId="19574"/>
    <cellStyle name="Heading 2 2 2" xfId="143"/>
    <cellStyle name="Heading 2 2 2 2" xfId="155"/>
    <cellStyle name="Heading 2 2 2 2 2" xfId="19594"/>
    <cellStyle name="Heading 2 2 2 2 3" xfId="19593"/>
    <cellStyle name="Heading 2 2 2 3" xfId="319"/>
    <cellStyle name="Heading 2 2 2 3 2" xfId="19596"/>
    <cellStyle name="Heading 2 2 2 3 3" xfId="19595"/>
    <cellStyle name="Heading 2 2 2 4" xfId="2142"/>
    <cellStyle name="Heading 2 2 2 4 2" xfId="19598"/>
    <cellStyle name="Heading 2 2 2 4 3" xfId="19597"/>
    <cellStyle name="Heading 2 2 2 5" xfId="2516"/>
    <cellStyle name="Heading 2 2 2 5 2" xfId="19600"/>
    <cellStyle name="Heading 2 2 2 5 3" xfId="19599"/>
    <cellStyle name="Heading 2 2 2 6" xfId="2888"/>
    <cellStyle name="Heading 2 2 2 6 2" xfId="19602"/>
    <cellStyle name="Heading 2 2 2 6 3" xfId="19601"/>
    <cellStyle name="Heading 2 2 2 7" xfId="3259"/>
    <cellStyle name="Heading 2 2 2 7 2" xfId="19604"/>
    <cellStyle name="Heading 2 2 2 7 3" xfId="19603"/>
    <cellStyle name="Heading 2 2 2 8" xfId="19605"/>
    <cellStyle name="Heading 2 2 2 9" xfId="19592"/>
    <cellStyle name="Heading 2 2 20" xfId="24496"/>
    <cellStyle name="Heading 2 2 3" xfId="308"/>
    <cellStyle name="Heading 2 2 3 2" xfId="1318"/>
    <cellStyle name="Heading 2 2 3 2 2" xfId="19607"/>
    <cellStyle name="Heading 2 2 3 3" xfId="19606"/>
    <cellStyle name="Heading 2 2 4" xfId="478"/>
    <cellStyle name="Heading 2 2 4 2" xfId="19609"/>
    <cellStyle name="Heading 2 2 4 3" xfId="19608"/>
    <cellStyle name="Heading 2 2 5" xfId="609"/>
    <cellStyle name="Heading 2 2 5 2" xfId="19611"/>
    <cellStyle name="Heading 2 2 5 3" xfId="19610"/>
    <cellStyle name="Heading 2 2 6" xfId="762"/>
    <cellStyle name="Heading 2 2 6 2" xfId="19613"/>
    <cellStyle name="Heading 2 2 6 3" xfId="19612"/>
    <cellStyle name="Heading 2 2 7" xfId="763"/>
    <cellStyle name="Heading 2 2 7 2" xfId="19615"/>
    <cellStyle name="Heading 2 2 7 3" xfId="19614"/>
    <cellStyle name="Heading 2 2 8" xfId="890"/>
    <cellStyle name="Heading 2 2 8 2" xfId="1426"/>
    <cellStyle name="Heading 2 2 8 2 2" xfId="19617"/>
    <cellStyle name="Heading 2 2 8 3" xfId="19616"/>
    <cellStyle name="Heading 2 2 9" xfId="982"/>
    <cellStyle name="Heading 2 2 9 2" xfId="1551"/>
    <cellStyle name="Heading 2 2 9 2 2" xfId="19619"/>
    <cellStyle name="Heading 2 2 9 3" xfId="19618"/>
    <cellStyle name="Heading 2 3" xfId="196"/>
    <cellStyle name="Heading 2 3 10" xfId="3705"/>
    <cellStyle name="Heading 2 3 10 2" xfId="19622"/>
    <cellStyle name="Heading 2 3 10 3" xfId="19621"/>
    <cellStyle name="Heading 2 3 11" xfId="19623"/>
    <cellStyle name="Heading 2 3 11 2" xfId="19624"/>
    <cellStyle name="Heading 2 3 12" xfId="19625"/>
    <cellStyle name="Heading 2 3 13" xfId="19620"/>
    <cellStyle name="Heading 2 3 2" xfId="1478"/>
    <cellStyle name="Heading 2 3 2 2" xfId="1807"/>
    <cellStyle name="Heading 2 3 2 2 2" xfId="19628"/>
    <cellStyle name="Heading 2 3 2 2 3" xfId="19627"/>
    <cellStyle name="Heading 2 3 2 3" xfId="2182"/>
    <cellStyle name="Heading 2 3 2 3 2" xfId="19630"/>
    <cellStyle name="Heading 2 3 2 3 3" xfId="19629"/>
    <cellStyle name="Heading 2 3 2 4" xfId="2556"/>
    <cellStyle name="Heading 2 3 2 4 2" xfId="19632"/>
    <cellStyle name="Heading 2 3 2 4 3" xfId="19631"/>
    <cellStyle name="Heading 2 3 2 5" xfId="2928"/>
    <cellStyle name="Heading 2 3 2 5 2" xfId="19634"/>
    <cellStyle name="Heading 2 3 2 5 3" xfId="19633"/>
    <cellStyle name="Heading 2 3 2 6" xfId="3300"/>
    <cellStyle name="Heading 2 3 2 6 2" xfId="19636"/>
    <cellStyle name="Heading 2 3 2 6 3" xfId="19635"/>
    <cellStyle name="Heading 2 3 2 7" xfId="19637"/>
    <cellStyle name="Heading 2 3 2 8" xfId="19626"/>
    <cellStyle name="Heading 2 3 3" xfId="1605"/>
    <cellStyle name="Heading 2 3 3 2" xfId="1884"/>
    <cellStyle name="Heading 2 3 3 2 2" xfId="19640"/>
    <cellStyle name="Heading 2 3 3 2 3" xfId="19639"/>
    <cellStyle name="Heading 2 3 3 3" xfId="2259"/>
    <cellStyle name="Heading 2 3 3 3 2" xfId="19642"/>
    <cellStyle name="Heading 2 3 3 3 3" xfId="19641"/>
    <cellStyle name="Heading 2 3 3 4" xfId="2632"/>
    <cellStyle name="Heading 2 3 3 4 2" xfId="19644"/>
    <cellStyle name="Heading 2 3 3 4 3" xfId="19643"/>
    <cellStyle name="Heading 2 3 3 5" xfId="3005"/>
    <cellStyle name="Heading 2 3 3 5 2" xfId="19646"/>
    <cellStyle name="Heading 2 3 3 5 3" xfId="19645"/>
    <cellStyle name="Heading 2 3 3 6" xfId="3376"/>
    <cellStyle name="Heading 2 3 3 6 2" xfId="19648"/>
    <cellStyle name="Heading 2 3 3 6 3" xfId="19647"/>
    <cellStyle name="Heading 2 3 3 7" xfId="19649"/>
    <cellStyle name="Heading 2 3 3 8" xfId="19638"/>
    <cellStyle name="Heading 2 3 4" xfId="1744"/>
    <cellStyle name="Heading 2 3 4 2" xfId="1928"/>
    <cellStyle name="Heading 2 3 4 2 2" xfId="19652"/>
    <cellStyle name="Heading 2 3 4 2 3" xfId="19651"/>
    <cellStyle name="Heading 2 3 4 3" xfId="2303"/>
    <cellStyle name="Heading 2 3 4 3 2" xfId="19654"/>
    <cellStyle name="Heading 2 3 4 3 3" xfId="19653"/>
    <cellStyle name="Heading 2 3 4 4" xfId="2676"/>
    <cellStyle name="Heading 2 3 4 4 2" xfId="19656"/>
    <cellStyle name="Heading 2 3 4 4 3" xfId="19655"/>
    <cellStyle name="Heading 2 3 4 5" xfId="3049"/>
    <cellStyle name="Heading 2 3 4 5 2" xfId="19658"/>
    <cellStyle name="Heading 2 3 4 5 3" xfId="19657"/>
    <cellStyle name="Heading 2 3 4 6" xfId="3420"/>
    <cellStyle name="Heading 2 3 4 6 2" xfId="19660"/>
    <cellStyle name="Heading 2 3 4 6 3" xfId="19659"/>
    <cellStyle name="Heading 2 3 4 7" xfId="19661"/>
    <cellStyle name="Heading 2 3 4 8" xfId="19650"/>
    <cellStyle name="Heading 2 3 5" xfId="2079"/>
    <cellStyle name="Heading 2 3 5 2" xfId="19663"/>
    <cellStyle name="Heading 2 3 5 3" xfId="19662"/>
    <cellStyle name="Heading 2 3 6" xfId="2453"/>
    <cellStyle name="Heading 2 3 6 2" xfId="19665"/>
    <cellStyle name="Heading 2 3 6 3" xfId="19664"/>
    <cellStyle name="Heading 2 3 7" xfId="2825"/>
    <cellStyle name="Heading 2 3 7 2" xfId="19667"/>
    <cellStyle name="Heading 2 3 7 3" xfId="19666"/>
    <cellStyle name="Heading 2 3 8" xfId="3196"/>
    <cellStyle name="Heading 2 3 8 2" xfId="19669"/>
    <cellStyle name="Heading 2 3 8 3" xfId="19668"/>
    <cellStyle name="Heading 2 3 9" xfId="3569"/>
    <cellStyle name="Heading 2 3 9 2" xfId="19671"/>
    <cellStyle name="Heading 2 3 9 3" xfId="19670"/>
    <cellStyle name="Heading 2 4" xfId="265"/>
    <cellStyle name="Heading 2 4 10" xfId="3749"/>
    <cellStyle name="Heading 2 4 10 2" xfId="19674"/>
    <cellStyle name="Heading 2 4 10 3" xfId="19673"/>
    <cellStyle name="Heading 2 4 11" xfId="1278"/>
    <cellStyle name="Heading 2 4 11 2" xfId="19676"/>
    <cellStyle name="Heading 2 4 11 3" xfId="19675"/>
    <cellStyle name="Heading 2 4 12" xfId="19677"/>
    <cellStyle name="Heading 2 4 13" xfId="19672"/>
    <cellStyle name="Heading 2 4 2" xfId="1523"/>
    <cellStyle name="Heading 2 4 2 2" xfId="19679"/>
    <cellStyle name="Heading 2 4 2 3" xfId="19678"/>
    <cellStyle name="Heading 2 4 3" xfId="1648"/>
    <cellStyle name="Heading 2 4 3 2" xfId="19681"/>
    <cellStyle name="Heading 2 4 3 3" xfId="19680"/>
    <cellStyle name="Heading 2 4 4" xfId="1778"/>
    <cellStyle name="Heading 2 4 4 2" xfId="19683"/>
    <cellStyle name="Heading 2 4 4 3" xfId="19682"/>
    <cellStyle name="Heading 2 4 5" xfId="2113"/>
    <cellStyle name="Heading 2 4 5 2" xfId="19685"/>
    <cellStyle name="Heading 2 4 5 3" xfId="19684"/>
    <cellStyle name="Heading 2 4 6" xfId="2487"/>
    <cellStyle name="Heading 2 4 6 2" xfId="19687"/>
    <cellStyle name="Heading 2 4 6 3" xfId="19686"/>
    <cellStyle name="Heading 2 4 7" xfId="2859"/>
    <cellStyle name="Heading 2 4 7 2" xfId="19689"/>
    <cellStyle name="Heading 2 4 7 3" xfId="19688"/>
    <cellStyle name="Heading 2 4 8" xfId="3230"/>
    <cellStyle name="Heading 2 4 8 2" xfId="19691"/>
    <cellStyle name="Heading 2 4 8 3" xfId="19690"/>
    <cellStyle name="Heading 2 4 9" xfId="3612"/>
    <cellStyle name="Heading 2 4 9 2" xfId="19693"/>
    <cellStyle name="Heading 2 4 9 3" xfId="19692"/>
    <cellStyle name="Heading 2 5" xfId="479"/>
    <cellStyle name="Heading 2 5 2" xfId="1851"/>
    <cellStyle name="Heading 2 5 2 2" xfId="19696"/>
    <cellStyle name="Heading 2 5 2 3" xfId="19695"/>
    <cellStyle name="Heading 2 5 3" xfId="2226"/>
    <cellStyle name="Heading 2 5 3 2" xfId="19698"/>
    <cellStyle name="Heading 2 5 3 3" xfId="19697"/>
    <cellStyle name="Heading 2 5 4" xfId="2600"/>
    <cellStyle name="Heading 2 5 4 2" xfId="19700"/>
    <cellStyle name="Heading 2 5 4 3" xfId="19699"/>
    <cellStyle name="Heading 2 5 5" xfId="2972"/>
    <cellStyle name="Heading 2 5 5 2" xfId="19702"/>
    <cellStyle name="Heading 2 5 5 3" xfId="19701"/>
    <cellStyle name="Heading 2 5 6" xfId="3344"/>
    <cellStyle name="Heading 2 5 6 2" xfId="19704"/>
    <cellStyle name="Heading 2 5 6 3" xfId="19703"/>
    <cellStyle name="Heading 2 5 7" xfId="19705"/>
    <cellStyle name="Heading 2 5 7 2" xfId="19706"/>
    <cellStyle name="Heading 2 5 8" xfId="19707"/>
    <cellStyle name="Heading 2 5 9" xfId="19694"/>
    <cellStyle name="Heading 2 6" xfId="480"/>
    <cellStyle name="Heading 2 6 10" xfId="19708"/>
    <cellStyle name="Heading 2 6 2" xfId="1999"/>
    <cellStyle name="Heading 2 6 2 2" xfId="19710"/>
    <cellStyle name="Heading 2 6 2 3" xfId="19709"/>
    <cellStyle name="Heading 2 6 3" xfId="2374"/>
    <cellStyle name="Heading 2 6 3 2" xfId="19712"/>
    <cellStyle name="Heading 2 6 3 3" xfId="19711"/>
    <cellStyle name="Heading 2 6 4" xfId="2747"/>
    <cellStyle name="Heading 2 6 4 2" xfId="19714"/>
    <cellStyle name="Heading 2 6 4 3" xfId="19713"/>
    <cellStyle name="Heading 2 6 5" xfId="3120"/>
    <cellStyle name="Heading 2 6 5 2" xfId="19716"/>
    <cellStyle name="Heading 2 6 5 3" xfId="19715"/>
    <cellStyle name="Heading 2 6 6" xfId="3491"/>
    <cellStyle name="Heading 2 6 6 2" xfId="19718"/>
    <cellStyle name="Heading 2 6 6 3" xfId="19717"/>
    <cellStyle name="Heading 2 6 7" xfId="3797"/>
    <cellStyle name="Heading 2 6 7 2" xfId="19720"/>
    <cellStyle name="Heading 2 6 7 3" xfId="19719"/>
    <cellStyle name="Heading 2 6 8" xfId="19721"/>
    <cellStyle name="Heading 2 6 8 2" xfId="19722"/>
    <cellStyle name="Heading 2 6 9" xfId="19723"/>
    <cellStyle name="Heading 2 7" xfId="481"/>
    <cellStyle name="Heading 2 7 2" xfId="19725"/>
    <cellStyle name="Heading 2 7 3" xfId="19724"/>
    <cellStyle name="Heading 2 8" xfId="610"/>
    <cellStyle name="Heading 2 8 2" xfId="19727"/>
    <cellStyle name="Heading 2 8 3" xfId="19726"/>
    <cellStyle name="Heading 2 9" xfId="611"/>
    <cellStyle name="Heading 2 9 2" xfId="19729"/>
    <cellStyle name="Heading 2 9 3" xfId="19728"/>
    <cellStyle name="Heading 3 10" xfId="764"/>
    <cellStyle name="Heading 3 10 2" xfId="19732"/>
    <cellStyle name="Heading 3 10 3" xfId="19731"/>
    <cellStyle name="Heading 3 11" xfId="765"/>
    <cellStyle name="Heading 3 11 2" xfId="19734"/>
    <cellStyle name="Heading 3 11 3" xfId="19733"/>
    <cellStyle name="Heading 3 12" xfId="891"/>
    <cellStyle name="Heading 3 12 2" xfId="19735"/>
    <cellStyle name="Heading 3 13" xfId="892"/>
    <cellStyle name="Heading 3 13 2" xfId="19730"/>
    <cellStyle name="Heading 3 14" xfId="983"/>
    <cellStyle name="Heading 3 2" xfId="100"/>
    <cellStyle name="Heading 3 2 10" xfId="1698"/>
    <cellStyle name="Heading 3 2 10 2" xfId="19738"/>
    <cellStyle name="Heading 3 2 10 3" xfId="19737"/>
    <cellStyle name="Heading 3 2 11" xfId="2033"/>
    <cellStyle name="Heading 3 2 11 2" xfId="19740"/>
    <cellStyle name="Heading 3 2 11 3" xfId="19739"/>
    <cellStyle name="Heading 3 2 12" xfId="2407"/>
    <cellStyle name="Heading 3 2 12 2" xfId="19742"/>
    <cellStyle name="Heading 3 2 12 3" xfId="19741"/>
    <cellStyle name="Heading 3 2 13" xfId="2780"/>
    <cellStyle name="Heading 3 2 13 2" xfId="19744"/>
    <cellStyle name="Heading 3 2 13 3" xfId="19743"/>
    <cellStyle name="Heading 3 2 14" xfId="3154"/>
    <cellStyle name="Heading 3 2 14 2" xfId="19746"/>
    <cellStyle name="Heading 3 2 14 3" xfId="19745"/>
    <cellStyle name="Heading 3 2 15" xfId="3525"/>
    <cellStyle name="Heading 3 2 15 2" xfId="19748"/>
    <cellStyle name="Heading 3 2 15 3" xfId="19747"/>
    <cellStyle name="Heading 3 2 16" xfId="3663"/>
    <cellStyle name="Heading 3 2 16 2" xfId="19750"/>
    <cellStyle name="Heading 3 2 16 3" xfId="19749"/>
    <cellStyle name="Heading 3 2 17" xfId="19751"/>
    <cellStyle name="Heading 3 2 17 2" xfId="19752"/>
    <cellStyle name="Heading 3 2 18" xfId="19753"/>
    <cellStyle name="Heading 3 2 19" xfId="19736"/>
    <cellStyle name="Heading 3 2 2" xfId="144"/>
    <cellStyle name="Heading 3 2 2 2" xfId="156"/>
    <cellStyle name="Heading 3 2 2 2 2" xfId="19756"/>
    <cellStyle name="Heading 3 2 2 2 3" xfId="19755"/>
    <cellStyle name="Heading 3 2 2 3" xfId="320"/>
    <cellStyle name="Heading 3 2 2 3 2" xfId="19758"/>
    <cellStyle name="Heading 3 2 2 3 3" xfId="19757"/>
    <cellStyle name="Heading 3 2 2 4" xfId="2143"/>
    <cellStyle name="Heading 3 2 2 4 2" xfId="19760"/>
    <cellStyle name="Heading 3 2 2 4 3" xfId="19759"/>
    <cellStyle name="Heading 3 2 2 5" xfId="2517"/>
    <cellStyle name="Heading 3 2 2 5 2" xfId="19762"/>
    <cellStyle name="Heading 3 2 2 5 3" xfId="19761"/>
    <cellStyle name="Heading 3 2 2 6" xfId="2889"/>
    <cellStyle name="Heading 3 2 2 6 2" xfId="19764"/>
    <cellStyle name="Heading 3 2 2 6 3" xfId="19763"/>
    <cellStyle name="Heading 3 2 2 7" xfId="3260"/>
    <cellStyle name="Heading 3 2 2 7 2" xfId="19766"/>
    <cellStyle name="Heading 3 2 2 7 3" xfId="19765"/>
    <cellStyle name="Heading 3 2 2 8" xfId="19767"/>
    <cellStyle name="Heading 3 2 2 9" xfId="19754"/>
    <cellStyle name="Heading 3 2 20" xfId="24497"/>
    <cellStyle name="Heading 3 2 3" xfId="309"/>
    <cellStyle name="Heading 3 2 3 2" xfId="1319"/>
    <cellStyle name="Heading 3 2 3 2 2" xfId="19769"/>
    <cellStyle name="Heading 3 2 3 3" xfId="19768"/>
    <cellStyle name="Heading 3 2 4" xfId="482"/>
    <cellStyle name="Heading 3 2 4 2" xfId="19771"/>
    <cellStyle name="Heading 3 2 4 3" xfId="19770"/>
    <cellStyle name="Heading 3 2 5" xfId="612"/>
    <cellStyle name="Heading 3 2 5 2" xfId="19773"/>
    <cellStyle name="Heading 3 2 5 3" xfId="19772"/>
    <cellStyle name="Heading 3 2 6" xfId="766"/>
    <cellStyle name="Heading 3 2 6 2" xfId="19775"/>
    <cellStyle name="Heading 3 2 6 3" xfId="19774"/>
    <cellStyle name="Heading 3 2 7" xfId="767"/>
    <cellStyle name="Heading 3 2 7 2" xfId="19777"/>
    <cellStyle name="Heading 3 2 7 3" xfId="19776"/>
    <cellStyle name="Heading 3 2 8" xfId="893"/>
    <cellStyle name="Heading 3 2 8 2" xfId="1427"/>
    <cellStyle name="Heading 3 2 8 2 2" xfId="19779"/>
    <cellStyle name="Heading 3 2 8 3" xfId="19778"/>
    <cellStyle name="Heading 3 2 9" xfId="984"/>
    <cellStyle name="Heading 3 2 9 2" xfId="1550"/>
    <cellStyle name="Heading 3 2 9 2 2" xfId="19781"/>
    <cellStyle name="Heading 3 2 9 3" xfId="19780"/>
    <cellStyle name="Heading 3 3" xfId="197"/>
    <cellStyle name="Heading 3 3 10" xfId="3706"/>
    <cellStyle name="Heading 3 3 10 2" xfId="19784"/>
    <cellStyle name="Heading 3 3 10 3" xfId="19783"/>
    <cellStyle name="Heading 3 3 11" xfId="19785"/>
    <cellStyle name="Heading 3 3 11 2" xfId="19786"/>
    <cellStyle name="Heading 3 3 12" xfId="19787"/>
    <cellStyle name="Heading 3 3 13" xfId="19782"/>
    <cellStyle name="Heading 3 3 2" xfId="1479"/>
    <cellStyle name="Heading 3 3 2 2" xfId="1808"/>
    <cellStyle name="Heading 3 3 2 2 2" xfId="19790"/>
    <cellStyle name="Heading 3 3 2 2 3" xfId="19789"/>
    <cellStyle name="Heading 3 3 2 3" xfId="2183"/>
    <cellStyle name="Heading 3 3 2 3 2" xfId="19792"/>
    <cellStyle name="Heading 3 3 2 3 3" xfId="19791"/>
    <cellStyle name="Heading 3 3 2 4" xfId="2557"/>
    <cellStyle name="Heading 3 3 2 4 2" xfId="19794"/>
    <cellStyle name="Heading 3 3 2 4 3" xfId="19793"/>
    <cellStyle name="Heading 3 3 2 5" xfId="2929"/>
    <cellStyle name="Heading 3 3 2 5 2" xfId="19796"/>
    <cellStyle name="Heading 3 3 2 5 3" xfId="19795"/>
    <cellStyle name="Heading 3 3 2 6" xfId="3301"/>
    <cellStyle name="Heading 3 3 2 6 2" xfId="19798"/>
    <cellStyle name="Heading 3 3 2 6 3" xfId="19797"/>
    <cellStyle name="Heading 3 3 2 7" xfId="19799"/>
    <cellStyle name="Heading 3 3 2 8" xfId="19788"/>
    <cellStyle name="Heading 3 3 3" xfId="1606"/>
    <cellStyle name="Heading 3 3 3 2" xfId="1885"/>
    <cellStyle name="Heading 3 3 3 2 2" xfId="19802"/>
    <cellStyle name="Heading 3 3 3 2 3" xfId="19801"/>
    <cellStyle name="Heading 3 3 3 3" xfId="2260"/>
    <cellStyle name="Heading 3 3 3 3 2" xfId="19804"/>
    <cellStyle name="Heading 3 3 3 3 3" xfId="19803"/>
    <cellStyle name="Heading 3 3 3 4" xfId="2633"/>
    <cellStyle name="Heading 3 3 3 4 2" xfId="19806"/>
    <cellStyle name="Heading 3 3 3 4 3" xfId="19805"/>
    <cellStyle name="Heading 3 3 3 5" xfId="3006"/>
    <cellStyle name="Heading 3 3 3 5 2" xfId="19808"/>
    <cellStyle name="Heading 3 3 3 5 3" xfId="19807"/>
    <cellStyle name="Heading 3 3 3 6" xfId="3377"/>
    <cellStyle name="Heading 3 3 3 6 2" xfId="19810"/>
    <cellStyle name="Heading 3 3 3 6 3" xfId="19809"/>
    <cellStyle name="Heading 3 3 3 7" xfId="19811"/>
    <cellStyle name="Heading 3 3 3 8" xfId="19800"/>
    <cellStyle name="Heading 3 3 4" xfId="1745"/>
    <cellStyle name="Heading 3 3 4 2" xfId="1929"/>
    <cellStyle name="Heading 3 3 4 2 2" xfId="19814"/>
    <cellStyle name="Heading 3 3 4 2 3" xfId="19813"/>
    <cellStyle name="Heading 3 3 4 3" xfId="2304"/>
    <cellStyle name="Heading 3 3 4 3 2" xfId="19816"/>
    <cellStyle name="Heading 3 3 4 3 3" xfId="19815"/>
    <cellStyle name="Heading 3 3 4 4" xfId="2677"/>
    <cellStyle name="Heading 3 3 4 4 2" xfId="19818"/>
    <cellStyle name="Heading 3 3 4 4 3" xfId="19817"/>
    <cellStyle name="Heading 3 3 4 5" xfId="3050"/>
    <cellStyle name="Heading 3 3 4 5 2" xfId="19820"/>
    <cellStyle name="Heading 3 3 4 5 3" xfId="19819"/>
    <cellStyle name="Heading 3 3 4 6" xfId="3421"/>
    <cellStyle name="Heading 3 3 4 6 2" xfId="19822"/>
    <cellStyle name="Heading 3 3 4 6 3" xfId="19821"/>
    <cellStyle name="Heading 3 3 4 7" xfId="19823"/>
    <cellStyle name="Heading 3 3 4 8" xfId="19812"/>
    <cellStyle name="Heading 3 3 5" xfId="2080"/>
    <cellStyle name="Heading 3 3 5 2" xfId="19825"/>
    <cellStyle name="Heading 3 3 5 3" xfId="19824"/>
    <cellStyle name="Heading 3 3 6" xfId="2454"/>
    <cellStyle name="Heading 3 3 6 2" xfId="19827"/>
    <cellStyle name="Heading 3 3 6 3" xfId="19826"/>
    <cellStyle name="Heading 3 3 7" xfId="2826"/>
    <cellStyle name="Heading 3 3 7 2" xfId="19829"/>
    <cellStyle name="Heading 3 3 7 3" xfId="19828"/>
    <cellStyle name="Heading 3 3 8" xfId="3197"/>
    <cellStyle name="Heading 3 3 8 2" xfId="19831"/>
    <cellStyle name="Heading 3 3 8 3" xfId="19830"/>
    <cellStyle name="Heading 3 3 9" xfId="3570"/>
    <cellStyle name="Heading 3 3 9 2" xfId="19833"/>
    <cellStyle name="Heading 3 3 9 3" xfId="19832"/>
    <cellStyle name="Heading 3 4" xfId="266"/>
    <cellStyle name="Heading 3 4 10" xfId="3750"/>
    <cellStyle name="Heading 3 4 10 2" xfId="19836"/>
    <cellStyle name="Heading 3 4 10 3" xfId="19835"/>
    <cellStyle name="Heading 3 4 11" xfId="1279"/>
    <cellStyle name="Heading 3 4 11 2" xfId="19838"/>
    <cellStyle name="Heading 3 4 11 3" xfId="19837"/>
    <cellStyle name="Heading 3 4 12" xfId="19839"/>
    <cellStyle name="Heading 3 4 13" xfId="19834"/>
    <cellStyle name="Heading 3 4 2" xfId="1524"/>
    <cellStyle name="Heading 3 4 2 2" xfId="19841"/>
    <cellStyle name="Heading 3 4 2 3" xfId="19840"/>
    <cellStyle name="Heading 3 4 3" xfId="1649"/>
    <cellStyle name="Heading 3 4 3 2" xfId="19843"/>
    <cellStyle name="Heading 3 4 3 3" xfId="19842"/>
    <cellStyle name="Heading 3 4 4" xfId="1777"/>
    <cellStyle name="Heading 3 4 4 2" xfId="19845"/>
    <cellStyle name="Heading 3 4 4 3" xfId="19844"/>
    <cellStyle name="Heading 3 4 5" xfId="2112"/>
    <cellStyle name="Heading 3 4 5 2" xfId="19847"/>
    <cellStyle name="Heading 3 4 5 3" xfId="19846"/>
    <cellStyle name="Heading 3 4 6" xfId="2486"/>
    <cellStyle name="Heading 3 4 6 2" xfId="19849"/>
    <cellStyle name="Heading 3 4 6 3" xfId="19848"/>
    <cellStyle name="Heading 3 4 7" xfId="2858"/>
    <cellStyle name="Heading 3 4 7 2" xfId="19851"/>
    <cellStyle name="Heading 3 4 7 3" xfId="19850"/>
    <cellStyle name="Heading 3 4 8" xfId="3229"/>
    <cellStyle name="Heading 3 4 8 2" xfId="19853"/>
    <cellStyle name="Heading 3 4 8 3" xfId="19852"/>
    <cellStyle name="Heading 3 4 9" xfId="3613"/>
    <cellStyle name="Heading 3 4 9 2" xfId="19855"/>
    <cellStyle name="Heading 3 4 9 3" xfId="19854"/>
    <cellStyle name="Heading 3 5" xfId="483"/>
    <cellStyle name="Heading 3 5 2" xfId="1879"/>
    <cellStyle name="Heading 3 5 2 2" xfId="19858"/>
    <cellStyle name="Heading 3 5 2 3" xfId="19857"/>
    <cellStyle name="Heading 3 5 3" xfId="2254"/>
    <cellStyle name="Heading 3 5 3 2" xfId="19860"/>
    <cellStyle name="Heading 3 5 3 3" xfId="19859"/>
    <cellStyle name="Heading 3 5 4" xfId="2627"/>
    <cellStyle name="Heading 3 5 4 2" xfId="19862"/>
    <cellStyle name="Heading 3 5 4 3" xfId="19861"/>
    <cellStyle name="Heading 3 5 5" xfId="3000"/>
    <cellStyle name="Heading 3 5 5 2" xfId="19864"/>
    <cellStyle name="Heading 3 5 5 3" xfId="19863"/>
    <cellStyle name="Heading 3 5 6" xfId="3371"/>
    <cellStyle name="Heading 3 5 6 2" xfId="19866"/>
    <cellStyle name="Heading 3 5 6 3" xfId="19865"/>
    <cellStyle name="Heading 3 5 7" xfId="19867"/>
    <cellStyle name="Heading 3 5 7 2" xfId="19868"/>
    <cellStyle name="Heading 3 5 8" xfId="19869"/>
    <cellStyle name="Heading 3 5 9" xfId="19856"/>
    <cellStyle name="Heading 3 6" xfId="484"/>
    <cellStyle name="Heading 3 6 10" xfId="19870"/>
    <cellStyle name="Heading 3 6 2" xfId="2000"/>
    <cellStyle name="Heading 3 6 2 2" xfId="19872"/>
    <cellStyle name="Heading 3 6 2 3" xfId="19871"/>
    <cellStyle name="Heading 3 6 3" xfId="2375"/>
    <cellStyle name="Heading 3 6 3 2" xfId="19874"/>
    <cellStyle name="Heading 3 6 3 3" xfId="19873"/>
    <cellStyle name="Heading 3 6 4" xfId="2748"/>
    <cellStyle name="Heading 3 6 4 2" xfId="19876"/>
    <cellStyle name="Heading 3 6 4 3" xfId="19875"/>
    <cellStyle name="Heading 3 6 5" xfId="3121"/>
    <cellStyle name="Heading 3 6 5 2" xfId="19878"/>
    <cellStyle name="Heading 3 6 5 3" xfId="19877"/>
    <cellStyle name="Heading 3 6 6" xfId="3492"/>
    <cellStyle name="Heading 3 6 6 2" xfId="19880"/>
    <cellStyle name="Heading 3 6 6 3" xfId="19879"/>
    <cellStyle name="Heading 3 6 7" xfId="3798"/>
    <cellStyle name="Heading 3 6 7 2" xfId="19882"/>
    <cellStyle name="Heading 3 6 7 3" xfId="19881"/>
    <cellStyle name="Heading 3 6 8" xfId="19883"/>
    <cellStyle name="Heading 3 6 8 2" xfId="19884"/>
    <cellStyle name="Heading 3 6 9" xfId="19885"/>
    <cellStyle name="Heading 3 7" xfId="485"/>
    <cellStyle name="Heading 3 7 2" xfId="19887"/>
    <cellStyle name="Heading 3 7 3" xfId="19886"/>
    <cellStyle name="Heading 3 8" xfId="613"/>
    <cellStyle name="Heading 3 8 2" xfId="19889"/>
    <cellStyle name="Heading 3 8 3" xfId="19888"/>
    <cellStyle name="Heading 3 9" xfId="614"/>
    <cellStyle name="Heading 3 9 2" xfId="19891"/>
    <cellStyle name="Heading 3 9 3" xfId="19890"/>
    <cellStyle name="Heading 4 10" xfId="768"/>
    <cellStyle name="Heading 4 10 2" xfId="19894"/>
    <cellStyle name="Heading 4 10 3" xfId="19893"/>
    <cellStyle name="Heading 4 11" xfId="769"/>
    <cellStyle name="Heading 4 11 2" xfId="19896"/>
    <cellStyle name="Heading 4 11 3" xfId="19895"/>
    <cellStyle name="Heading 4 12" xfId="894"/>
    <cellStyle name="Heading 4 12 2" xfId="19897"/>
    <cellStyle name="Heading 4 13" xfId="895"/>
    <cellStyle name="Heading 4 13 2" xfId="19892"/>
    <cellStyle name="Heading 4 14" xfId="985"/>
    <cellStyle name="Heading 4 2" xfId="101"/>
    <cellStyle name="Heading 4 2 10" xfId="1699"/>
    <cellStyle name="Heading 4 2 10 2" xfId="19900"/>
    <cellStyle name="Heading 4 2 10 3" xfId="19899"/>
    <cellStyle name="Heading 4 2 11" xfId="2034"/>
    <cellStyle name="Heading 4 2 11 2" xfId="19902"/>
    <cellStyle name="Heading 4 2 11 3" xfId="19901"/>
    <cellStyle name="Heading 4 2 12" xfId="2408"/>
    <cellStyle name="Heading 4 2 12 2" xfId="19904"/>
    <cellStyle name="Heading 4 2 12 3" xfId="19903"/>
    <cellStyle name="Heading 4 2 13" xfId="2781"/>
    <cellStyle name="Heading 4 2 13 2" xfId="19906"/>
    <cellStyle name="Heading 4 2 13 3" xfId="19905"/>
    <cellStyle name="Heading 4 2 14" xfId="3155"/>
    <cellStyle name="Heading 4 2 14 2" xfId="19908"/>
    <cellStyle name="Heading 4 2 14 3" xfId="19907"/>
    <cellStyle name="Heading 4 2 15" xfId="3526"/>
    <cellStyle name="Heading 4 2 15 2" xfId="19910"/>
    <cellStyle name="Heading 4 2 15 3" xfId="19909"/>
    <cellStyle name="Heading 4 2 16" xfId="3664"/>
    <cellStyle name="Heading 4 2 16 2" xfId="19912"/>
    <cellStyle name="Heading 4 2 16 3" xfId="19911"/>
    <cellStyle name="Heading 4 2 17" xfId="19913"/>
    <cellStyle name="Heading 4 2 17 2" xfId="19914"/>
    <cellStyle name="Heading 4 2 18" xfId="19915"/>
    <cellStyle name="Heading 4 2 19" xfId="19898"/>
    <cellStyle name="Heading 4 2 2" xfId="145"/>
    <cellStyle name="Heading 4 2 2 2" xfId="157"/>
    <cellStyle name="Heading 4 2 2 2 2" xfId="19918"/>
    <cellStyle name="Heading 4 2 2 2 3" xfId="19917"/>
    <cellStyle name="Heading 4 2 2 3" xfId="321"/>
    <cellStyle name="Heading 4 2 2 3 2" xfId="19920"/>
    <cellStyle name="Heading 4 2 2 3 3" xfId="19919"/>
    <cellStyle name="Heading 4 2 2 4" xfId="2144"/>
    <cellStyle name="Heading 4 2 2 4 2" xfId="19922"/>
    <cellStyle name="Heading 4 2 2 4 3" xfId="19921"/>
    <cellStyle name="Heading 4 2 2 5" xfId="2518"/>
    <cellStyle name="Heading 4 2 2 5 2" xfId="19924"/>
    <cellStyle name="Heading 4 2 2 5 3" xfId="19923"/>
    <cellStyle name="Heading 4 2 2 6" xfId="2890"/>
    <cellStyle name="Heading 4 2 2 6 2" xfId="19926"/>
    <cellStyle name="Heading 4 2 2 6 3" xfId="19925"/>
    <cellStyle name="Heading 4 2 2 7" xfId="3261"/>
    <cellStyle name="Heading 4 2 2 7 2" xfId="19928"/>
    <cellStyle name="Heading 4 2 2 7 3" xfId="19927"/>
    <cellStyle name="Heading 4 2 2 8" xfId="19929"/>
    <cellStyle name="Heading 4 2 2 9" xfId="19916"/>
    <cellStyle name="Heading 4 2 20" xfId="24498"/>
    <cellStyle name="Heading 4 2 3" xfId="310"/>
    <cellStyle name="Heading 4 2 3 2" xfId="1320"/>
    <cellStyle name="Heading 4 2 3 2 2" xfId="19931"/>
    <cellStyle name="Heading 4 2 3 3" xfId="19930"/>
    <cellStyle name="Heading 4 2 4" xfId="486"/>
    <cellStyle name="Heading 4 2 4 2" xfId="19933"/>
    <cellStyle name="Heading 4 2 4 3" xfId="19932"/>
    <cellStyle name="Heading 4 2 5" xfId="615"/>
    <cellStyle name="Heading 4 2 5 2" xfId="19935"/>
    <cellStyle name="Heading 4 2 5 3" xfId="19934"/>
    <cellStyle name="Heading 4 2 6" xfId="770"/>
    <cellStyle name="Heading 4 2 6 2" xfId="19937"/>
    <cellStyle name="Heading 4 2 6 3" xfId="19936"/>
    <cellStyle name="Heading 4 2 7" xfId="771"/>
    <cellStyle name="Heading 4 2 7 2" xfId="19939"/>
    <cellStyle name="Heading 4 2 7 3" xfId="19938"/>
    <cellStyle name="Heading 4 2 8" xfId="896"/>
    <cellStyle name="Heading 4 2 8 2" xfId="1428"/>
    <cellStyle name="Heading 4 2 8 2 2" xfId="19941"/>
    <cellStyle name="Heading 4 2 8 3" xfId="19940"/>
    <cellStyle name="Heading 4 2 9" xfId="986"/>
    <cellStyle name="Heading 4 2 9 2" xfId="1549"/>
    <cellStyle name="Heading 4 2 9 2 2" xfId="19943"/>
    <cellStyle name="Heading 4 2 9 3" xfId="19942"/>
    <cellStyle name="Heading 4 3" xfId="198"/>
    <cellStyle name="Heading 4 3 10" xfId="3707"/>
    <cellStyle name="Heading 4 3 10 2" xfId="19946"/>
    <cellStyle name="Heading 4 3 10 3" xfId="19945"/>
    <cellStyle name="Heading 4 3 11" xfId="19947"/>
    <cellStyle name="Heading 4 3 11 2" xfId="19948"/>
    <cellStyle name="Heading 4 3 12" xfId="19949"/>
    <cellStyle name="Heading 4 3 13" xfId="19944"/>
    <cellStyle name="Heading 4 3 2" xfId="1480"/>
    <cellStyle name="Heading 4 3 2 2" xfId="1809"/>
    <cellStyle name="Heading 4 3 2 2 2" xfId="19952"/>
    <cellStyle name="Heading 4 3 2 2 3" xfId="19951"/>
    <cellStyle name="Heading 4 3 2 3" xfId="2184"/>
    <cellStyle name="Heading 4 3 2 3 2" xfId="19954"/>
    <cellStyle name="Heading 4 3 2 3 3" xfId="19953"/>
    <cellStyle name="Heading 4 3 2 4" xfId="2558"/>
    <cellStyle name="Heading 4 3 2 4 2" xfId="19956"/>
    <cellStyle name="Heading 4 3 2 4 3" xfId="19955"/>
    <cellStyle name="Heading 4 3 2 5" xfId="2930"/>
    <cellStyle name="Heading 4 3 2 5 2" xfId="19958"/>
    <cellStyle name="Heading 4 3 2 5 3" xfId="19957"/>
    <cellStyle name="Heading 4 3 2 6" xfId="3302"/>
    <cellStyle name="Heading 4 3 2 6 2" xfId="19960"/>
    <cellStyle name="Heading 4 3 2 6 3" xfId="19959"/>
    <cellStyle name="Heading 4 3 2 7" xfId="19961"/>
    <cellStyle name="Heading 4 3 2 8" xfId="19950"/>
    <cellStyle name="Heading 4 3 3" xfId="1607"/>
    <cellStyle name="Heading 4 3 3 2" xfId="1886"/>
    <cellStyle name="Heading 4 3 3 2 2" xfId="19964"/>
    <cellStyle name="Heading 4 3 3 2 3" xfId="19963"/>
    <cellStyle name="Heading 4 3 3 3" xfId="2261"/>
    <cellStyle name="Heading 4 3 3 3 2" xfId="19966"/>
    <cellStyle name="Heading 4 3 3 3 3" xfId="19965"/>
    <cellStyle name="Heading 4 3 3 4" xfId="2634"/>
    <cellStyle name="Heading 4 3 3 4 2" xfId="19968"/>
    <cellStyle name="Heading 4 3 3 4 3" xfId="19967"/>
    <cellStyle name="Heading 4 3 3 5" xfId="3007"/>
    <cellStyle name="Heading 4 3 3 5 2" xfId="19970"/>
    <cellStyle name="Heading 4 3 3 5 3" xfId="19969"/>
    <cellStyle name="Heading 4 3 3 6" xfId="3378"/>
    <cellStyle name="Heading 4 3 3 6 2" xfId="19972"/>
    <cellStyle name="Heading 4 3 3 6 3" xfId="19971"/>
    <cellStyle name="Heading 4 3 3 7" xfId="19973"/>
    <cellStyle name="Heading 4 3 3 8" xfId="19962"/>
    <cellStyle name="Heading 4 3 4" xfId="1746"/>
    <cellStyle name="Heading 4 3 4 2" xfId="1930"/>
    <cellStyle name="Heading 4 3 4 2 2" xfId="19976"/>
    <cellStyle name="Heading 4 3 4 2 3" xfId="19975"/>
    <cellStyle name="Heading 4 3 4 3" xfId="2305"/>
    <cellStyle name="Heading 4 3 4 3 2" xfId="19978"/>
    <cellStyle name="Heading 4 3 4 3 3" xfId="19977"/>
    <cellStyle name="Heading 4 3 4 4" xfId="2678"/>
    <cellStyle name="Heading 4 3 4 4 2" xfId="19980"/>
    <cellStyle name="Heading 4 3 4 4 3" xfId="19979"/>
    <cellStyle name="Heading 4 3 4 5" xfId="3051"/>
    <cellStyle name="Heading 4 3 4 5 2" xfId="19982"/>
    <cellStyle name="Heading 4 3 4 5 3" xfId="19981"/>
    <cellStyle name="Heading 4 3 4 6" xfId="3422"/>
    <cellStyle name="Heading 4 3 4 6 2" xfId="19984"/>
    <cellStyle name="Heading 4 3 4 6 3" xfId="19983"/>
    <cellStyle name="Heading 4 3 4 7" xfId="19985"/>
    <cellStyle name="Heading 4 3 4 8" xfId="19974"/>
    <cellStyle name="Heading 4 3 5" xfId="2081"/>
    <cellStyle name="Heading 4 3 5 2" xfId="19987"/>
    <cellStyle name="Heading 4 3 5 3" xfId="19986"/>
    <cellStyle name="Heading 4 3 6" xfId="2455"/>
    <cellStyle name="Heading 4 3 6 2" xfId="19989"/>
    <cellStyle name="Heading 4 3 6 3" xfId="19988"/>
    <cellStyle name="Heading 4 3 7" xfId="2827"/>
    <cellStyle name="Heading 4 3 7 2" xfId="19991"/>
    <cellStyle name="Heading 4 3 7 3" xfId="19990"/>
    <cellStyle name="Heading 4 3 8" xfId="3198"/>
    <cellStyle name="Heading 4 3 8 2" xfId="19993"/>
    <cellStyle name="Heading 4 3 8 3" xfId="19992"/>
    <cellStyle name="Heading 4 3 9" xfId="3571"/>
    <cellStyle name="Heading 4 3 9 2" xfId="19995"/>
    <cellStyle name="Heading 4 3 9 3" xfId="19994"/>
    <cellStyle name="Heading 4 4" xfId="267"/>
    <cellStyle name="Heading 4 4 10" xfId="3751"/>
    <cellStyle name="Heading 4 4 10 2" xfId="19998"/>
    <cellStyle name="Heading 4 4 10 3" xfId="19997"/>
    <cellStyle name="Heading 4 4 11" xfId="1280"/>
    <cellStyle name="Heading 4 4 11 2" xfId="20000"/>
    <cellStyle name="Heading 4 4 11 3" xfId="19999"/>
    <cellStyle name="Heading 4 4 12" xfId="20001"/>
    <cellStyle name="Heading 4 4 13" xfId="19996"/>
    <cellStyle name="Heading 4 4 2" xfId="1525"/>
    <cellStyle name="Heading 4 4 2 2" xfId="20003"/>
    <cellStyle name="Heading 4 4 2 3" xfId="20002"/>
    <cellStyle name="Heading 4 4 3" xfId="1650"/>
    <cellStyle name="Heading 4 4 3 2" xfId="20005"/>
    <cellStyle name="Heading 4 4 3 3" xfId="20004"/>
    <cellStyle name="Heading 4 4 4" xfId="1776"/>
    <cellStyle name="Heading 4 4 4 2" xfId="20007"/>
    <cellStyle name="Heading 4 4 4 3" xfId="20006"/>
    <cellStyle name="Heading 4 4 5" xfId="2111"/>
    <cellStyle name="Heading 4 4 5 2" xfId="20009"/>
    <cellStyle name="Heading 4 4 5 3" xfId="20008"/>
    <cellStyle name="Heading 4 4 6" xfId="2485"/>
    <cellStyle name="Heading 4 4 6 2" xfId="20011"/>
    <cellStyle name="Heading 4 4 6 3" xfId="20010"/>
    <cellStyle name="Heading 4 4 7" xfId="2857"/>
    <cellStyle name="Heading 4 4 7 2" xfId="20013"/>
    <cellStyle name="Heading 4 4 7 3" xfId="20012"/>
    <cellStyle name="Heading 4 4 8" xfId="3228"/>
    <cellStyle name="Heading 4 4 8 2" xfId="20015"/>
    <cellStyle name="Heading 4 4 8 3" xfId="20014"/>
    <cellStyle name="Heading 4 4 9" xfId="3614"/>
    <cellStyle name="Heading 4 4 9 2" xfId="20017"/>
    <cellStyle name="Heading 4 4 9 3" xfId="20016"/>
    <cellStyle name="Heading 4 5" xfId="487"/>
    <cellStyle name="Heading 4 5 2" xfId="1850"/>
    <cellStyle name="Heading 4 5 2 2" xfId="20020"/>
    <cellStyle name="Heading 4 5 2 3" xfId="20019"/>
    <cellStyle name="Heading 4 5 3" xfId="2225"/>
    <cellStyle name="Heading 4 5 3 2" xfId="20022"/>
    <cellStyle name="Heading 4 5 3 3" xfId="20021"/>
    <cellStyle name="Heading 4 5 4" xfId="2599"/>
    <cellStyle name="Heading 4 5 4 2" xfId="20024"/>
    <cellStyle name="Heading 4 5 4 3" xfId="20023"/>
    <cellStyle name="Heading 4 5 5" xfId="2971"/>
    <cellStyle name="Heading 4 5 5 2" xfId="20026"/>
    <cellStyle name="Heading 4 5 5 3" xfId="20025"/>
    <cellStyle name="Heading 4 5 6" xfId="3343"/>
    <cellStyle name="Heading 4 5 6 2" xfId="20028"/>
    <cellStyle name="Heading 4 5 6 3" xfId="20027"/>
    <cellStyle name="Heading 4 5 7" xfId="20029"/>
    <cellStyle name="Heading 4 5 7 2" xfId="20030"/>
    <cellStyle name="Heading 4 5 8" xfId="20031"/>
    <cellStyle name="Heading 4 5 9" xfId="20018"/>
    <cellStyle name="Heading 4 6" xfId="488"/>
    <cellStyle name="Heading 4 6 10" xfId="20032"/>
    <cellStyle name="Heading 4 6 2" xfId="2001"/>
    <cellStyle name="Heading 4 6 2 2" xfId="20034"/>
    <cellStyle name="Heading 4 6 2 3" xfId="20033"/>
    <cellStyle name="Heading 4 6 3" xfId="2376"/>
    <cellStyle name="Heading 4 6 3 2" xfId="20036"/>
    <cellStyle name="Heading 4 6 3 3" xfId="20035"/>
    <cellStyle name="Heading 4 6 4" xfId="2749"/>
    <cellStyle name="Heading 4 6 4 2" xfId="20038"/>
    <cellStyle name="Heading 4 6 4 3" xfId="20037"/>
    <cellStyle name="Heading 4 6 5" xfId="3122"/>
    <cellStyle name="Heading 4 6 5 2" xfId="20040"/>
    <cellStyle name="Heading 4 6 5 3" xfId="20039"/>
    <cellStyle name="Heading 4 6 6" xfId="3493"/>
    <cellStyle name="Heading 4 6 6 2" xfId="20042"/>
    <cellStyle name="Heading 4 6 6 3" xfId="20041"/>
    <cellStyle name="Heading 4 6 7" xfId="3799"/>
    <cellStyle name="Heading 4 6 7 2" xfId="20044"/>
    <cellStyle name="Heading 4 6 7 3" xfId="20043"/>
    <cellStyle name="Heading 4 6 8" xfId="20045"/>
    <cellStyle name="Heading 4 6 8 2" xfId="20046"/>
    <cellStyle name="Heading 4 6 9" xfId="20047"/>
    <cellStyle name="Heading 4 7" xfId="489"/>
    <cellStyle name="Heading 4 7 2" xfId="20049"/>
    <cellStyle name="Heading 4 7 3" xfId="20048"/>
    <cellStyle name="Heading 4 8" xfId="616"/>
    <cellStyle name="Heading 4 8 2" xfId="20051"/>
    <cellStyle name="Heading 4 8 3" xfId="20050"/>
    <cellStyle name="Heading 4 9" xfId="617"/>
    <cellStyle name="Heading 4 9 2" xfId="20053"/>
    <cellStyle name="Heading 4 9 3" xfId="20052"/>
    <cellStyle name="Hyperlink 2" xfId="146"/>
    <cellStyle name="Hyperlink 2 2" xfId="20055"/>
    <cellStyle name="Hyperlink 2 3" xfId="20054"/>
    <cellStyle name="Input 10" xfId="772"/>
    <cellStyle name="Input 10 2" xfId="20058"/>
    <cellStyle name="Input 10 3" xfId="20057"/>
    <cellStyle name="Input 11" xfId="773"/>
    <cellStyle name="Input 11 2" xfId="20060"/>
    <cellStyle name="Input 11 3" xfId="20059"/>
    <cellStyle name="Input 12" xfId="897"/>
    <cellStyle name="Input 12 2" xfId="20061"/>
    <cellStyle name="Input 13" xfId="898"/>
    <cellStyle name="Input 13 2" xfId="20056"/>
    <cellStyle name="Input 14" xfId="987"/>
    <cellStyle name="Input 2" xfId="102"/>
    <cellStyle name="Input 2 10" xfId="1700"/>
    <cellStyle name="Input 2 10 2" xfId="20064"/>
    <cellStyle name="Input 2 10 3" xfId="20063"/>
    <cellStyle name="Input 2 11" xfId="2035"/>
    <cellStyle name="Input 2 11 2" xfId="20066"/>
    <cellStyle name="Input 2 11 3" xfId="20065"/>
    <cellStyle name="Input 2 12" xfId="2409"/>
    <cellStyle name="Input 2 12 2" xfId="20068"/>
    <cellStyle name="Input 2 12 3" xfId="20067"/>
    <cellStyle name="Input 2 13" xfId="2782"/>
    <cellStyle name="Input 2 13 2" xfId="20070"/>
    <cellStyle name="Input 2 13 3" xfId="20069"/>
    <cellStyle name="Input 2 14" xfId="3156"/>
    <cellStyle name="Input 2 14 2" xfId="20072"/>
    <cellStyle name="Input 2 14 3" xfId="20071"/>
    <cellStyle name="Input 2 15" xfId="3527"/>
    <cellStyle name="Input 2 15 2" xfId="20074"/>
    <cellStyle name="Input 2 15 3" xfId="20073"/>
    <cellStyle name="Input 2 16" xfId="3665"/>
    <cellStyle name="Input 2 16 2" xfId="20076"/>
    <cellStyle name="Input 2 16 3" xfId="20075"/>
    <cellStyle name="Input 2 17" xfId="20077"/>
    <cellStyle name="Input 2 17 2" xfId="20078"/>
    <cellStyle name="Input 2 18" xfId="20079"/>
    <cellStyle name="Input 2 19" xfId="20062"/>
    <cellStyle name="Input 2 2" xfId="147"/>
    <cellStyle name="Input 2 2 10" xfId="24786"/>
    <cellStyle name="Input 2 2 2" xfId="161"/>
    <cellStyle name="Input 2 2 2 2" xfId="20082"/>
    <cellStyle name="Input 2 2 2 3" xfId="20081"/>
    <cellStyle name="Input 2 2 3" xfId="325"/>
    <cellStyle name="Input 2 2 3 2" xfId="20084"/>
    <cellStyle name="Input 2 2 3 3" xfId="20083"/>
    <cellStyle name="Input 2 2 4" xfId="2148"/>
    <cellStyle name="Input 2 2 4 2" xfId="20086"/>
    <cellStyle name="Input 2 2 4 3" xfId="20085"/>
    <cellStyle name="Input 2 2 5" xfId="2522"/>
    <cellStyle name="Input 2 2 5 2" xfId="20088"/>
    <cellStyle name="Input 2 2 5 3" xfId="20087"/>
    <cellStyle name="Input 2 2 6" xfId="2894"/>
    <cellStyle name="Input 2 2 6 2" xfId="20090"/>
    <cellStyle name="Input 2 2 6 3" xfId="20089"/>
    <cellStyle name="Input 2 2 7" xfId="3265"/>
    <cellStyle name="Input 2 2 7 2" xfId="20092"/>
    <cellStyle name="Input 2 2 7 3" xfId="20091"/>
    <cellStyle name="Input 2 2 8" xfId="20093"/>
    <cellStyle name="Input 2 2 9" xfId="20080"/>
    <cellStyle name="Input 2 20" xfId="24499"/>
    <cellStyle name="Input 2 3" xfId="311"/>
    <cellStyle name="Input 2 3 2" xfId="1324"/>
    <cellStyle name="Input 2 3 2 2" xfId="20095"/>
    <cellStyle name="Input 2 3 3" xfId="20094"/>
    <cellStyle name="Input 2 4" xfId="490"/>
    <cellStyle name="Input 2 4 2" xfId="20097"/>
    <cellStyle name="Input 2 4 3" xfId="20096"/>
    <cellStyle name="Input 2 5" xfId="618"/>
    <cellStyle name="Input 2 5 2" xfId="20099"/>
    <cellStyle name="Input 2 5 3" xfId="20098"/>
    <cellStyle name="Input 2 6" xfId="774"/>
    <cellStyle name="Input 2 6 2" xfId="20101"/>
    <cellStyle name="Input 2 6 3" xfId="20100"/>
    <cellStyle name="Input 2 7" xfId="775"/>
    <cellStyle name="Input 2 7 2" xfId="20103"/>
    <cellStyle name="Input 2 7 3" xfId="20102"/>
    <cellStyle name="Input 2 8" xfId="899"/>
    <cellStyle name="Input 2 8 2" xfId="1429"/>
    <cellStyle name="Input 2 8 2 2" xfId="20105"/>
    <cellStyle name="Input 2 8 3" xfId="20104"/>
    <cellStyle name="Input 2 9" xfId="988"/>
    <cellStyle name="Input 2 9 2" xfId="1548"/>
    <cellStyle name="Input 2 9 2 2" xfId="20107"/>
    <cellStyle name="Input 2 9 3" xfId="20106"/>
    <cellStyle name="Input 3" xfId="202"/>
    <cellStyle name="Input 3 10" xfId="3708"/>
    <cellStyle name="Input 3 10 2" xfId="20110"/>
    <cellStyle name="Input 3 10 3" xfId="20109"/>
    <cellStyle name="Input 3 11" xfId="20111"/>
    <cellStyle name="Input 3 11 2" xfId="20112"/>
    <cellStyle name="Input 3 12" xfId="20113"/>
    <cellStyle name="Input 3 13" xfId="20108"/>
    <cellStyle name="Input 3 14" xfId="24536"/>
    <cellStyle name="Input 3 2" xfId="1481"/>
    <cellStyle name="Input 3 2 2" xfId="1813"/>
    <cellStyle name="Input 3 2 2 2" xfId="20116"/>
    <cellStyle name="Input 3 2 2 3" xfId="20115"/>
    <cellStyle name="Input 3 2 3" xfId="2188"/>
    <cellStyle name="Input 3 2 3 2" xfId="20118"/>
    <cellStyle name="Input 3 2 3 3" xfId="20117"/>
    <cellStyle name="Input 3 2 4" xfId="2562"/>
    <cellStyle name="Input 3 2 4 2" xfId="20120"/>
    <cellStyle name="Input 3 2 4 3" xfId="20119"/>
    <cellStyle name="Input 3 2 5" xfId="2934"/>
    <cellStyle name="Input 3 2 5 2" xfId="20122"/>
    <cellStyle name="Input 3 2 5 3" xfId="20121"/>
    <cellStyle name="Input 3 2 6" xfId="3306"/>
    <cellStyle name="Input 3 2 6 2" xfId="20124"/>
    <cellStyle name="Input 3 2 6 3" xfId="20123"/>
    <cellStyle name="Input 3 2 7" xfId="20125"/>
    <cellStyle name="Input 3 2 8" xfId="20114"/>
    <cellStyle name="Input 3 3" xfId="1608"/>
    <cellStyle name="Input 3 3 2" xfId="1890"/>
    <cellStyle name="Input 3 3 2 2" xfId="20128"/>
    <cellStyle name="Input 3 3 2 3" xfId="20127"/>
    <cellStyle name="Input 3 3 3" xfId="2265"/>
    <cellStyle name="Input 3 3 3 2" xfId="20130"/>
    <cellStyle name="Input 3 3 3 3" xfId="20129"/>
    <cellStyle name="Input 3 3 4" xfId="2638"/>
    <cellStyle name="Input 3 3 4 2" xfId="20132"/>
    <cellStyle name="Input 3 3 4 3" xfId="20131"/>
    <cellStyle name="Input 3 3 5" xfId="3011"/>
    <cellStyle name="Input 3 3 5 2" xfId="20134"/>
    <cellStyle name="Input 3 3 5 3" xfId="20133"/>
    <cellStyle name="Input 3 3 6" xfId="3382"/>
    <cellStyle name="Input 3 3 6 2" xfId="20136"/>
    <cellStyle name="Input 3 3 6 3" xfId="20135"/>
    <cellStyle name="Input 3 3 7" xfId="20137"/>
    <cellStyle name="Input 3 3 8" xfId="20126"/>
    <cellStyle name="Input 3 4" xfId="1748"/>
    <cellStyle name="Input 3 4 2" xfId="1934"/>
    <cellStyle name="Input 3 4 2 2" xfId="20140"/>
    <cellStyle name="Input 3 4 2 3" xfId="20139"/>
    <cellStyle name="Input 3 4 3" xfId="2309"/>
    <cellStyle name="Input 3 4 3 2" xfId="20142"/>
    <cellStyle name="Input 3 4 3 3" xfId="20141"/>
    <cellStyle name="Input 3 4 4" xfId="2682"/>
    <cellStyle name="Input 3 4 4 2" xfId="20144"/>
    <cellStyle name="Input 3 4 4 3" xfId="20143"/>
    <cellStyle name="Input 3 4 5" xfId="3055"/>
    <cellStyle name="Input 3 4 5 2" xfId="20146"/>
    <cellStyle name="Input 3 4 5 3" xfId="20145"/>
    <cellStyle name="Input 3 4 6" xfId="3426"/>
    <cellStyle name="Input 3 4 6 2" xfId="20148"/>
    <cellStyle name="Input 3 4 6 3" xfId="20147"/>
    <cellStyle name="Input 3 4 7" xfId="20149"/>
    <cellStyle name="Input 3 4 8" xfId="20138"/>
    <cellStyle name="Input 3 5" xfId="2083"/>
    <cellStyle name="Input 3 5 2" xfId="20151"/>
    <cellStyle name="Input 3 5 3" xfId="20150"/>
    <cellStyle name="Input 3 6" xfId="2457"/>
    <cellStyle name="Input 3 6 2" xfId="20153"/>
    <cellStyle name="Input 3 6 3" xfId="20152"/>
    <cellStyle name="Input 3 7" xfId="2829"/>
    <cellStyle name="Input 3 7 2" xfId="20155"/>
    <cellStyle name="Input 3 7 3" xfId="20154"/>
    <cellStyle name="Input 3 8" xfId="3200"/>
    <cellStyle name="Input 3 8 2" xfId="20157"/>
    <cellStyle name="Input 3 8 3" xfId="20156"/>
    <cellStyle name="Input 3 9" xfId="3572"/>
    <cellStyle name="Input 3 9 2" xfId="20159"/>
    <cellStyle name="Input 3 9 3" xfId="20158"/>
    <cellStyle name="Input 4" xfId="268"/>
    <cellStyle name="Input 4 10" xfId="3752"/>
    <cellStyle name="Input 4 10 2" xfId="20162"/>
    <cellStyle name="Input 4 10 3" xfId="20161"/>
    <cellStyle name="Input 4 11" xfId="1284"/>
    <cellStyle name="Input 4 11 2" xfId="20164"/>
    <cellStyle name="Input 4 11 3" xfId="20163"/>
    <cellStyle name="Input 4 12" xfId="20165"/>
    <cellStyle name="Input 4 13" xfId="20160"/>
    <cellStyle name="Input 4 2" xfId="1526"/>
    <cellStyle name="Input 4 2 2" xfId="20167"/>
    <cellStyle name="Input 4 2 3" xfId="20166"/>
    <cellStyle name="Input 4 3" xfId="1651"/>
    <cellStyle name="Input 4 3 2" xfId="20169"/>
    <cellStyle name="Input 4 3 3" xfId="20168"/>
    <cellStyle name="Input 4 4" xfId="1774"/>
    <cellStyle name="Input 4 4 2" xfId="20171"/>
    <cellStyle name="Input 4 4 3" xfId="20170"/>
    <cellStyle name="Input 4 5" xfId="2109"/>
    <cellStyle name="Input 4 5 2" xfId="20173"/>
    <cellStyle name="Input 4 5 3" xfId="20172"/>
    <cellStyle name="Input 4 6" xfId="2483"/>
    <cellStyle name="Input 4 6 2" xfId="20175"/>
    <cellStyle name="Input 4 6 3" xfId="20174"/>
    <cellStyle name="Input 4 7" xfId="2855"/>
    <cellStyle name="Input 4 7 2" xfId="20177"/>
    <cellStyle name="Input 4 7 3" xfId="20176"/>
    <cellStyle name="Input 4 8" xfId="3226"/>
    <cellStyle name="Input 4 8 2" xfId="20179"/>
    <cellStyle name="Input 4 8 3" xfId="20178"/>
    <cellStyle name="Input 4 9" xfId="3615"/>
    <cellStyle name="Input 4 9 2" xfId="20181"/>
    <cellStyle name="Input 4 9 3" xfId="20180"/>
    <cellStyle name="Input 5" xfId="491"/>
    <cellStyle name="Input 5 2" xfId="1782"/>
    <cellStyle name="Input 5 2 2" xfId="20184"/>
    <cellStyle name="Input 5 2 3" xfId="20183"/>
    <cellStyle name="Input 5 3" xfId="2117"/>
    <cellStyle name="Input 5 3 2" xfId="20186"/>
    <cellStyle name="Input 5 3 3" xfId="20185"/>
    <cellStyle name="Input 5 4" xfId="2491"/>
    <cellStyle name="Input 5 4 2" xfId="20188"/>
    <cellStyle name="Input 5 4 3" xfId="20187"/>
    <cellStyle name="Input 5 5" xfId="2863"/>
    <cellStyle name="Input 5 5 2" xfId="20190"/>
    <cellStyle name="Input 5 5 3" xfId="20189"/>
    <cellStyle name="Input 5 6" xfId="3234"/>
    <cellStyle name="Input 5 6 2" xfId="20192"/>
    <cellStyle name="Input 5 6 3" xfId="20191"/>
    <cellStyle name="Input 5 7" xfId="20193"/>
    <cellStyle name="Input 5 7 2" xfId="20194"/>
    <cellStyle name="Input 5 8" xfId="20195"/>
    <cellStyle name="Input 5 9" xfId="20182"/>
    <cellStyle name="Input 6" xfId="492"/>
    <cellStyle name="Input 6 10" xfId="20196"/>
    <cellStyle name="Input 6 2" xfId="2002"/>
    <cellStyle name="Input 6 2 2" xfId="20198"/>
    <cellStyle name="Input 6 2 3" xfId="20197"/>
    <cellStyle name="Input 6 3" xfId="2377"/>
    <cellStyle name="Input 6 3 2" xfId="20200"/>
    <cellStyle name="Input 6 3 3" xfId="20199"/>
    <cellStyle name="Input 6 4" xfId="2750"/>
    <cellStyle name="Input 6 4 2" xfId="20202"/>
    <cellStyle name="Input 6 4 3" xfId="20201"/>
    <cellStyle name="Input 6 5" xfId="3123"/>
    <cellStyle name="Input 6 5 2" xfId="20204"/>
    <cellStyle name="Input 6 5 3" xfId="20203"/>
    <cellStyle name="Input 6 6" xfId="3494"/>
    <cellStyle name="Input 6 6 2" xfId="20206"/>
    <cellStyle name="Input 6 6 3" xfId="20205"/>
    <cellStyle name="Input 6 7" xfId="3800"/>
    <cellStyle name="Input 6 7 2" xfId="20208"/>
    <cellStyle name="Input 6 7 3" xfId="20207"/>
    <cellStyle name="Input 6 8" xfId="20209"/>
    <cellStyle name="Input 6 8 2" xfId="20210"/>
    <cellStyle name="Input 6 9" xfId="20211"/>
    <cellStyle name="Input 7" xfId="493"/>
    <cellStyle name="Input 7 2" xfId="20213"/>
    <cellStyle name="Input 7 3" xfId="20212"/>
    <cellStyle name="Input 8" xfId="619"/>
    <cellStyle name="Input 8 2" xfId="20215"/>
    <cellStyle name="Input 8 3" xfId="20214"/>
    <cellStyle name="Input 9" xfId="620"/>
    <cellStyle name="Input 9 2" xfId="20217"/>
    <cellStyle name="Input 9 3" xfId="20216"/>
    <cellStyle name="Linked Cell 10" xfId="776"/>
    <cellStyle name="Linked Cell 10 2" xfId="20220"/>
    <cellStyle name="Linked Cell 10 3" xfId="20219"/>
    <cellStyle name="Linked Cell 11" xfId="777"/>
    <cellStyle name="Linked Cell 11 2" xfId="20222"/>
    <cellStyle name="Linked Cell 11 3" xfId="20221"/>
    <cellStyle name="Linked Cell 12" xfId="900"/>
    <cellStyle name="Linked Cell 12 2" xfId="20223"/>
    <cellStyle name="Linked Cell 13" xfId="901"/>
    <cellStyle name="Linked Cell 13 2" xfId="20218"/>
    <cellStyle name="Linked Cell 14" xfId="989"/>
    <cellStyle name="Linked Cell 2" xfId="103"/>
    <cellStyle name="Linked Cell 2 10" xfId="1701"/>
    <cellStyle name="Linked Cell 2 10 2" xfId="20226"/>
    <cellStyle name="Linked Cell 2 10 3" xfId="20225"/>
    <cellStyle name="Linked Cell 2 11" xfId="2036"/>
    <cellStyle name="Linked Cell 2 11 2" xfId="20228"/>
    <cellStyle name="Linked Cell 2 11 3" xfId="20227"/>
    <cellStyle name="Linked Cell 2 12" xfId="2410"/>
    <cellStyle name="Linked Cell 2 12 2" xfId="20230"/>
    <cellStyle name="Linked Cell 2 12 3" xfId="20229"/>
    <cellStyle name="Linked Cell 2 13" xfId="2783"/>
    <cellStyle name="Linked Cell 2 13 2" xfId="20232"/>
    <cellStyle name="Linked Cell 2 13 3" xfId="20231"/>
    <cellStyle name="Linked Cell 2 14" xfId="3157"/>
    <cellStyle name="Linked Cell 2 14 2" xfId="20234"/>
    <cellStyle name="Linked Cell 2 14 3" xfId="20233"/>
    <cellStyle name="Linked Cell 2 15" xfId="3528"/>
    <cellStyle name="Linked Cell 2 15 2" xfId="20236"/>
    <cellStyle name="Linked Cell 2 15 3" xfId="20235"/>
    <cellStyle name="Linked Cell 2 16" xfId="3666"/>
    <cellStyle name="Linked Cell 2 16 2" xfId="20238"/>
    <cellStyle name="Linked Cell 2 16 3" xfId="20237"/>
    <cellStyle name="Linked Cell 2 17" xfId="20239"/>
    <cellStyle name="Linked Cell 2 17 2" xfId="20240"/>
    <cellStyle name="Linked Cell 2 18" xfId="20241"/>
    <cellStyle name="Linked Cell 2 19" xfId="20224"/>
    <cellStyle name="Linked Cell 2 2" xfId="148"/>
    <cellStyle name="Linked Cell 2 2 2" xfId="164"/>
    <cellStyle name="Linked Cell 2 2 2 2" xfId="20244"/>
    <cellStyle name="Linked Cell 2 2 2 3" xfId="20243"/>
    <cellStyle name="Linked Cell 2 2 3" xfId="328"/>
    <cellStyle name="Linked Cell 2 2 3 2" xfId="20246"/>
    <cellStyle name="Linked Cell 2 2 3 3" xfId="20245"/>
    <cellStyle name="Linked Cell 2 2 4" xfId="2151"/>
    <cellStyle name="Linked Cell 2 2 4 2" xfId="20248"/>
    <cellStyle name="Linked Cell 2 2 4 3" xfId="20247"/>
    <cellStyle name="Linked Cell 2 2 5" xfId="2525"/>
    <cellStyle name="Linked Cell 2 2 5 2" xfId="20250"/>
    <cellStyle name="Linked Cell 2 2 5 3" xfId="20249"/>
    <cellStyle name="Linked Cell 2 2 6" xfId="2897"/>
    <cellStyle name="Linked Cell 2 2 6 2" xfId="20252"/>
    <cellStyle name="Linked Cell 2 2 6 3" xfId="20251"/>
    <cellStyle name="Linked Cell 2 2 7" xfId="3268"/>
    <cellStyle name="Linked Cell 2 2 7 2" xfId="20254"/>
    <cellStyle name="Linked Cell 2 2 7 3" xfId="20253"/>
    <cellStyle name="Linked Cell 2 2 8" xfId="20255"/>
    <cellStyle name="Linked Cell 2 2 9" xfId="20242"/>
    <cellStyle name="Linked Cell 2 20" xfId="24500"/>
    <cellStyle name="Linked Cell 2 3" xfId="312"/>
    <cellStyle name="Linked Cell 2 3 2" xfId="1327"/>
    <cellStyle name="Linked Cell 2 3 2 2" xfId="20257"/>
    <cellStyle name="Linked Cell 2 3 3" xfId="20256"/>
    <cellStyle name="Linked Cell 2 4" xfId="494"/>
    <cellStyle name="Linked Cell 2 4 2" xfId="20259"/>
    <cellStyle name="Linked Cell 2 4 3" xfId="20258"/>
    <cellStyle name="Linked Cell 2 5" xfId="621"/>
    <cellStyle name="Linked Cell 2 5 2" xfId="20261"/>
    <cellStyle name="Linked Cell 2 5 3" xfId="20260"/>
    <cellStyle name="Linked Cell 2 6" xfId="778"/>
    <cellStyle name="Linked Cell 2 6 2" xfId="20263"/>
    <cellStyle name="Linked Cell 2 6 3" xfId="20262"/>
    <cellStyle name="Linked Cell 2 7" xfId="779"/>
    <cellStyle name="Linked Cell 2 7 2" xfId="20265"/>
    <cellStyle name="Linked Cell 2 7 3" xfId="20264"/>
    <cellStyle name="Linked Cell 2 8" xfId="902"/>
    <cellStyle name="Linked Cell 2 8 2" xfId="1430"/>
    <cellStyle name="Linked Cell 2 8 2 2" xfId="20267"/>
    <cellStyle name="Linked Cell 2 8 3" xfId="20266"/>
    <cellStyle name="Linked Cell 2 9" xfId="990"/>
    <cellStyle name="Linked Cell 2 9 2" xfId="1547"/>
    <cellStyle name="Linked Cell 2 9 2 2" xfId="20269"/>
    <cellStyle name="Linked Cell 2 9 3" xfId="20268"/>
    <cellStyle name="Linked Cell 3" xfId="205"/>
    <cellStyle name="Linked Cell 3 10" xfId="3709"/>
    <cellStyle name="Linked Cell 3 10 2" xfId="20272"/>
    <cellStyle name="Linked Cell 3 10 3" xfId="20271"/>
    <cellStyle name="Linked Cell 3 11" xfId="20273"/>
    <cellStyle name="Linked Cell 3 11 2" xfId="20274"/>
    <cellStyle name="Linked Cell 3 12" xfId="20275"/>
    <cellStyle name="Linked Cell 3 13" xfId="20270"/>
    <cellStyle name="Linked Cell 3 2" xfId="1482"/>
    <cellStyle name="Linked Cell 3 2 2" xfId="1816"/>
    <cellStyle name="Linked Cell 3 2 2 2" xfId="20278"/>
    <cellStyle name="Linked Cell 3 2 2 3" xfId="20277"/>
    <cellStyle name="Linked Cell 3 2 3" xfId="2191"/>
    <cellStyle name="Linked Cell 3 2 3 2" xfId="20280"/>
    <cellStyle name="Linked Cell 3 2 3 3" xfId="20279"/>
    <cellStyle name="Linked Cell 3 2 4" xfId="2565"/>
    <cellStyle name="Linked Cell 3 2 4 2" xfId="20282"/>
    <cellStyle name="Linked Cell 3 2 4 3" xfId="20281"/>
    <cellStyle name="Linked Cell 3 2 5" xfId="2937"/>
    <cellStyle name="Linked Cell 3 2 5 2" xfId="20284"/>
    <cellStyle name="Linked Cell 3 2 5 3" xfId="20283"/>
    <cellStyle name="Linked Cell 3 2 6" xfId="3309"/>
    <cellStyle name="Linked Cell 3 2 6 2" xfId="20286"/>
    <cellStyle name="Linked Cell 3 2 6 3" xfId="20285"/>
    <cellStyle name="Linked Cell 3 2 7" xfId="20287"/>
    <cellStyle name="Linked Cell 3 2 8" xfId="20276"/>
    <cellStyle name="Linked Cell 3 3" xfId="1609"/>
    <cellStyle name="Linked Cell 3 3 2" xfId="1893"/>
    <cellStyle name="Linked Cell 3 3 2 2" xfId="20290"/>
    <cellStyle name="Linked Cell 3 3 2 3" xfId="20289"/>
    <cellStyle name="Linked Cell 3 3 3" xfId="2268"/>
    <cellStyle name="Linked Cell 3 3 3 2" xfId="20292"/>
    <cellStyle name="Linked Cell 3 3 3 3" xfId="20291"/>
    <cellStyle name="Linked Cell 3 3 4" xfId="2641"/>
    <cellStyle name="Linked Cell 3 3 4 2" xfId="20294"/>
    <cellStyle name="Linked Cell 3 3 4 3" xfId="20293"/>
    <cellStyle name="Linked Cell 3 3 5" xfId="3014"/>
    <cellStyle name="Linked Cell 3 3 5 2" xfId="20296"/>
    <cellStyle name="Linked Cell 3 3 5 3" xfId="20295"/>
    <cellStyle name="Linked Cell 3 3 6" xfId="3385"/>
    <cellStyle name="Linked Cell 3 3 6 2" xfId="20298"/>
    <cellStyle name="Linked Cell 3 3 6 3" xfId="20297"/>
    <cellStyle name="Linked Cell 3 3 7" xfId="20299"/>
    <cellStyle name="Linked Cell 3 3 8" xfId="20288"/>
    <cellStyle name="Linked Cell 3 4" xfId="1749"/>
    <cellStyle name="Linked Cell 3 4 2" xfId="1937"/>
    <cellStyle name="Linked Cell 3 4 2 2" xfId="20302"/>
    <cellStyle name="Linked Cell 3 4 2 3" xfId="20301"/>
    <cellStyle name="Linked Cell 3 4 3" xfId="2312"/>
    <cellStyle name="Linked Cell 3 4 3 2" xfId="20304"/>
    <cellStyle name="Linked Cell 3 4 3 3" xfId="20303"/>
    <cellStyle name="Linked Cell 3 4 4" xfId="2685"/>
    <cellStyle name="Linked Cell 3 4 4 2" xfId="20306"/>
    <cellStyle name="Linked Cell 3 4 4 3" xfId="20305"/>
    <cellStyle name="Linked Cell 3 4 5" xfId="3058"/>
    <cellStyle name="Linked Cell 3 4 5 2" xfId="20308"/>
    <cellStyle name="Linked Cell 3 4 5 3" xfId="20307"/>
    <cellStyle name="Linked Cell 3 4 6" xfId="3429"/>
    <cellStyle name="Linked Cell 3 4 6 2" xfId="20310"/>
    <cellStyle name="Linked Cell 3 4 6 3" xfId="20309"/>
    <cellStyle name="Linked Cell 3 4 7" xfId="20311"/>
    <cellStyle name="Linked Cell 3 4 8" xfId="20300"/>
    <cellStyle name="Linked Cell 3 5" xfId="2084"/>
    <cellStyle name="Linked Cell 3 5 2" xfId="20313"/>
    <cellStyle name="Linked Cell 3 5 3" xfId="20312"/>
    <cellStyle name="Linked Cell 3 6" xfId="2458"/>
    <cellStyle name="Linked Cell 3 6 2" xfId="20315"/>
    <cellStyle name="Linked Cell 3 6 3" xfId="20314"/>
    <cellStyle name="Linked Cell 3 7" xfId="2830"/>
    <cellStyle name="Linked Cell 3 7 2" xfId="20317"/>
    <cellStyle name="Linked Cell 3 7 3" xfId="20316"/>
    <cellStyle name="Linked Cell 3 8" xfId="3201"/>
    <cellStyle name="Linked Cell 3 8 2" xfId="20319"/>
    <cellStyle name="Linked Cell 3 8 3" xfId="20318"/>
    <cellStyle name="Linked Cell 3 9" xfId="3573"/>
    <cellStyle name="Linked Cell 3 9 2" xfId="20321"/>
    <cellStyle name="Linked Cell 3 9 3" xfId="20320"/>
    <cellStyle name="Linked Cell 4" xfId="269"/>
    <cellStyle name="Linked Cell 4 10" xfId="3753"/>
    <cellStyle name="Linked Cell 4 10 2" xfId="20324"/>
    <cellStyle name="Linked Cell 4 10 3" xfId="20323"/>
    <cellStyle name="Linked Cell 4 11" xfId="1287"/>
    <cellStyle name="Linked Cell 4 11 2" xfId="20326"/>
    <cellStyle name="Linked Cell 4 11 3" xfId="20325"/>
    <cellStyle name="Linked Cell 4 12" xfId="20327"/>
    <cellStyle name="Linked Cell 4 13" xfId="20322"/>
    <cellStyle name="Linked Cell 4 2" xfId="1527"/>
    <cellStyle name="Linked Cell 4 2 2" xfId="20329"/>
    <cellStyle name="Linked Cell 4 2 3" xfId="20328"/>
    <cellStyle name="Linked Cell 4 3" xfId="1652"/>
    <cellStyle name="Linked Cell 4 3 2" xfId="20331"/>
    <cellStyle name="Linked Cell 4 3 3" xfId="20330"/>
    <cellStyle name="Linked Cell 4 4" xfId="1773"/>
    <cellStyle name="Linked Cell 4 4 2" xfId="20333"/>
    <cellStyle name="Linked Cell 4 4 3" xfId="20332"/>
    <cellStyle name="Linked Cell 4 5" xfId="2108"/>
    <cellStyle name="Linked Cell 4 5 2" xfId="20335"/>
    <cellStyle name="Linked Cell 4 5 3" xfId="20334"/>
    <cellStyle name="Linked Cell 4 6" xfId="2482"/>
    <cellStyle name="Linked Cell 4 6 2" xfId="20337"/>
    <cellStyle name="Linked Cell 4 6 3" xfId="20336"/>
    <cellStyle name="Linked Cell 4 7" xfId="2854"/>
    <cellStyle name="Linked Cell 4 7 2" xfId="20339"/>
    <cellStyle name="Linked Cell 4 7 3" xfId="20338"/>
    <cellStyle name="Linked Cell 4 8" xfId="3225"/>
    <cellStyle name="Linked Cell 4 8 2" xfId="20341"/>
    <cellStyle name="Linked Cell 4 8 3" xfId="20340"/>
    <cellStyle name="Linked Cell 4 9" xfId="3616"/>
    <cellStyle name="Linked Cell 4 9 2" xfId="20343"/>
    <cellStyle name="Linked Cell 4 9 3" xfId="20342"/>
    <cellStyle name="Linked Cell 5" xfId="495"/>
    <cellStyle name="Linked Cell 5 2" xfId="1762"/>
    <cellStyle name="Linked Cell 5 2 2" xfId="20346"/>
    <cellStyle name="Linked Cell 5 2 3" xfId="20345"/>
    <cellStyle name="Linked Cell 5 3" xfId="2097"/>
    <cellStyle name="Linked Cell 5 3 2" xfId="20348"/>
    <cellStyle name="Linked Cell 5 3 3" xfId="20347"/>
    <cellStyle name="Linked Cell 5 4" xfId="2471"/>
    <cellStyle name="Linked Cell 5 4 2" xfId="20350"/>
    <cellStyle name="Linked Cell 5 4 3" xfId="20349"/>
    <cellStyle name="Linked Cell 5 5" xfId="2843"/>
    <cellStyle name="Linked Cell 5 5 2" xfId="20352"/>
    <cellStyle name="Linked Cell 5 5 3" xfId="20351"/>
    <cellStyle name="Linked Cell 5 6" xfId="3214"/>
    <cellStyle name="Linked Cell 5 6 2" xfId="20354"/>
    <cellStyle name="Linked Cell 5 6 3" xfId="20353"/>
    <cellStyle name="Linked Cell 5 7" xfId="20355"/>
    <cellStyle name="Linked Cell 5 7 2" xfId="20356"/>
    <cellStyle name="Linked Cell 5 8" xfId="20357"/>
    <cellStyle name="Linked Cell 5 9" xfId="20344"/>
    <cellStyle name="Linked Cell 6" xfId="496"/>
    <cellStyle name="Linked Cell 6 10" xfId="20358"/>
    <cellStyle name="Linked Cell 6 2" xfId="2003"/>
    <cellStyle name="Linked Cell 6 2 2" xfId="20360"/>
    <cellStyle name="Linked Cell 6 2 3" xfId="20359"/>
    <cellStyle name="Linked Cell 6 3" xfId="2378"/>
    <cellStyle name="Linked Cell 6 3 2" xfId="20362"/>
    <cellStyle name="Linked Cell 6 3 3" xfId="20361"/>
    <cellStyle name="Linked Cell 6 4" xfId="2751"/>
    <cellStyle name="Linked Cell 6 4 2" xfId="20364"/>
    <cellStyle name="Linked Cell 6 4 3" xfId="20363"/>
    <cellStyle name="Linked Cell 6 5" xfId="3124"/>
    <cellStyle name="Linked Cell 6 5 2" xfId="20366"/>
    <cellStyle name="Linked Cell 6 5 3" xfId="20365"/>
    <cellStyle name="Linked Cell 6 6" xfId="3495"/>
    <cellStyle name="Linked Cell 6 6 2" xfId="20368"/>
    <cellStyle name="Linked Cell 6 6 3" xfId="20367"/>
    <cellStyle name="Linked Cell 6 7" xfId="3801"/>
    <cellStyle name="Linked Cell 6 7 2" xfId="20370"/>
    <cellStyle name="Linked Cell 6 7 3" xfId="20369"/>
    <cellStyle name="Linked Cell 6 8" xfId="20371"/>
    <cellStyle name="Linked Cell 6 8 2" xfId="20372"/>
    <cellStyle name="Linked Cell 6 9" xfId="20373"/>
    <cellStyle name="Linked Cell 7" xfId="497"/>
    <cellStyle name="Linked Cell 7 2" xfId="20375"/>
    <cellStyle name="Linked Cell 7 3" xfId="20374"/>
    <cellStyle name="Linked Cell 8" xfId="622"/>
    <cellStyle name="Linked Cell 8 2" xfId="20377"/>
    <cellStyle name="Linked Cell 8 3" xfId="20376"/>
    <cellStyle name="Linked Cell 9" xfId="623"/>
    <cellStyle name="Linked Cell 9 2" xfId="20379"/>
    <cellStyle name="Linked Cell 9 3" xfId="20378"/>
    <cellStyle name="Neutral 10" xfId="780"/>
    <cellStyle name="Neutral 10 2" xfId="20382"/>
    <cellStyle name="Neutral 10 3" xfId="20381"/>
    <cellStyle name="Neutral 11" xfId="781"/>
    <cellStyle name="Neutral 11 2" xfId="20384"/>
    <cellStyle name="Neutral 11 3" xfId="20383"/>
    <cellStyle name="Neutral 12" xfId="903"/>
    <cellStyle name="Neutral 12 2" xfId="20385"/>
    <cellStyle name="Neutral 13" xfId="904"/>
    <cellStyle name="Neutral 13 2" xfId="20380"/>
    <cellStyle name="Neutral 14" xfId="991"/>
    <cellStyle name="Neutral 2" xfId="104"/>
    <cellStyle name="Neutral 2 10" xfId="1702"/>
    <cellStyle name="Neutral 2 10 2" xfId="20388"/>
    <cellStyle name="Neutral 2 10 3" xfId="20387"/>
    <cellStyle name="Neutral 2 11" xfId="2037"/>
    <cellStyle name="Neutral 2 11 2" xfId="20390"/>
    <cellStyle name="Neutral 2 11 3" xfId="20389"/>
    <cellStyle name="Neutral 2 12" xfId="2411"/>
    <cellStyle name="Neutral 2 12 2" xfId="20392"/>
    <cellStyle name="Neutral 2 12 3" xfId="20391"/>
    <cellStyle name="Neutral 2 13" xfId="2784"/>
    <cellStyle name="Neutral 2 13 2" xfId="20394"/>
    <cellStyle name="Neutral 2 13 3" xfId="20393"/>
    <cellStyle name="Neutral 2 14" xfId="3158"/>
    <cellStyle name="Neutral 2 14 2" xfId="20396"/>
    <cellStyle name="Neutral 2 14 3" xfId="20395"/>
    <cellStyle name="Neutral 2 15" xfId="3529"/>
    <cellStyle name="Neutral 2 15 2" xfId="20398"/>
    <cellStyle name="Neutral 2 15 3" xfId="20397"/>
    <cellStyle name="Neutral 2 16" xfId="3667"/>
    <cellStyle name="Neutral 2 16 2" xfId="20400"/>
    <cellStyle name="Neutral 2 16 3" xfId="20399"/>
    <cellStyle name="Neutral 2 17" xfId="20401"/>
    <cellStyle name="Neutral 2 17 2" xfId="20402"/>
    <cellStyle name="Neutral 2 18" xfId="20403"/>
    <cellStyle name="Neutral 2 19" xfId="20386"/>
    <cellStyle name="Neutral 2 2" xfId="149"/>
    <cellStyle name="Neutral 2 2 2" xfId="160"/>
    <cellStyle name="Neutral 2 2 2 2" xfId="20406"/>
    <cellStyle name="Neutral 2 2 2 3" xfId="20405"/>
    <cellStyle name="Neutral 2 2 3" xfId="324"/>
    <cellStyle name="Neutral 2 2 3 2" xfId="20408"/>
    <cellStyle name="Neutral 2 2 3 3" xfId="20407"/>
    <cellStyle name="Neutral 2 2 4" xfId="2147"/>
    <cellStyle name="Neutral 2 2 4 2" xfId="20410"/>
    <cellStyle name="Neutral 2 2 4 3" xfId="20409"/>
    <cellStyle name="Neutral 2 2 5" xfId="2521"/>
    <cellStyle name="Neutral 2 2 5 2" xfId="20412"/>
    <cellStyle name="Neutral 2 2 5 3" xfId="20411"/>
    <cellStyle name="Neutral 2 2 6" xfId="2893"/>
    <cellStyle name="Neutral 2 2 6 2" xfId="20414"/>
    <cellStyle name="Neutral 2 2 6 3" xfId="20413"/>
    <cellStyle name="Neutral 2 2 7" xfId="3264"/>
    <cellStyle name="Neutral 2 2 7 2" xfId="20416"/>
    <cellStyle name="Neutral 2 2 7 3" xfId="20415"/>
    <cellStyle name="Neutral 2 2 8" xfId="20417"/>
    <cellStyle name="Neutral 2 2 9" xfId="20404"/>
    <cellStyle name="Neutral 2 20" xfId="24501"/>
    <cellStyle name="Neutral 2 3" xfId="313"/>
    <cellStyle name="Neutral 2 3 2" xfId="1323"/>
    <cellStyle name="Neutral 2 3 2 2" xfId="20419"/>
    <cellStyle name="Neutral 2 3 3" xfId="20418"/>
    <cellStyle name="Neutral 2 4" xfId="498"/>
    <cellStyle name="Neutral 2 4 2" xfId="20421"/>
    <cellStyle name="Neutral 2 4 3" xfId="20420"/>
    <cellStyle name="Neutral 2 5" xfId="624"/>
    <cellStyle name="Neutral 2 5 2" xfId="20423"/>
    <cellStyle name="Neutral 2 5 3" xfId="20422"/>
    <cellStyle name="Neutral 2 6" xfId="782"/>
    <cellStyle name="Neutral 2 6 2" xfId="20425"/>
    <cellStyle name="Neutral 2 6 3" xfId="20424"/>
    <cellStyle name="Neutral 2 7" xfId="783"/>
    <cellStyle name="Neutral 2 7 2" xfId="20427"/>
    <cellStyle name="Neutral 2 7 3" xfId="20426"/>
    <cellStyle name="Neutral 2 8" xfId="905"/>
    <cellStyle name="Neutral 2 8 2" xfId="1431"/>
    <cellStyle name="Neutral 2 8 2 2" xfId="20429"/>
    <cellStyle name="Neutral 2 8 3" xfId="20428"/>
    <cellStyle name="Neutral 2 9" xfId="992"/>
    <cellStyle name="Neutral 2 9 2" xfId="1546"/>
    <cellStyle name="Neutral 2 9 2 2" xfId="20431"/>
    <cellStyle name="Neutral 2 9 3" xfId="20430"/>
    <cellStyle name="Neutral 3" xfId="201"/>
    <cellStyle name="Neutral 3 10" xfId="3710"/>
    <cellStyle name="Neutral 3 10 2" xfId="20434"/>
    <cellStyle name="Neutral 3 10 3" xfId="20433"/>
    <cellStyle name="Neutral 3 11" xfId="20435"/>
    <cellStyle name="Neutral 3 11 2" xfId="20436"/>
    <cellStyle name="Neutral 3 12" xfId="20437"/>
    <cellStyle name="Neutral 3 13" xfId="20432"/>
    <cellStyle name="Neutral 3 2" xfId="1483"/>
    <cellStyle name="Neutral 3 2 2" xfId="1812"/>
    <cellStyle name="Neutral 3 2 2 2" xfId="20440"/>
    <cellStyle name="Neutral 3 2 2 3" xfId="20439"/>
    <cellStyle name="Neutral 3 2 3" xfId="2187"/>
    <cellStyle name="Neutral 3 2 3 2" xfId="20442"/>
    <cellStyle name="Neutral 3 2 3 3" xfId="20441"/>
    <cellStyle name="Neutral 3 2 4" xfId="2561"/>
    <cellStyle name="Neutral 3 2 4 2" xfId="20444"/>
    <cellStyle name="Neutral 3 2 4 3" xfId="20443"/>
    <cellStyle name="Neutral 3 2 5" xfId="2933"/>
    <cellStyle name="Neutral 3 2 5 2" xfId="20446"/>
    <cellStyle name="Neutral 3 2 5 3" xfId="20445"/>
    <cellStyle name="Neutral 3 2 6" xfId="3305"/>
    <cellStyle name="Neutral 3 2 6 2" xfId="20448"/>
    <cellStyle name="Neutral 3 2 6 3" xfId="20447"/>
    <cellStyle name="Neutral 3 2 7" xfId="20449"/>
    <cellStyle name="Neutral 3 2 8" xfId="20438"/>
    <cellStyle name="Neutral 3 3" xfId="1610"/>
    <cellStyle name="Neutral 3 3 2" xfId="1889"/>
    <cellStyle name="Neutral 3 3 2 2" xfId="20452"/>
    <cellStyle name="Neutral 3 3 2 3" xfId="20451"/>
    <cellStyle name="Neutral 3 3 3" xfId="2264"/>
    <cellStyle name="Neutral 3 3 3 2" xfId="20454"/>
    <cellStyle name="Neutral 3 3 3 3" xfId="20453"/>
    <cellStyle name="Neutral 3 3 4" xfId="2637"/>
    <cellStyle name="Neutral 3 3 4 2" xfId="20456"/>
    <cellStyle name="Neutral 3 3 4 3" xfId="20455"/>
    <cellStyle name="Neutral 3 3 5" xfId="3010"/>
    <cellStyle name="Neutral 3 3 5 2" xfId="20458"/>
    <cellStyle name="Neutral 3 3 5 3" xfId="20457"/>
    <cellStyle name="Neutral 3 3 6" xfId="3381"/>
    <cellStyle name="Neutral 3 3 6 2" xfId="20460"/>
    <cellStyle name="Neutral 3 3 6 3" xfId="20459"/>
    <cellStyle name="Neutral 3 3 7" xfId="20461"/>
    <cellStyle name="Neutral 3 3 8" xfId="20450"/>
    <cellStyle name="Neutral 3 4" xfId="1750"/>
    <cellStyle name="Neutral 3 4 2" xfId="1933"/>
    <cellStyle name="Neutral 3 4 2 2" xfId="20464"/>
    <cellStyle name="Neutral 3 4 2 3" xfId="20463"/>
    <cellStyle name="Neutral 3 4 3" xfId="2308"/>
    <cellStyle name="Neutral 3 4 3 2" xfId="20466"/>
    <cellStyle name="Neutral 3 4 3 3" xfId="20465"/>
    <cellStyle name="Neutral 3 4 4" xfId="2681"/>
    <cellStyle name="Neutral 3 4 4 2" xfId="20468"/>
    <cellStyle name="Neutral 3 4 4 3" xfId="20467"/>
    <cellStyle name="Neutral 3 4 5" xfId="3054"/>
    <cellStyle name="Neutral 3 4 5 2" xfId="20470"/>
    <cellStyle name="Neutral 3 4 5 3" xfId="20469"/>
    <cellStyle name="Neutral 3 4 6" xfId="3425"/>
    <cellStyle name="Neutral 3 4 6 2" xfId="20472"/>
    <cellStyle name="Neutral 3 4 6 3" xfId="20471"/>
    <cellStyle name="Neutral 3 4 7" xfId="20473"/>
    <cellStyle name="Neutral 3 4 8" xfId="20462"/>
    <cellStyle name="Neutral 3 5" xfId="2085"/>
    <cellStyle name="Neutral 3 5 2" xfId="20475"/>
    <cellStyle name="Neutral 3 5 3" xfId="20474"/>
    <cellStyle name="Neutral 3 6" xfId="2459"/>
    <cellStyle name="Neutral 3 6 2" xfId="20477"/>
    <cellStyle name="Neutral 3 6 3" xfId="20476"/>
    <cellStyle name="Neutral 3 7" xfId="2831"/>
    <cellStyle name="Neutral 3 7 2" xfId="20479"/>
    <cellStyle name="Neutral 3 7 3" xfId="20478"/>
    <cellStyle name="Neutral 3 8" xfId="3202"/>
    <cellStyle name="Neutral 3 8 2" xfId="20481"/>
    <cellStyle name="Neutral 3 8 3" xfId="20480"/>
    <cellStyle name="Neutral 3 9" xfId="3574"/>
    <cellStyle name="Neutral 3 9 2" xfId="20483"/>
    <cellStyle name="Neutral 3 9 3" xfId="20482"/>
    <cellStyle name="Neutral 4" xfId="270"/>
    <cellStyle name="Neutral 4 10" xfId="3754"/>
    <cellStyle name="Neutral 4 10 2" xfId="20486"/>
    <cellStyle name="Neutral 4 10 3" xfId="20485"/>
    <cellStyle name="Neutral 4 11" xfId="1283"/>
    <cellStyle name="Neutral 4 11 2" xfId="20488"/>
    <cellStyle name="Neutral 4 11 3" xfId="20487"/>
    <cellStyle name="Neutral 4 12" xfId="20489"/>
    <cellStyle name="Neutral 4 13" xfId="20484"/>
    <cellStyle name="Neutral 4 2" xfId="1528"/>
    <cellStyle name="Neutral 4 2 2" xfId="20491"/>
    <cellStyle name="Neutral 4 2 3" xfId="20490"/>
    <cellStyle name="Neutral 4 3" xfId="1653"/>
    <cellStyle name="Neutral 4 3 2" xfId="20493"/>
    <cellStyle name="Neutral 4 3 3" xfId="20492"/>
    <cellStyle name="Neutral 4 4" xfId="1772"/>
    <cellStyle name="Neutral 4 4 2" xfId="20495"/>
    <cellStyle name="Neutral 4 4 3" xfId="20494"/>
    <cellStyle name="Neutral 4 5" xfId="2107"/>
    <cellStyle name="Neutral 4 5 2" xfId="20497"/>
    <cellStyle name="Neutral 4 5 3" xfId="20496"/>
    <cellStyle name="Neutral 4 6" xfId="2481"/>
    <cellStyle name="Neutral 4 6 2" xfId="20499"/>
    <cellStyle name="Neutral 4 6 3" xfId="20498"/>
    <cellStyle name="Neutral 4 7" xfId="2853"/>
    <cellStyle name="Neutral 4 7 2" xfId="20501"/>
    <cellStyle name="Neutral 4 7 3" xfId="20500"/>
    <cellStyle name="Neutral 4 8" xfId="3224"/>
    <cellStyle name="Neutral 4 8 2" xfId="20503"/>
    <cellStyle name="Neutral 4 8 3" xfId="20502"/>
    <cellStyle name="Neutral 4 9" xfId="3617"/>
    <cellStyle name="Neutral 4 9 2" xfId="20505"/>
    <cellStyle name="Neutral 4 9 3" xfId="20504"/>
    <cellStyle name="Neutral 5" xfId="499"/>
    <cellStyle name="Neutral 5 2" xfId="1761"/>
    <cellStyle name="Neutral 5 2 2" xfId="20508"/>
    <cellStyle name="Neutral 5 2 3" xfId="20507"/>
    <cellStyle name="Neutral 5 3" xfId="2096"/>
    <cellStyle name="Neutral 5 3 2" xfId="20510"/>
    <cellStyle name="Neutral 5 3 3" xfId="20509"/>
    <cellStyle name="Neutral 5 4" xfId="2470"/>
    <cellStyle name="Neutral 5 4 2" xfId="20512"/>
    <cellStyle name="Neutral 5 4 3" xfId="20511"/>
    <cellStyle name="Neutral 5 5" xfId="2842"/>
    <cellStyle name="Neutral 5 5 2" xfId="20514"/>
    <cellStyle name="Neutral 5 5 3" xfId="20513"/>
    <cellStyle name="Neutral 5 6" xfId="3213"/>
    <cellStyle name="Neutral 5 6 2" xfId="20516"/>
    <cellStyle name="Neutral 5 6 3" xfId="20515"/>
    <cellStyle name="Neutral 5 7" xfId="20517"/>
    <cellStyle name="Neutral 5 7 2" xfId="20518"/>
    <cellStyle name="Neutral 5 8" xfId="20519"/>
    <cellStyle name="Neutral 5 9" xfId="20506"/>
    <cellStyle name="Neutral 6" xfId="500"/>
    <cellStyle name="Neutral 6 10" xfId="20520"/>
    <cellStyle name="Neutral 6 2" xfId="2004"/>
    <cellStyle name="Neutral 6 2 2" xfId="20522"/>
    <cellStyle name="Neutral 6 2 3" xfId="20521"/>
    <cellStyle name="Neutral 6 3" xfId="2379"/>
    <cellStyle name="Neutral 6 3 2" xfId="20524"/>
    <cellStyle name="Neutral 6 3 3" xfId="20523"/>
    <cellStyle name="Neutral 6 4" xfId="2752"/>
    <cellStyle name="Neutral 6 4 2" xfId="20526"/>
    <cellStyle name="Neutral 6 4 3" xfId="20525"/>
    <cellStyle name="Neutral 6 5" xfId="3125"/>
    <cellStyle name="Neutral 6 5 2" xfId="20528"/>
    <cellStyle name="Neutral 6 5 3" xfId="20527"/>
    <cellStyle name="Neutral 6 6" xfId="3496"/>
    <cellStyle name="Neutral 6 6 2" xfId="20530"/>
    <cellStyle name="Neutral 6 6 3" xfId="20529"/>
    <cellStyle name="Neutral 6 7" xfId="3802"/>
    <cellStyle name="Neutral 6 7 2" xfId="20532"/>
    <cellStyle name="Neutral 6 7 3" xfId="20531"/>
    <cellStyle name="Neutral 6 8" xfId="20533"/>
    <cellStyle name="Neutral 6 8 2" xfId="20534"/>
    <cellStyle name="Neutral 6 9" xfId="20535"/>
    <cellStyle name="Neutral 7" xfId="501"/>
    <cellStyle name="Neutral 7 2" xfId="20537"/>
    <cellStyle name="Neutral 7 3" xfId="20536"/>
    <cellStyle name="Neutral 8" xfId="625"/>
    <cellStyle name="Neutral 8 2" xfId="20539"/>
    <cellStyle name="Neutral 8 3" xfId="20538"/>
    <cellStyle name="Neutral 9" xfId="626"/>
    <cellStyle name="Neutral 9 2" xfId="20541"/>
    <cellStyle name="Neutral 9 3" xfId="20540"/>
    <cellStyle name="Normal" xfId="0" builtinId="0"/>
    <cellStyle name="Normal 10" xfId="56"/>
    <cellStyle name="Normal 10 10" xfId="1127"/>
    <cellStyle name="Normal 10 10 2" xfId="3997"/>
    <cellStyle name="Normal 10 11" xfId="1137"/>
    <cellStyle name="Normal 10 11 2" xfId="4007"/>
    <cellStyle name="Normal 10 12" xfId="1147"/>
    <cellStyle name="Normal 10 12 2" xfId="4017"/>
    <cellStyle name="Normal 10 13" xfId="1156"/>
    <cellStyle name="Normal 10 13 2" xfId="4026"/>
    <cellStyle name="Normal 10 14" xfId="1167"/>
    <cellStyle name="Normal 10 14 2" xfId="4037"/>
    <cellStyle name="Normal 10 15" xfId="1177"/>
    <cellStyle name="Normal 10 15 2" xfId="4047"/>
    <cellStyle name="Normal 10 16" xfId="1187"/>
    <cellStyle name="Normal 10 16 2" xfId="4057"/>
    <cellStyle name="Normal 10 17" xfId="1197"/>
    <cellStyle name="Normal 10 17 2" xfId="4067"/>
    <cellStyle name="Normal 10 18" xfId="1207"/>
    <cellStyle name="Normal 10 18 2" xfId="4077"/>
    <cellStyle name="Normal 10 19" xfId="1217"/>
    <cellStyle name="Normal 10 19 2" xfId="4087"/>
    <cellStyle name="Normal 10 2" xfId="1044"/>
    <cellStyle name="Normal 10 2 2" xfId="3912"/>
    <cellStyle name="Normal 10 2 2 2" xfId="20544"/>
    <cellStyle name="Normal 10 2 2 2 2" xfId="20545"/>
    <cellStyle name="Normal 10 2 2 3" xfId="20546"/>
    <cellStyle name="Normal 10 2 2 4" xfId="20543"/>
    <cellStyle name="Normal 10 2 3" xfId="4868"/>
    <cellStyle name="Normal 10 2 4" xfId="24787"/>
    <cellStyle name="Normal 10 20" xfId="1227"/>
    <cellStyle name="Normal 10 20 2" xfId="4097"/>
    <cellStyle name="Normal 10 21" xfId="1237"/>
    <cellStyle name="Normal 10 21 2" xfId="4107"/>
    <cellStyle name="Normal 10 22" xfId="1247"/>
    <cellStyle name="Normal 10 22 2" xfId="4117"/>
    <cellStyle name="Normal 10 23" xfId="1257"/>
    <cellStyle name="Normal 10 23 2" xfId="4127"/>
    <cellStyle name="Normal 10 24" xfId="1266"/>
    <cellStyle name="Normal 10 24 2" xfId="4136"/>
    <cellStyle name="Normal 10 25" xfId="1271"/>
    <cellStyle name="Normal 10 25 2" xfId="4141"/>
    <cellStyle name="Normal 10 26" xfId="993"/>
    <cellStyle name="Normal 10 27" xfId="24537"/>
    <cellStyle name="Normal 10 3" xfId="1057"/>
    <cellStyle name="Normal 10 3 2" xfId="3927"/>
    <cellStyle name="Normal 10 3 2 2" xfId="20548"/>
    <cellStyle name="Normal 10 3 2 2 2" xfId="20549"/>
    <cellStyle name="Normal 10 3 2 3" xfId="20550"/>
    <cellStyle name="Normal 10 3 2 4" xfId="20547"/>
    <cellStyle name="Normal 10 3 3" xfId="4869"/>
    <cellStyle name="Normal 10 3 3 2" xfId="20551"/>
    <cellStyle name="Normal 10 3 3 2 2" xfId="20552"/>
    <cellStyle name="Normal 10 3 3 3" xfId="20553"/>
    <cellStyle name="Normal 10 3 4" xfId="20554"/>
    <cellStyle name="Normal 10 3 4 2" xfId="20555"/>
    <cellStyle name="Normal 10 3 5" xfId="20556"/>
    <cellStyle name="Normal 10 3 5 2" xfId="20557"/>
    <cellStyle name="Normal 10 3 6" xfId="20558"/>
    <cellStyle name="Normal 10 3 6 2" xfId="20559"/>
    <cellStyle name="Normal 10 4" xfId="1067"/>
    <cellStyle name="Normal 10 4 2" xfId="3937"/>
    <cellStyle name="Normal 10 4 2 2" xfId="20561"/>
    <cellStyle name="Normal 10 4 3" xfId="20560"/>
    <cellStyle name="Normal 10 4 4" xfId="24788"/>
    <cellStyle name="Normal 10 4 4 2" xfId="26911"/>
    <cellStyle name="Normal 10 5" xfId="1077"/>
    <cellStyle name="Normal 10 5 2" xfId="3947"/>
    <cellStyle name="Normal 10 6" xfId="1087"/>
    <cellStyle name="Normal 10 6 2" xfId="3957"/>
    <cellStyle name="Normal 10 7" xfId="1097"/>
    <cellStyle name="Normal 10 7 2" xfId="3967"/>
    <cellStyle name="Normal 10 8" xfId="1107"/>
    <cellStyle name="Normal 10 8 2" xfId="3977"/>
    <cellStyle name="Normal 10 9" xfId="1117"/>
    <cellStyle name="Normal 10 9 2" xfId="3987"/>
    <cellStyle name="Normal 11" xfId="57"/>
    <cellStyle name="Normal 11 2" xfId="3811"/>
    <cellStyle name="Normal 11 2 2" xfId="20562"/>
    <cellStyle name="Normal 11 2 2 2" xfId="20563"/>
    <cellStyle name="Normal 11 2 2 2 2" xfId="20564"/>
    <cellStyle name="Normal 11 2 2 3" xfId="20565"/>
    <cellStyle name="Normal 11 2 3" xfId="20566"/>
    <cellStyle name="Normal 11 2 3 2" xfId="20567"/>
    <cellStyle name="Normal 11 2 3 2 2" xfId="20568"/>
    <cellStyle name="Normal 11 2 3 3" xfId="20569"/>
    <cellStyle name="Normal 11 2 4" xfId="20570"/>
    <cellStyle name="Normal 11 2 4 2" xfId="20571"/>
    <cellStyle name="Normal 11 2 5" xfId="20572"/>
    <cellStyle name="Normal 11 2 5 2" xfId="20573"/>
    <cellStyle name="Normal 11 2 6" xfId="20574"/>
    <cellStyle name="Normal 11 2 6 2" xfId="20575"/>
    <cellStyle name="Normal 11 2 7" xfId="24539"/>
    <cellStyle name="Normal 11 3" xfId="3860"/>
    <cellStyle name="Normal 11 3 2" xfId="20577"/>
    <cellStyle name="Normal 11 3 3" xfId="20576"/>
    <cellStyle name="Normal 11 3 4" xfId="24789"/>
    <cellStyle name="Normal 11 4" xfId="20578"/>
    <cellStyle name="Normal 11 4 2" xfId="20579"/>
    <cellStyle name="Normal 11 4 3" xfId="24790"/>
    <cellStyle name="Normal 11 4 3 2" xfId="26912"/>
    <cellStyle name="Normal 11 5" xfId="24538"/>
    <cellStyle name="Normal 12" xfId="1003"/>
    <cellStyle name="Normal 12 2" xfId="3861"/>
    <cellStyle name="Normal 12 2 2" xfId="20582"/>
    <cellStyle name="Normal 12 2 2 2" xfId="20583"/>
    <cellStyle name="Normal 12 2 3" xfId="20584"/>
    <cellStyle name="Normal 12 2 3 2" xfId="20585"/>
    <cellStyle name="Normal 12 2 4" xfId="20586"/>
    <cellStyle name="Normal 12 2 5" xfId="20581"/>
    <cellStyle name="Normal 12 3" xfId="20587"/>
    <cellStyle name="Normal 12 3 2" xfId="20588"/>
    <cellStyle name="Normal 12 4" xfId="20589"/>
    <cellStyle name="Normal 12 4 2" xfId="20590"/>
    <cellStyle name="Normal 12 5" xfId="20591"/>
    <cellStyle name="Normal 12 6" xfId="20580"/>
    <cellStyle name="Normal 13" xfId="58"/>
    <cellStyle name="Normal 13 2" xfId="3862"/>
    <cellStyle name="Normal 13 2 2" xfId="4870"/>
    <cellStyle name="Normal 13 2 3" xfId="24792"/>
    <cellStyle name="Normal 13 3" xfId="24791"/>
    <cellStyle name="Normal 14" xfId="1004"/>
    <cellStyle name="Normal 14 2" xfId="3863"/>
    <cellStyle name="Normal 14 2 2" xfId="20593"/>
    <cellStyle name="Normal 14 3" xfId="4871"/>
    <cellStyle name="Normal 14 4" xfId="20592"/>
    <cellStyle name="Normal 15" xfId="1006"/>
    <cellStyle name="Normal 15 2" xfId="3865"/>
    <cellStyle name="Normal 15 2 2" xfId="20595"/>
    <cellStyle name="Normal 15 3" xfId="20594"/>
    <cellStyle name="Normal 16" xfId="59"/>
    <cellStyle name="Normal 16 2" xfId="3867"/>
    <cellStyle name="Normal 16 2 2" xfId="20597"/>
    <cellStyle name="Normal 16 3" xfId="20596"/>
    <cellStyle name="Normal 17" xfId="1009"/>
    <cellStyle name="Normal 17 10" xfId="20599"/>
    <cellStyle name="Normal 17 10 2" xfId="20600"/>
    <cellStyle name="Normal 17 10 2 2" xfId="20601"/>
    <cellStyle name="Normal 17 10 3" xfId="20602"/>
    <cellStyle name="Normal 17 11" xfId="20603"/>
    <cellStyle name="Normal 17 11 2" xfId="20604"/>
    <cellStyle name="Normal 17 12" xfId="20605"/>
    <cellStyle name="Normal 17 13" xfId="20598"/>
    <cellStyle name="Normal 17 2" xfId="3869"/>
    <cellStyle name="Normal 17 2 2" xfId="20607"/>
    <cellStyle name="Normal 17 2 3" xfId="20606"/>
    <cellStyle name="Normal 17 3" xfId="20608"/>
    <cellStyle name="Normal 17 3 2" xfId="20609"/>
    <cellStyle name="Normal 17 4" xfId="20610"/>
    <cellStyle name="Normal 17 4 2" xfId="20611"/>
    <cellStyle name="Normal 17 5" xfId="20612"/>
    <cellStyle name="Normal 17 5 2" xfId="20613"/>
    <cellStyle name="Normal 17 6" xfId="20614"/>
    <cellStyle name="Normal 17 6 2" xfId="20615"/>
    <cellStyle name="Normal 17 7" xfId="20616"/>
    <cellStyle name="Normal 17 7 2" xfId="20617"/>
    <cellStyle name="Normal 17 8" xfId="20618"/>
    <cellStyle name="Normal 17 8 2" xfId="20619"/>
    <cellStyle name="Normal 17 9" xfId="20620"/>
    <cellStyle name="Normal 17 9 2" xfId="20621"/>
    <cellStyle name="Normal 18" xfId="1011"/>
    <cellStyle name="Normal 18 2" xfId="3871"/>
    <cellStyle name="Normal 18 2 2" xfId="20623"/>
    <cellStyle name="Normal 18 3" xfId="20622"/>
    <cellStyle name="Normal 19" xfId="1013"/>
    <cellStyle name="Normal 19 2" xfId="3873"/>
    <cellStyle name="Normal 19 2 2" xfId="20625"/>
    <cellStyle name="Normal 19 3" xfId="20624"/>
    <cellStyle name="Normal 2" xfId="7"/>
    <cellStyle name="Normal 2 10" xfId="1968"/>
    <cellStyle name="Normal 2 10 2" xfId="20626"/>
    <cellStyle name="Normal 2 10 2 2" xfId="20627"/>
    <cellStyle name="Normal 2 10 3" xfId="20628"/>
    <cellStyle name="Normal 2 10 3 2" xfId="20629"/>
    <cellStyle name="Normal 2 10 4" xfId="20630"/>
    <cellStyle name="Normal 2 10 4 2" xfId="20631"/>
    <cellStyle name="Normal 2 11" xfId="2343"/>
    <cellStyle name="Normal 2 11 2" xfId="20632"/>
    <cellStyle name="Normal 2 11 2 2" xfId="20633"/>
    <cellStyle name="Normal 2 11 3" xfId="20634"/>
    <cellStyle name="Normal 2 11 3 2" xfId="20635"/>
    <cellStyle name="Normal 2 11 4" xfId="20636"/>
    <cellStyle name="Normal 2 11 4 2" xfId="20637"/>
    <cellStyle name="Normal 2 12" xfId="2716"/>
    <cellStyle name="Normal 2 12 2" xfId="20638"/>
    <cellStyle name="Normal 2 12 2 2" xfId="20639"/>
    <cellStyle name="Normal 2 12 3" xfId="20640"/>
    <cellStyle name="Normal 2 12 3 2" xfId="20641"/>
    <cellStyle name="Normal 2 12 4" xfId="20642"/>
    <cellStyle name="Normal 2 12 4 2" xfId="20643"/>
    <cellStyle name="Normal 2 13" xfId="3089"/>
    <cellStyle name="Normal 2 13 2" xfId="20644"/>
    <cellStyle name="Normal 2 13 2 2" xfId="20645"/>
    <cellStyle name="Normal 2 13 3" xfId="20646"/>
    <cellStyle name="Normal 2 13 3 2" xfId="20647"/>
    <cellStyle name="Normal 2 13 4" xfId="20648"/>
    <cellStyle name="Normal 2 13 4 2" xfId="20649"/>
    <cellStyle name="Normal 2 14" xfId="3460"/>
    <cellStyle name="Normal 2 14 2" xfId="20650"/>
    <cellStyle name="Normal 2 14 2 2" xfId="20651"/>
    <cellStyle name="Normal 2 14 3" xfId="20652"/>
    <cellStyle name="Normal 2 14 3 2" xfId="20653"/>
    <cellStyle name="Normal 2 14 4" xfId="20654"/>
    <cellStyle name="Normal 2 14 4 2" xfId="20655"/>
    <cellStyle name="Normal 2 15" xfId="3271"/>
    <cellStyle name="Normal 2 15 2" xfId="20656"/>
    <cellStyle name="Normal 2 15 2 2" xfId="20657"/>
    <cellStyle name="Normal 2 15 3" xfId="20658"/>
    <cellStyle name="Normal 2 15 3 2" xfId="20659"/>
    <cellStyle name="Normal 2 15 4" xfId="20660"/>
    <cellStyle name="Normal 2 15 4 2" xfId="20661"/>
    <cellStyle name="Normal 2 16" xfId="3626"/>
    <cellStyle name="Normal 2 16 2" xfId="20662"/>
    <cellStyle name="Normal 2 16 2 2" xfId="20663"/>
    <cellStyle name="Normal 2 17" xfId="3629"/>
    <cellStyle name="Normal 2 17 2" xfId="20664"/>
    <cellStyle name="Normal 2 17 2 2" xfId="20665"/>
    <cellStyle name="Normal 2 18" xfId="3631"/>
    <cellStyle name="Normal 2 19" xfId="3858"/>
    <cellStyle name="Normal 2 19 2" xfId="20667"/>
    <cellStyle name="Normal 2 19 2 2" xfId="20668"/>
    <cellStyle name="Normal 2 19 3" xfId="20669"/>
    <cellStyle name="Normal 2 19 4" xfId="20666"/>
    <cellStyle name="Normal 2 2" xfId="8"/>
    <cellStyle name="Normal 2 2 10" xfId="20670"/>
    <cellStyle name="Normal 2 2 10 2" xfId="20671"/>
    <cellStyle name="Normal 2 2 10 2 2" xfId="20672"/>
    <cellStyle name="Normal 2 2 10 3" xfId="20673"/>
    <cellStyle name="Normal 2 2 10 3 2" xfId="20674"/>
    <cellStyle name="Normal 2 2 10 4" xfId="20675"/>
    <cellStyle name="Normal 2 2 11" xfId="20676"/>
    <cellStyle name="Normal 2 2 11 2" xfId="20677"/>
    <cellStyle name="Normal 2 2 11 2 2" xfId="20678"/>
    <cellStyle name="Normal 2 2 11 3" xfId="20679"/>
    <cellStyle name="Normal 2 2 11 3 2" xfId="20680"/>
    <cellStyle name="Normal 2 2 11 4" xfId="20681"/>
    <cellStyle name="Normal 2 2 12" xfId="20682"/>
    <cellStyle name="Normal 2 2 12 2" xfId="20683"/>
    <cellStyle name="Normal 2 2 12 2 2" xfId="20684"/>
    <cellStyle name="Normal 2 2 12 3" xfId="20685"/>
    <cellStyle name="Normal 2 2 12 3 2" xfId="20686"/>
    <cellStyle name="Normal 2 2 12 4" xfId="20687"/>
    <cellStyle name="Normal 2 2 13" xfId="20688"/>
    <cellStyle name="Normal 2 2 13 2" xfId="20689"/>
    <cellStyle name="Normal 2 2 14" xfId="20690"/>
    <cellStyle name="Normal 2 2 14 2" xfId="20691"/>
    <cellStyle name="Normal 2 2 15" xfId="20692"/>
    <cellStyle name="Normal 2 2 15 2" xfId="20693"/>
    <cellStyle name="Normal 2 2 2" xfId="7103"/>
    <cellStyle name="Normal 2 2 2 2" xfId="20695"/>
    <cellStyle name="Normal 2 2 2 2 2" xfId="20696"/>
    <cellStyle name="Normal 2 2 2 3" xfId="20697"/>
    <cellStyle name="Normal 2 2 2 3 2" xfId="20698"/>
    <cellStyle name="Normal 2 2 2 4" xfId="20699"/>
    <cellStyle name="Normal 2 2 2 5" xfId="20694"/>
    <cellStyle name="Normal 2 2 3" xfId="20700"/>
    <cellStyle name="Normal 2 2 3 2" xfId="20701"/>
    <cellStyle name="Normal 2 2 3 2 2" xfId="20702"/>
    <cellStyle name="Normal 2 2 3 3" xfId="20703"/>
    <cellStyle name="Normal 2 2 3 3 2" xfId="20704"/>
    <cellStyle name="Normal 2 2 3 4" xfId="20705"/>
    <cellStyle name="Normal 2 2 3 5" xfId="24540"/>
    <cellStyle name="Normal 2 2 4" xfId="20706"/>
    <cellStyle name="Normal 2 2 4 2" xfId="20707"/>
    <cellStyle name="Normal 2 2 4 2 2" xfId="20708"/>
    <cellStyle name="Normal 2 2 4 3" xfId="20709"/>
    <cellStyle name="Normal 2 2 4 3 2" xfId="20710"/>
    <cellStyle name="Normal 2 2 4 4" xfId="20711"/>
    <cellStyle name="Normal 2 2 5" xfId="20712"/>
    <cellStyle name="Normal 2 2 5 2" xfId="20713"/>
    <cellStyle name="Normal 2 2 5 2 2" xfId="20714"/>
    <cellStyle name="Normal 2 2 5 3" xfId="20715"/>
    <cellStyle name="Normal 2 2 5 3 2" xfId="20716"/>
    <cellStyle name="Normal 2 2 5 4" xfId="20717"/>
    <cellStyle name="Normal 2 2 6" xfId="20718"/>
    <cellStyle name="Normal 2 2 6 2" xfId="20719"/>
    <cellStyle name="Normal 2 2 6 2 2" xfId="20720"/>
    <cellStyle name="Normal 2 2 6 3" xfId="20721"/>
    <cellStyle name="Normal 2 2 6 3 2" xfId="20722"/>
    <cellStyle name="Normal 2 2 6 4" xfId="20723"/>
    <cellStyle name="Normal 2 2 7" xfId="20724"/>
    <cellStyle name="Normal 2 2 7 2" xfId="20725"/>
    <cellStyle name="Normal 2 2 7 2 2" xfId="20726"/>
    <cellStyle name="Normal 2 2 7 3" xfId="20727"/>
    <cellStyle name="Normal 2 2 7 3 2" xfId="20728"/>
    <cellStyle name="Normal 2 2 7 4" xfId="20729"/>
    <cellStyle name="Normal 2 2 8" xfId="20730"/>
    <cellStyle name="Normal 2 2 8 2" xfId="20731"/>
    <cellStyle name="Normal 2 2 8 2 2" xfId="20732"/>
    <cellStyle name="Normal 2 2 8 3" xfId="20733"/>
    <cellStyle name="Normal 2 2 8 3 2" xfId="20734"/>
    <cellStyle name="Normal 2 2 8 4" xfId="20735"/>
    <cellStyle name="Normal 2 2 9" xfId="20736"/>
    <cellStyle name="Normal 2 2 9 2" xfId="20737"/>
    <cellStyle name="Normal 2 2 9 2 2" xfId="20738"/>
    <cellStyle name="Normal 2 2 9 3" xfId="20739"/>
    <cellStyle name="Normal 2 2 9 3 2" xfId="20740"/>
    <cellStyle name="Normal 2 2 9 4" xfId="20741"/>
    <cellStyle name="Normal 2 20" xfId="1001"/>
    <cellStyle name="Normal 2 20 2" xfId="20743"/>
    <cellStyle name="Normal 2 20 3" xfId="20742"/>
    <cellStyle name="Normal 2 21" xfId="20744"/>
    <cellStyle name="Normal 2 21 2" xfId="20745"/>
    <cellStyle name="Normal 2 22" xfId="24457"/>
    <cellStyle name="Normal 2 23" xfId="28685"/>
    <cellStyle name="Normal 2 24" xfId="28690"/>
    <cellStyle name="Normal 2 3" xfId="1274"/>
    <cellStyle name="Normal 2 3 10" xfId="20746"/>
    <cellStyle name="Normal 2 3 10 2" xfId="20747"/>
    <cellStyle name="Normal 2 3 10 2 2" xfId="20748"/>
    <cellStyle name="Normal 2 3 10 3" xfId="20749"/>
    <cellStyle name="Normal 2 3 10 3 2" xfId="20750"/>
    <cellStyle name="Normal 2 3 10 4" xfId="20751"/>
    <cellStyle name="Normal 2 3 11" xfId="20752"/>
    <cellStyle name="Normal 2 3 11 2" xfId="20753"/>
    <cellStyle name="Normal 2 3 11 2 2" xfId="20754"/>
    <cellStyle name="Normal 2 3 11 3" xfId="20755"/>
    <cellStyle name="Normal 2 3 11 3 2" xfId="20756"/>
    <cellStyle name="Normal 2 3 11 4" xfId="20757"/>
    <cellStyle name="Normal 2 3 12" xfId="20758"/>
    <cellStyle name="Normal 2 3 12 2" xfId="20759"/>
    <cellStyle name="Normal 2 3 12 2 2" xfId="20760"/>
    <cellStyle name="Normal 2 3 12 3" xfId="20761"/>
    <cellStyle name="Normal 2 3 12 3 2" xfId="20762"/>
    <cellStyle name="Normal 2 3 12 4" xfId="20763"/>
    <cellStyle name="Normal 2 3 13" xfId="20764"/>
    <cellStyle name="Normal 2 3 13 2" xfId="20765"/>
    <cellStyle name="Normal 2 3 14" xfId="20766"/>
    <cellStyle name="Normal 2 3 14 2" xfId="20767"/>
    <cellStyle name="Normal 2 3 15" xfId="20768"/>
    <cellStyle name="Normal 2 3 15 2" xfId="20769"/>
    <cellStyle name="Normal 2 3 2" xfId="20770"/>
    <cellStyle name="Normal 2 3 2 2" xfId="20771"/>
    <cellStyle name="Normal 2 3 2 2 2" xfId="20772"/>
    <cellStyle name="Normal 2 3 2 3" xfId="20773"/>
    <cellStyle name="Normal 2 3 2 3 2" xfId="20774"/>
    <cellStyle name="Normal 2 3 2 4" xfId="20775"/>
    <cellStyle name="Normal 2 3 3" xfId="20776"/>
    <cellStyle name="Normal 2 3 3 2" xfId="20777"/>
    <cellStyle name="Normal 2 3 3 2 2" xfId="20778"/>
    <cellStyle name="Normal 2 3 3 3" xfId="20779"/>
    <cellStyle name="Normal 2 3 3 3 2" xfId="20780"/>
    <cellStyle name="Normal 2 3 3 4" xfId="20781"/>
    <cellStyle name="Normal 2 3 4" xfId="20782"/>
    <cellStyle name="Normal 2 3 4 2" xfId="20783"/>
    <cellStyle name="Normal 2 3 4 2 2" xfId="20784"/>
    <cellStyle name="Normal 2 3 4 3" xfId="20785"/>
    <cellStyle name="Normal 2 3 4 3 2" xfId="20786"/>
    <cellStyle name="Normal 2 3 4 4" xfId="20787"/>
    <cellStyle name="Normal 2 3 5" xfId="20788"/>
    <cellStyle name="Normal 2 3 5 2" xfId="20789"/>
    <cellStyle name="Normal 2 3 5 2 2" xfId="20790"/>
    <cellStyle name="Normal 2 3 5 3" xfId="20791"/>
    <cellStyle name="Normal 2 3 5 3 2" xfId="20792"/>
    <cellStyle name="Normal 2 3 5 4" xfId="20793"/>
    <cellStyle name="Normal 2 3 6" xfId="20794"/>
    <cellStyle name="Normal 2 3 6 2" xfId="20795"/>
    <cellStyle name="Normal 2 3 6 2 2" xfId="20796"/>
    <cellStyle name="Normal 2 3 6 3" xfId="20797"/>
    <cellStyle name="Normal 2 3 6 3 2" xfId="20798"/>
    <cellStyle name="Normal 2 3 6 4" xfId="20799"/>
    <cellStyle name="Normal 2 3 7" xfId="20800"/>
    <cellStyle name="Normal 2 3 7 2" xfId="20801"/>
    <cellStyle name="Normal 2 3 7 2 2" xfId="20802"/>
    <cellStyle name="Normal 2 3 7 3" xfId="20803"/>
    <cellStyle name="Normal 2 3 7 3 2" xfId="20804"/>
    <cellStyle name="Normal 2 3 7 4" xfId="20805"/>
    <cellStyle name="Normal 2 3 8" xfId="20806"/>
    <cellStyle name="Normal 2 3 8 2" xfId="20807"/>
    <cellStyle name="Normal 2 3 8 2 2" xfId="20808"/>
    <cellStyle name="Normal 2 3 8 3" xfId="20809"/>
    <cellStyle name="Normal 2 3 8 3 2" xfId="20810"/>
    <cellStyle name="Normal 2 3 8 4" xfId="20811"/>
    <cellStyle name="Normal 2 3 9" xfId="20812"/>
    <cellStyle name="Normal 2 3 9 2" xfId="20813"/>
    <cellStyle name="Normal 2 3 9 2 2" xfId="20814"/>
    <cellStyle name="Normal 2 3 9 3" xfId="20815"/>
    <cellStyle name="Normal 2 3 9 3 2" xfId="20816"/>
    <cellStyle name="Normal 2 3 9 4" xfId="20817"/>
    <cellStyle name="Normal 2 4" xfId="1384"/>
    <cellStyle name="Normal 2 4 10" xfId="20818"/>
    <cellStyle name="Normal 2 4 10 2" xfId="20819"/>
    <cellStyle name="Normal 2 4 10 2 2" xfId="20820"/>
    <cellStyle name="Normal 2 4 10 3" xfId="20821"/>
    <cellStyle name="Normal 2 4 10 3 2" xfId="20822"/>
    <cellStyle name="Normal 2 4 10 4" xfId="20823"/>
    <cellStyle name="Normal 2 4 11" xfId="20824"/>
    <cellStyle name="Normal 2 4 11 2" xfId="20825"/>
    <cellStyle name="Normal 2 4 11 2 2" xfId="20826"/>
    <cellStyle name="Normal 2 4 11 3" xfId="20827"/>
    <cellStyle name="Normal 2 4 11 3 2" xfId="20828"/>
    <cellStyle name="Normal 2 4 11 4" xfId="20829"/>
    <cellStyle name="Normal 2 4 12" xfId="20830"/>
    <cellStyle name="Normal 2 4 12 2" xfId="20831"/>
    <cellStyle name="Normal 2 4 12 2 2" xfId="20832"/>
    <cellStyle name="Normal 2 4 12 3" xfId="20833"/>
    <cellStyle name="Normal 2 4 12 3 2" xfId="20834"/>
    <cellStyle name="Normal 2 4 12 4" xfId="20835"/>
    <cellStyle name="Normal 2 4 13" xfId="20836"/>
    <cellStyle name="Normal 2 4 13 2" xfId="20837"/>
    <cellStyle name="Normal 2 4 14" xfId="20838"/>
    <cellStyle name="Normal 2 4 14 2" xfId="20839"/>
    <cellStyle name="Normal 2 4 15" xfId="20840"/>
    <cellStyle name="Normal 2 4 15 2" xfId="20841"/>
    <cellStyle name="Normal 2 4 2" xfId="20842"/>
    <cellStyle name="Normal 2 4 2 2" xfId="20843"/>
    <cellStyle name="Normal 2 4 2 2 2" xfId="20844"/>
    <cellStyle name="Normal 2 4 2 3" xfId="20845"/>
    <cellStyle name="Normal 2 4 2 3 2" xfId="20846"/>
    <cellStyle name="Normal 2 4 2 4" xfId="20847"/>
    <cellStyle name="Normal 2 4 3" xfId="20848"/>
    <cellStyle name="Normal 2 4 3 2" xfId="20849"/>
    <cellStyle name="Normal 2 4 3 2 2" xfId="20850"/>
    <cellStyle name="Normal 2 4 3 3" xfId="20851"/>
    <cellStyle name="Normal 2 4 3 3 2" xfId="20852"/>
    <cellStyle name="Normal 2 4 3 4" xfId="20853"/>
    <cellStyle name="Normal 2 4 3 5" xfId="24793"/>
    <cellStyle name="Normal 2 4 3 5 2" xfId="26913"/>
    <cellStyle name="Normal 2 4 4" xfId="20854"/>
    <cellStyle name="Normal 2 4 4 2" xfId="20855"/>
    <cellStyle name="Normal 2 4 4 2 2" xfId="20856"/>
    <cellStyle name="Normal 2 4 4 3" xfId="20857"/>
    <cellStyle name="Normal 2 4 4 3 2" xfId="20858"/>
    <cellStyle name="Normal 2 4 4 4" xfId="20859"/>
    <cellStyle name="Normal 2 4 5" xfId="20860"/>
    <cellStyle name="Normal 2 4 5 2" xfId="20861"/>
    <cellStyle name="Normal 2 4 5 2 2" xfId="20862"/>
    <cellStyle name="Normal 2 4 5 3" xfId="20863"/>
    <cellStyle name="Normal 2 4 5 3 2" xfId="20864"/>
    <cellStyle name="Normal 2 4 5 4" xfId="20865"/>
    <cellStyle name="Normal 2 4 6" xfId="20866"/>
    <cellStyle name="Normal 2 4 6 2" xfId="20867"/>
    <cellStyle name="Normal 2 4 6 2 2" xfId="20868"/>
    <cellStyle name="Normal 2 4 6 3" xfId="20869"/>
    <cellStyle name="Normal 2 4 6 3 2" xfId="20870"/>
    <cellStyle name="Normal 2 4 6 4" xfId="20871"/>
    <cellStyle name="Normal 2 4 7" xfId="20872"/>
    <cellStyle name="Normal 2 4 7 2" xfId="20873"/>
    <cellStyle name="Normal 2 4 7 2 2" xfId="20874"/>
    <cellStyle name="Normal 2 4 7 3" xfId="20875"/>
    <cellStyle name="Normal 2 4 7 3 2" xfId="20876"/>
    <cellStyle name="Normal 2 4 7 4" xfId="20877"/>
    <cellStyle name="Normal 2 4 8" xfId="20878"/>
    <cellStyle name="Normal 2 4 8 2" xfId="20879"/>
    <cellStyle name="Normal 2 4 8 2 2" xfId="20880"/>
    <cellStyle name="Normal 2 4 8 3" xfId="20881"/>
    <cellStyle name="Normal 2 4 8 3 2" xfId="20882"/>
    <cellStyle name="Normal 2 4 8 4" xfId="20883"/>
    <cellStyle name="Normal 2 4 9" xfId="20884"/>
    <cellStyle name="Normal 2 4 9 2" xfId="20885"/>
    <cellStyle name="Normal 2 4 9 2 2" xfId="20886"/>
    <cellStyle name="Normal 2 4 9 3" xfId="20887"/>
    <cellStyle name="Normal 2 4 9 3 2" xfId="20888"/>
    <cellStyle name="Normal 2 4 9 4" xfId="20889"/>
    <cellStyle name="Normal 2 5" xfId="1388"/>
    <cellStyle name="Normal 2 5 2" xfId="20890"/>
    <cellStyle name="Normal 2 5 2 2" xfId="20891"/>
    <cellStyle name="Normal 2 5 2 2 2" xfId="20892"/>
    <cellStyle name="Normal 2 5 2 3" xfId="20893"/>
    <cellStyle name="Normal 2 5 2 3 2" xfId="20894"/>
    <cellStyle name="Normal 2 5 2 4" xfId="20895"/>
    <cellStyle name="Normal 2 5 2 5" xfId="24795"/>
    <cellStyle name="Normal 2 5 3" xfId="20896"/>
    <cellStyle name="Normal 2 5 3 2" xfId="20897"/>
    <cellStyle name="Normal 2 5 4" xfId="20898"/>
    <cellStyle name="Normal 2 5 4 2" xfId="20899"/>
    <cellStyle name="Normal 2 5 5" xfId="20900"/>
    <cellStyle name="Normal 2 5 5 2" xfId="20901"/>
    <cellStyle name="Normal 2 5 6" xfId="24794"/>
    <cellStyle name="Normal 2 6" xfId="1391"/>
    <cellStyle name="Normal 2 6 2" xfId="20902"/>
    <cellStyle name="Normal 2 6 2 2" xfId="20903"/>
    <cellStyle name="Normal 2 6 2 3" xfId="24797"/>
    <cellStyle name="Normal 2 6 3" xfId="20904"/>
    <cellStyle name="Normal 2 6 3 2" xfId="20905"/>
    <cellStyle name="Normal 2 6 4" xfId="20906"/>
    <cellStyle name="Normal 2 6 4 2" xfId="20907"/>
    <cellStyle name="Normal 2 6 5" xfId="24796"/>
    <cellStyle name="Normal 2 7" xfId="1394"/>
    <cellStyle name="Normal 2 7 2" xfId="20909"/>
    <cellStyle name="Normal 2 7 2 2" xfId="20910"/>
    <cellStyle name="Normal 2 7 3" xfId="20911"/>
    <cellStyle name="Normal 2 7 3 2" xfId="20912"/>
    <cellStyle name="Normal 2 7 4" xfId="20913"/>
    <cellStyle name="Normal 2 7 4 2" xfId="20914"/>
    <cellStyle name="Normal 2 7 5" xfId="24798"/>
    <cellStyle name="Normal 2 8" xfId="1568"/>
    <cellStyle name="Normal 2 8 2" xfId="20915"/>
    <cellStyle name="Normal 2 8 2 2" xfId="20916"/>
    <cellStyle name="Normal 2 8 3" xfId="20917"/>
    <cellStyle name="Normal 2 8 3 2" xfId="20918"/>
    <cellStyle name="Normal 2 8 4" xfId="20919"/>
    <cellStyle name="Normal 2 8 4 2" xfId="20920"/>
    <cellStyle name="Normal 2 9" xfId="1542"/>
    <cellStyle name="Normal 2 9 2" xfId="20921"/>
    <cellStyle name="Normal 2 9 2 2" xfId="20922"/>
    <cellStyle name="Normal 2 9 3" xfId="20923"/>
    <cellStyle name="Normal 2 9 3 2" xfId="20924"/>
    <cellStyle name="Normal 2 9 4" xfId="20925"/>
    <cellStyle name="Normal 2 9 4 2" xfId="20926"/>
    <cellStyle name="Normal 20" xfId="1015"/>
    <cellStyle name="Normal 20 10" xfId="20928"/>
    <cellStyle name="Normal 20 11" xfId="20927"/>
    <cellStyle name="Normal 20 2" xfId="3875"/>
    <cellStyle name="Normal 20 2 2" xfId="20930"/>
    <cellStyle name="Normal 20 2 3" xfId="20929"/>
    <cellStyle name="Normal 20 3" xfId="20931"/>
    <cellStyle name="Normal 20 3 2" xfId="20932"/>
    <cellStyle name="Normal 20 4" xfId="20933"/>
    <cellStyle name="Normal 20 4 2" xfId="20934"/>
    <cellStyle name="Normal 20 5" xfId="20935"/>
    <cellStyle name="Normal 20 5 2" xfId="20936"/>
    <cellStyle name="Normal 20 6" xfId="20937"/>
    <cellStyle name="Normal 20 6 2" xfId="20938"/>
    <cellStyle name="Normal 20 7" xfId="20939"/>
    <cellStyle name="Normal 20 7 2" xfId="20940"/>
    <cellStyle name="Normal 20 8" xfId="20941"/>
    <cellStyle name="Normal 20 8 2" xfId="20942"/>
    <cellStyle name="Normal 20 9" xfId="20943"/>
    <cellStyle name="Normal 20 9 2" xfId="20944"/>
    <cellStyle name="Normal 21" xfId="3816"/>
    <cellStyle name="Normal 21 10" xfId="20946"/>
    <cellStyle name="Normal 21 11" xfId="20945"/>
    <cellStyle name="Normal 21 2" xfId="20947"/>
    <cellStyle name="Normal 21 2 2" xfId="20948"/>
    <cellStyle name="Normal 21 3" xfId="20949"/>
    <cellStyle name="Normal 21 3 2" xfId="20950"/>
    <cellStyle name="Normal 21 4" xfId="20951"/>
    <cellStyle name="Normal 21 4 2" xfId="20952"/>
    <cellStyle name="Normal 21 5" xfId="20953"/>
    <cellStyle name="Normal 21 5 2" xfId="20954"/>
    <cellStyle name="Normal 21 6" xfId="20955"/>
    <cellStyle name="Normal 21 6 2" xfId="20956"/>
    <cellStyle name="Normal 21 7" xfId="20957"/>
    <cellStyle name="Normal 21 7 2" xfId="20958"/>
    <cellStyle name="Normal 21 8" xfId="20959"/>
    <cellStyle name="Normal 21 8 2" xfId="20960"/>
    <cellStyle name="Normal 21 9" xfId="20961"/>
    <cellStyle name="Normal 21 9 2" xfId="20962"/>
    <cellStyle name="Normal 22" xfId="1017"/>
    <cellStyle name="Normal 22 2" xfId="3877"/>
    <cellStyle name="Normal 22 2 2" xfId="20964"/>
    <cellStyle name="Normal 22 3" xfId="20963"/>
    <cellStyle name="Normal 23" xfId="4872"/>
    <cellStyle name="Normal 23 2" xfId="20966"/>
    <cellStyle name="Normal 23 3" xfId="20965"/>
    <cellStyle name="Normal 24" xfId="1018"/>
    <cellStyle name="Normal 24 2" xfId="3878"/>
    <cellStyle name="Normal 24 2 2" xfId="20969"/>
    <cellStyle name="Normal 24 2 3" xfId="20968"/>
    <cellStyle name="Normal 24 3" xfId="20970"/>
    <cellStyle name="Normal 24 3 2" xfId="20971"/>
    <cellStyle name="Normal 24 4" xfId="20972"/>
    <cellStyle name="Normal 24 4 2" xfId="20973"/>
    <cellStyle name="Normal 24 5" xfId="20974"/>
    <cellStyle name="Normal 24 6" xfId="20967"/>
    <cellStyle name="Normal 25" xfId="4873"/>
    <cellStyle name="Normal 25 2" xfId="20976"/>
    <cellStyle name="Normal 25 3" xfId="20975"/>
    <cellStyle name="Normal 26" xfId="1019"/>
    <cellStyle name="Normal 26 2" xfId="3880"/>
    <cellStyle name="Normal 26 2 2" xfId="20979"/>
    <cellStyle name="Normal 26 2 3" xfId="20978"/>
    <cellStyle name="Normal 26 3" xfId="20980"/>
    <cellStyle name="Normal 26 4" xfId="20977"/>
    <cellStyle name="Normal 27" xfId="7098"/>
    <cellStyle name="Normal 27 2" xfId="20982"/>
    <cellStyle name="Normal 27 3" xfId="20981"/>
    <cellStyle name="Normal 27 4" xfId="7116"/>
    <cellStyle name="Normal 28" xfId="1020"/>
    <cellStyle name="Normal 28 2" xfId="3882"/>
    <cellStyle name="Normal 29" xfId="7100"/>
    <cellStyle name="Normal 29 2" xfId="26914"/>
    <cellStyle name="Normal 3" xfId="9"/>
    <cellStyle name="Normal 3 2" xfId="10"/>
    <cellStyle name="Normal 3 2 2" xfId="4142"/>
    <cellStyle name="Normal 3 2 2 10" xfId="26916"/>
    <cellStyle name="Normal 3 2 2 2" xfId="4875"/>
    <cellStyle name="Normal 3 2 2 2 2" xfId="5450"/>
    <cellStyle name="Normal 3 2 2 2 2 2" xfId="6504"/>
    <cellStyle name="Normal 3 2 2 2 2 2 2" xfId="20986"/>
    <cellStyle name="Normal 3 2 2 2 2 2 3" xfId="26919"/>
    <cellStyle name="Normal 3 2 2 2 2 3" xfId="20985"/>
    <cellStyle name="Normal 3 2 2 2 2 4" xfId="26918"/>
    <cellStyle name="Normal 3 2 2 2 3" xfId="5760"/>
    <cellStyle name="Normal 3 2 2 2 3 2" xfId="6505"/>
    <cellStyle name="Normal 3 2 2 2 3 2 2" xfId="20988"/>
    <cellStyle name="Normal 3 2 2 2 3 2 3" xfId="26921"/>
    <cellStyle name="Normal 3 2 2 2 3 3" xfId="20987"/>
    <cellStyle name="Normal 3 2 2 2 3 4" xfId="26920"/>
    <cellStyle name="Normal 3 2 2 2 4" xfId="6503"/>
    <cellStyle name="Normal 3 2 2 2 4 2" xfId="20989"/>
    <cellStyle name="Normal 3 2 2 2 4 3" xfId="26922"/>
    <cellStyle name="Normal 3 2 2 2 5" xfId="20984"/>
    <cellStyle name="Normal 3 2 2 2 6" xfId="26917"/>
    <cellStyle name="Normal 3 2 2 3" xfId="5449"/>
    <cellStyle name="Normal 3 2 2 3 2" xfId="6506"/>
    <cellStyle name="Normal 3 2 2 3 2 2" xfId="20991"/>
    <cellStyle name="Normal 3 2 2 3 2 3" xfId="26924"/>
    <cellStyle name="Normal 3 2 2 3 3" xfId="20990"/>
    <cellStyle name="Normal 3 2 2 3 4" xfId="26923"/>
    <cellStyle name="Normal 3 2 2 4" xfId="5759"/>
    <cellStyle name="Normal 3 2 2 4 2" xfId="6507"/>
    <cellStyle name="Normal 3 2 2 4 2 2" xfId="20993"/>
    <cellStyle name="Normal 3 2 2 4 2 3" xfId="26926"/>
    <cellStyle name="Normal 3 2 2 4 3" xfId="20992"/>
    <cellStyle name="Normal 3 2 2 4 4" xfId="26925"/>
    <cellStyle name="Normal 3 2 2 5" xfId="4874"/>
    <cellStyle name="Normal 3 2 2 5 2" xfId="6508"/>
    <cellStyle name="Normal 3 2 2 5 2 2" xfId="26928"/>
    <cellStyle name="Normal 3 2 2 5 3" xfId="20994"/>
    <cellStyle name="Normal 3 2 2 5 4" xfId="26927"/>
    <cellStyle name="Normal 3 2 2 6" xfId="6502"/>
    <cellStyle name="Normal 3 2 2 6 2" xfId="26929"/>
    <cellStyle name="Normal 3 2 2 7" xfId="20983"/>
    <cellStyle name="Normal 3 2 2 8" xfId="24799"/>
    <cellStyle name="Normal 3 2 2 8 2" xfId="26930"/>
    <cellStyle name="Normal 3 2 2 9" xfId="24994"/>
    <cellStyle name="Normal 3 2 3" xfId="1275"/>
    <cellStyle name="Normal 3 2 3 2" xfId="5451"/>
    <cellStyle name="Normal 3 2 3 2 2" xfId="6510"/>
    <cellStyle name="Normal 3 2 3 2 2 2" xfId="26933"/>
    <cellStyle name="Normal 3 2 3 2 3" xfId="20996"/>
    <cellStyle name="Normal 3 2 3 2 4" xfId="26932"/>
    <cellStyle name="Normal 3 2 3 3" xfId="5761"/>
    <cellStyle name="Normal 3 2 3 3 2" xfId="6511"/>
    <cellStyle name="Normal 3 2 3 3 2 2" xfId="26935"/>
    <cellStyle name="Normal 3 2 3 3 3" xfId="26934"/>
    <cellStyle name="Normal 3 2 3 4" xfId="4876"/>
    <cellStyle name="Normal 3 2 3 4 2" xfId="6512"/>
    <cellStyle name="Normal 3 2 3 4 2 2" xfId="26937"/>
    <cellStyle name="Normal 3 2 3 4 3" xfId="26936"/>
    <cellStyle name="Normal 3 2 3 5" xfId="6509"/>
    <cellStyle name="Normal 3 2 3 5 2" xfId="26938"/>
    <cellStyle name="Normal 3 2 3 6" xfId="20995"/>
    <cellStyle name="Normal 3 2 3 7" xfId="24800"/>
    <cellStyle name="Normal 3 2 3 7 2" xfId="26939"/>
    <cellStyle name="Normal 3 2 3 8" xfId="26931"/>
    <cellStyle name="Normal 3 2 4" xfId="4877"/>
    <cellStyle name="Normal 3 2 4 2" xfId="6513"/>
    <cellStyle name="Normal 3 2 4 2 2" xfId="20999"/>
    <cellStyle name="Normal 3 2 4 2 3" xfId="20998"/>
    <cellStyle name="Normal 3 2 4 2 4" xfId="26941"/>
    <cellStyle name="Normal 3 2 4 3" xfId="21000"/>
    <cellStyle name="Normal 3 2 4 4" xfId="20997"/>
    <cellStyle name="Normal 3 2 4 5" xfId="24801"/>
    <cellStyle name="Normal 3 2 4 5 2" xfId="26942"/>
    <cellStyle name="Normal 3 2 4 6" xfId="26940"/>
    <cellStyle name="Normal 3 2 5" xfId="5448"/>
    <cellStyle name="Normal 3 2 5 2" xfId="6514"/>
    <cellStyle name="Normal 3 2 5 2 2" xfId="21003"/>
    <cellStyle name="Normal 3 2 5 2 3" xfId="21002"/>
    <cellStyle name="Normal 3 2 5 2 4" xfId="26944"/>
    <cellStyle name="Normal 3 2 5 3" xfId="21004"/>
    <cellStyle name="Normal 3 2 5 4" xfId="21001"/>
    <cellStyle name="Normal 3 2 5 5" xfId="26943"/>
    <cellStyle name="Normal 3 2 6" xfId="5758"/>
    <cellStyle name="Normal 3 2 6 2" xfId="6515"/>
    <cellStyle name="Normal 3 2 6 2 2" xfId="21006"/>
    <cellStyle name="Normal 3 2 6 2 3" xfId="26946"/>
    <cellStyle name="Normal 3 2 6 3" xfId="21005"/>
    <cellStyle name="Normal 3 2 6 4" xfId="26945"/>
    <cellStyle name="Normal 3 2 7" xfId="21007"/>
    <cellStyle name="Normal 3 2 7 2" xfId="21008"/>
    <cellStyle name="Normal 3 2 8" xfId="24505"/>
    <cellStyle name="Normal 3 2 8 2" xfId="26947"/>
    <cellStyle name="Normal 3 2 9" xfId="24874"/>
    <cellStyle name="Normal 3 3" xfId="60"/>
    <cellStyle name="Normal 3 3 2" xfId="21009"/>
    <cellStyle name="Normal 3 3 2 2" xfId="21010"/>
    <cellStyle name="Normal 3 3 2 3" xfId="24802"/>
    <cellStyle name="Normal 3 3 3" xfId="24803"/>
    <cellStyle name="Normal 3 3 3 2" xfId="26948"/>
    <cellStyle name="Normal 3 3 4" xfId="24541"/>
    <cellStyle name="Normal 3 4" xfId="66"/>
    <cellStyle name="Normal 3 4 2" xfId="3859"/>
    <cellStyle name="Normal 3 4 2 2" xfId="21013"/>
    <cellStyle name="Normal 3 4 2 2 2" xfId="21014"/>
    <cellStyle name="Normal 3 4 2 3" xfId="21015"/>
    <cellStyle name="Normal 3 4 2 3 2" xfId="21016"/>
    <cellStyle name="Normal 3 4 2 4" xfId="21017"/>
    <cellStyle name="Normal 3 4 2 5" xfId="21012"/>
    <cellStyle name="Normal 3 4 3" xfId="6516"/>
    <cellStyle name="Normal 3 4 3 2" xfId="21019"/>
    <cellStyle name="Normal 3 4 3 3" xfId="21018"/>
    <cellStyle name="Normal 3 4 3 4" xfId="26950"/>
    <cellStyle name="Normal 3 4 4" xfId="21020"/>
    <cellStyle name="Normal 3 4 4 2" xfId="21021"/>
    <cellStyle name="Normal 3 4 5" xfId="21022"/>
    <cellStyle name="Normal 3 4 6" xfId="21011"/>
    <cellStyle name="Normal 3 4 7" xfId="24570"/>
    <cellStyle name="Normal 3 4 7 2" xfId="26951"/>
    <cellStyle name="Normal 3 4 8" xfId="26949"/>
    <cellStyle name="Normal 3 5" xfId="1002"/>
    <cellStyle name="Normal 3 5 2" xfId="21023"/>
    <cellStyle name="Normal 3 5 3" xfId="24804"/>
    <cellStyle name="Normal 3 5 3 2" xfId="26952"/>
    <cellStyle name="Normal 3 6" xfId="6501"/>
    <cellStyle name="Normal 3 6 2" xfId="21025"/>
    <cellStyle name="Normal 3 6 2 2" xfId="21026"/>
    <cellStyle name="Normal 3 6 2 2 2" xfId="21027"/>
    <cellStyle name="Normal 3 6 2 3" xfId="21028"/>
    <cellStyle name="Normal 3 6 2 3 2" xfId="21029"/>
    <cellStyle name="Normal 3 6 2 4" xfId="21030"/>
    <cellStyle name="Normal 3 6 3" xfId="21031"/>
    <cellStyle name="Normal 3 6 3 2" xfId="21032"/>
    <cellStyle name="Normal 3 6 4" xfId="21033"/>
    <cellStyle name="Normal 3 6 4 2" xfId="21034"/>
    <cellStyle name="Normal 3 6 5" xfId="21035"/>
    <cellStyle name="Normal 3 6 6" xfId="21024"/>
    <cellStyle name="Normal 3 6 7" xfId="26953"/>
    <cellStyle name="Normal 3 7" xfId="24464"/>
    <cellStyle name="Normal 3 7 2" xfId="28689"/>
    <cellStyle name="Normal 3 8" xfId="26915"/>
    <cellStyle name="Normal 30" xfId="1021"/>
    <cellStyle name="Normal 30 2" xfId="3884"/>
    <cellStyle name="Normal 30 2 2" xfId="21037"/>
    <cellStyle name="Normal 30 3" xfId="21036"/>
    <cellStyle name="Normal 31" xfId="7113"/>
    <cellStyle name="Normal 31 2" xfId="26954"/>
    <cellStyle name="Normal 32" xfId="1023"/>
    <cellStyle name="Normal 32 2" xfId="3886"/>
    <cellStyle name="Normal 33" xfId="24465"/>
    <cellStyle name="Normal 34" xfId="1025"/>
    <cellStyle name="Normal 34 2" xfId="3888"/>
    <cellStyle name="Normal 35" xfId="24829"/>
    <cellStyle name="Normal 36" xfId="1027"/>
    <cellStyle name="Normal 36 2" xfId="3890"/>
    <cellStyle name="Normal 37" xfId="28137"/>
    <cellStyle name="Normal 38" xfId="1029"/>
    <cellStyle name="Normal 38 2" xfId="3892"/>
    <cellStyle name="Normal 39" xfId="28138"/>
    <cellStyle name="Normal 4" xfId="11"/>
    <cellStyle name="Normal 4 10" xfId="1108"/>
    <cellStyle name="Normal 4 10 10" xfId="21038"/>
    <cellStyle name="Normal 4 10 2" xfId="3672"/>
    <cellStyle name="Normal 4 10 2 2" xfId="4203"/>
    <cellStyle name="Normal 4 10 2 2 2" xfId="5454"/>
    <cellStyle name="Normal 4 10 2 2 2 2" xfId="6519"/>
    <cellStyle name="Normal 4 10 2 2 2 2 2" xfId="21042"/>
    <cellStyle name="Normal 4 10 2 2 2 2 3" xfId="26958"/>
    <cellStyle name="Normal 4 10 2 2 2 3" xfId="21041"/>
    <cellStyle name="Normal 4 10 2 2 2 4" xfId="26957"/>
    <cellStyle name="Normal 4 10 2 2 3" xfId="5764"/>
    <cellStyle name="Normal 4 10 2 2 3 2" xfId="6520"/>
    <cellStyle name="Normal 4 10 2 2 3 2 2" xfId="26960"/>
    <cellStyle name="Normal 4 10 2 2 3 3" xfId="21043"/>
    <cellStyle name="Normal 4 10 2 2 3 4" xfId="26959"/>
    <cellStyle name="Normal 4 10 2 2 4" xfId="4880"/>
    <cellStyle name="Normal 4 10 2 2 4 2" xfId="6521"/>
    <cellStyle name="Normal 4 10 2 2 4 2 2" xfId="26962"/>
    <cellStyle name="Normal 4 10 2 2 4 3" xfId="26961"/>
    <cellStyle name="Normal 4 10 2 2 5" xfId="6518"/>
    <cellStyle name="Normal 4 10 2 2 5 2" xfId="26963"/>
    <cellStyle name="Normal 4 10 2 2 6" xfId="21040"/>
    <cellStyle name="Normal 4 10 2 2 7" xfId="25055"/>
    <cellStyle name="Normal 4 10 2 2 8" xfId="26956"/>
    <cellStyle name="Normal 4 10 2 3" xfId="5453"/>
    <cellStyle name="Normal 4 10 2 3 2" xfId="6522"/>
    <cellStyle name="Normal 4 10 2 3 2 2" xfId="21046"/>
    <cellStyle name="Normal 4 10 2 3 2 3" xfId="21045"/>
    <cellStyle name="Normal 4 10 2 3 2 4" xfId="26965"/>
    <cellStyle name="Normal 4 10 2 3 3" xfId="21047"/>
    <cellStyle name="Normal 4 10 2 3 3 2" xfId="21048"/>
    <cellStyle name="Normal 4 10 2 3 4" xfId="21049"/>
    <cellStyle name="Normal 4 10 2 3 5" xfId="21044"/>
    <cellStyle name="Normal 4 10 2 3 6" xfId="26964"/>
    <cellStyle name="Normal 4 10 2 4" xfId="5763"/>
    <cellStyle name="Normal 4 10 2 4 2" xfId="6523"/>
    <cellStyle name="Normal 4 10 2 4 2 2" xfId="21051"/>
    <cellStyle name="Normal 4 10 2 4 2 3" xfId="26967"/>
    <cellStyle name="Normal 4 10 2 4 3" xfId="21050"/>
    <cellStyle name="Normal 4 10 2 4 4" xfId="26966"/>
    <cellStyle name="Normal 4 10 2 5" xfId="4879"/>
    <cellStyle name="Normal 4 10 2 5 2" xfId="6524"/>
    <cellStyle name="Normal 4 10 2 5 2 2" xfId="21053"/>
    <cellStyle name="Normal 4 10 2 5 2 3" xfId="26969"/>
    <cellStyle name="Normal 4 10 2 5 3" xfId="21052"/>
    <cellStyle name="Normal 4 10 2 5 4" xfId="26968"/>
    <cellStyle name="Normal 4 10 2 6" xfId="6517"/>
    <cellStyle name="Normal 4 10 2 6 2" xfId="21054"/>
    <cellStyle name="Normal 4 10 2 6 3" xfId="26970"/>
    <cellStyle name="Normal 4 10 2 7" xfId="21039"/>
    <cellStyle name="Normal 4 10 2 8" xfId="24935"/>
    <cellStyle name="Normal 4 10 2 9" xfId="26955"/>
    <cellStyle name="Normal 4 10 3" xfId="3978"/>
    <cellStyle name="Normal 4 10 3 2" xfId="5455"/>
    <cellStyle name="Normal 4 10 3 2 2" xfId="6525"/>
    <cellStyle name="Normal 4 10 3 2 2 2" xfId="21057"/>
    <cellStyle name="Normal 4 10 3 2 2 3" xfId="26972"/>
    <cellStyle name="Normal 4 10 3 2 3" xfId="21056"/>
    <cellStyle name="Normal 4 10 3 2 4" xfId="26971"/>
    <cellStyle name="Normal 4 10 3 3" xfId="5765"/>
    <cellStyle name="Normal 4 10 3 3 2" xfId="6526"/>
    <cellStyle name="Normal 4 10 3 3 2 2" xfId="26974"/>
    <cellStyle name="Normal 4 10 3 3 3" xfId="21058"/>
    <cellStyle name="Normal 4 10 3 3 4" xfId="26973"/>
    <cellStyle name="Normal 4 10 3 4" xfId="4881"/>
    <cellStyle name="Normal 4 10 3 4 2" xfId="6527"/>
    <cellStyle name="Normal 4 10 3 4 2 2" xfId="26976"/>
    <cellStyle name="Normal 4 10 3 4 3" xfId="26975"/>
    <cellStyle name="Normal 4 10 3 5" xfId="21055"/>
    <cellStyle name="Normal 4 10 4" xfId="5452"/>
    <cellStyle name="Normal 4 10 4 2" xfId="6528"/>
    <cellStyle name="Normal 4 10 4 2 2" xfId="21060"/>
    <cellStyle name="Normal 4 10 4 2 3" xfId="26978"/>
    <cellStyle name="Normal 4 10 4 3" xfId="21059"/>
    <cellStyle name="Normal 4 10 4 4" xfId="26977"/>
    <cellStyle name="Normal 4 10 5" xfId="5762"/>
    <cellStyle name="Normal 4 10 5 2" xfId="6529"/>
    <cellStyle name="Normal 4 10 5 2 2" xfId="21063"/>
    <cellStyle name="Normal 4 10 5 2 3" xfId="21062"/>
    <cellStyle name="Normal 4 10 5 2 4" xfId="26980"/>
    <cellStyle name="Normal 4 10 5 3" xfId="21064"/>
    <cellStyle name="Normal 4 10 5 4" xfId="21061"/>
    <cellStyle name="Normal 4 10 5 5" xfId="26979"/>
    <cellStyle name="Normal 4 10 6" xfId="4878"/>
    <cellStyle name="Normal 4 10 6 2" xfId="6530"/>
    <cellStyle name="Normal 4 10 6 2 2" xfId="21067"/>
    <cellStyle name="Normal 4 10 6 2 3" xfId="21066"/>
    <cellStyle name="Normal 4 10 6 2 4" xfId="26982"/>
    <cellStyle name="Normal 4 10 6 3" xfId="21068"/>
    <cellStyle name="Normal 4 10 6 4" xfId="21065"/>
    <cellStyle name="Normal 4 10 6 5" xfId="26981"/>
    <cellStyle name="Normal 4 10 7" xfId="21069"/>
    <cellStyle name="Normal 4 10 7 2" xfId="21070"/>
    <cellStyle name="Normal 4 10 8" xfId="21071"/>
    <cellStyle name="Normal 4 10 8 2" xfId="21072"/>
    <cellStyle name="Normal 4 10 9" xfId="21073"/>
    <cellStyle name="Normal 4 11" xfId="1118"/>
    <cellStyle name="Normal 4 11 2" xfId="3988"/>
    <cellStyle name="Normal 4 11 2 2" xfId="21075"/>
    <cellStyle name="Normal 4 11 2 3" xfId="21074"/>
    <cellStyle name="Normal 4 11 3" xfId="4882"/>
    <cellStyle name="Normal 4 11 3 2" xfId="21076"/>
    <cellStyle name="Normal 4 11 4" xfId="21077"/>
    <cellStyle name="Normal 4 11 4 2" xfId="21078"/>
    <cellStyle name="Normal 4 11 5" xfId="21079"/>
    <cellStyle name="Normal 4 11 5 2" xfId="21080"/>
    <cellStyle name="Normal 4 12" xfId="1128"/>
    <cellStyle name="Normal 4 12 2" xfId="3998"/>
    <cellStyle name="Normal 4 12 2 2" xfId="21083"/>
    <cellStyle name="Normal 4 12 2 3" xfId="21082"/>
    <cellStyle name="Normal 4 12 3" xfId="21084"/>
    <cellStyle name="Normal 4 12 3 2" xfId="21085"/>
    <cellStyle name="Normal 4 12 4" xfId="21086"/>
    <cellStyle name="Normal 4 12 4 2" xfId="21087"/>
    <cellStyle name="Normal 4 12 5" xfId="21088"/>
    <cellStyle name="Normal 4 12 6" xfId="21081"/>
    <cellStyle name="Normal 4 13" xfId="1138"/>
    <cellStyle name="Normal 4 13 2" xfId="4008"/>
    <cellStyle name="Normal 4 13 2 2" xfId="21091"/>
    <cellStyle name="Normal 4 13 2 3" xfId="21090"/>
    <cellStyle name="Normal 4 13 3" xfId="21092"/>
    <cellStyle name="Normal 4 13 3 2" xfId="21093"/>
    <cellStyle name="Normal 4 13 4" xfId="21094"/>
    <cellStyle name="Normal 4 13 4 2" xfId="21095"/>
    <cellStyle name="Normal 4 13 5" xfId="21096"/>
    <cellStyle name="Normal 4 13 6" xfId="21089"/>
    <cellStyle name="Normal 4 14" xfId="1151"/>
    <cellStyle name="Normal 4 14 2" xfId="4021"/>
    <cellStyle name="Normal 4 14 2 2" xfId="21099"/>
    <cellStyle name="Normal 4 14 2 3" xfId="21098"/>
    <cellStyle name="Normal 4 14 3" xfId="21100"/>
    <cellStyle name="Normal 4 14 3 2" xfId="21101"/>
    <cellStyle name="Normal 4 14 4" xfId="21102"/>
    <cellStyle name="Normal 4 14 4 2" xfId="21103"/>
    <cellStyle name="Normal 4 14 5" xfId="21104"/>
    <cellStyle name="Normal 4 14 6" xfId="21097"/>
    <cellStyle name="Normal 4 15" xfId="1155"/>
    <cellStyle name="Normal 4 15 2" xfId="4025"/>
    <cellStyle name="Normal 4 15 2 2" xfId="21107"/>
    <cellStyle name="Normal 4 15 2 3" xfId="21106"/>
    <cellStyle name="Normal 4 15 3" xfId="21108"/>
    <cellStyle name="Normal 4 15 4" xfId="21105"/>
    <cellStyle name="Normal 4 16" xfId="1168"/>
    <cellStyle name="Normal 4 16 2" xfId="4038"/>
    <cellStyle name="Normal 4 16 2 2" xfId="21111"/>
    <cellStyle name="Normal 4 16 2 3" xfId="21110"/>
    <cellStyle name="Normal 4 16 3" xfId="21112"/>
    <cellStyle name="Normal 4 16 4" xfId="21109"/>
    <cellStyle name="Normal 4 17" xfId="1178"/>
    <cellStyle name="Normal 4 17 2" xfId="4048"/>
    <cellStyle name="Normal 4 17 2 2" xfId="21115"/>
    <cellStyle name="Normal 4 17 2 3" xfId="21114"/>
    <cellStyle name="Normal 4 17 3" xfId="21116"/>
    <cellStyle name="Normal 4 17 4" xfId="21113"/>
    <cellStyle name="Normal 4 18" xfId="1188"/>
    <cellStyle name="Normal 4 18 2" xfId="4058"/>
    <cellStyle name="Normal 4 18 2 2" xfId="21118"/>
    <cellStyle name="Normal 4 18 3" xfId="21117"/>
    <cellStyle name="Normal 4 19" xfId="1198"/>
    <cellStyle name="Normal 4 19 2" xfId="4068"/>
    <cellStyle name="Normal 4 19 2 2" xfId="21120"/>
    <cellStyle name="Normal 4 19 3" xfId="21119"/>
    <cellStyle name="Normal 4 2" xfId="1037"/>
    <cellStyle name="Normal 4 2 10" xfId="21122"/>
    <cellStyle name="Normal 4 2 10 2" xfId="21123"/>
    <cellStyle name="Normal 4 2 10 2 2" xfId="21124"/>
    <cellStyle name="Normal 4 2 10 3" xfId="21125"/>
    <cellStyle name="Normal 4 2 10 3 2" xfId="21126"/>
    <cellStyle name="Normal 4 2 10 4" xfId="21127"/>
    <cellStyle name="Normal 4 2 11" xfId="21128"/>
    <cellStyle name="Normal 4 2 11 2" xfId="21129"/>
    <cellStyle name="Normal 4 2 11 2 2" xfId="21130"/>
    <cellStyle name="Normal 4 2 11 3" xfId="21131"/>
    <cellStyle name="Normal 4 2 11 3 2" xfId="21132"/>
    <cellStyle name="Normal 4 2 11 4" xfId="21133"/>
    <cellStyle name="Normal 4 2 12" xfId="21134"/>
    <cellStyle name="Normal 4 2 12 2" xfId="21135"/>
    <cellStyle name="Normal 4 2 12 2 2" xfId="21136"/>
    <cellStyle name="Normal 4 2 12 3" xfId="21137"/>
    <cellStyle name="Normal 4 2 12 3 2" xfId="21138"/>
    <cellStyle name="Normal 4 2 12 4" xfId="21139"/>
    <cellStyle name="Normal 4 2 13" xfId="21140"/>
    <cellStyle name="Normal 4 2 13 2" xfId="21141"/>
    <cellStyle name="Normal 4 2 14" xfId="21142"/>
    <cellStyle name="Normal 4 2 14 2" xfId="21143"/>
    <cellStyle name="Normal 4 2 15" xfId="21144"/>
    <cellStyle name="Normal 4 2 15 2" xfId="21145"/>
    <cellStyle name="Normal 4 2 16" xfId="21146"/>
    <cellStyle name="Normal 4 2 16 2" xfId="21147"/>
    <cellStyle name="Normal 4 2 16 2 2" xfId="21148"/>
    <cellStyle name="Normal 4 2 16 3" xfId="21149"/>
    <cellStyle name="Normal 4 2 17" xfId="21150"/>
    <cellStyle name="Normal 4 2 17 2" xfId="21151"/>
    <cellStyle name="Normal 4 2 17 2 2" xfId="21152"/>
    <cellStyle name="Normal 4 2 17 3" xfId="21153"/>
    <cellStyle name="Normal 4 2 18" xfId="21154"/>
    <cellStyle name="Normal 4 2 18 2" xfId="21155"/>
    <cellStyle name="Normal 4 2 19" xfId="21156"/>
    <cellStyle name="Normal 4 2 19 2" xfId="21157"/>
    <cellStyle name="Normal 4 2 2" xfId="3716"/>
    <cellStyle name="Normal 4 2 2 10" xfId="24938"/>
    <cellStyle name="Normal 4 2 2 11" xfId="26983"/>
    <cellStyle name="Normal 4 2 2 2" xfId="4206"/>
    <cellStyle name="Normal 4 2 2 2 2" xfId="4886"/>
    <cellStyle name="Normal 4 2 2 2 2 2" xfId="5459"/>
    <cellStyle name="Normal 4 2 2 2 2 2 2" xfId="6534"/>
    <cellStyle name="Normal 4 2 2 2 2 2 2 2" xfId="21162"/>
    <cellStyle name="Normal 4 2 2 2 2 2 2 3" xfId="26987"/>
    <cellStyle name="Normal 4 2 2 2 2 2 3" xfId="21161"/>
    <cellStyle name="Normal 4 2 2 2 2 2 4" xfId="26986"/>
    <cellStyle name="Normal 4 2 2 2 2 3" xfId="5769"/>
    <cellStyle name="Normal 4 2 2 2 2 3 2" xfId="6535"/>
    <cellStyle name="Normal 4 2 2 2 2 3 2 2" xfId="26989"/>
    <cellStyle name="Normal 4 2 2 2 2 3 3" xfId="21163"/>
    <cellStyle name="Normal 4 2 2 2 2 3 4" xfId="26988"/>
    <cellStyle name="Normal 4 2 2 2 2 4" xfId="6533"/>
    <cellStyle name="Normal 4 2 2 2 2 4 2" xfId="26990"/>
    <cellStyle name="Normal 4 2 2 2 2 5" xfId="21160"/>
    <cellStyle name="Normal 4 2 2 2 2 6" xfId="26985"/>
    <cellStyle name="Normal 4 2 2 2 3" xfId="5458"/>
    <cellStyle name="Normal 4 2 2 2 3 2" xfId="6536"/>
    <cellStyle name="Normal 4 2 2 2 3 2 2" xfId="21166"/>
    <cellStyle name="Normal 4 2 2 2 3 2 3" xfId="21165"/>
    <cellStyle name="Normal 4 2 2 2 3 2 4" xfId="26992"/>
    <cellStyle name="Normal 4 2 2 2 3 3" xfId="21167"/>
    <cellStyle name="Normal 4 2 2 2 3 3 2" xfId="21168"/>
    <cellStyle name="Normal 4 2 2 2 3 4" xfId="21169"/>
    <cellStyle name="Normal 4 2 2 2 3 5" xfId="21164"/>
    <cellStyle name="Normal 4 2 2 2 3 6" xfId="26991"/>
    <cellStyle name="Normal 4 2 2 2 4" xfId="5768"/>
    <cellStyle name="Normal 4 2 2 2 4 2" xfId="6537"/>
    <cellStyle name="Normal 4 2 2 2 4 2 2" xfId="21171"/>
    <cellStyle name="Normal 4 2 2 2 4 2 3" xfId="26994"/>
    <cellStyle name="Normal 4 2 2 2 4 3" xfId="21170"/>
    <cellStyle name="Normal 4 2 2 2 4 4" xfId="26993"/>
    <cellStyle name="Normal 4 2 2 2 5" xfId="4885"/>
    <cellStyle name="Normal 4 2 2 2 5 2" xfId="6538"/>
    <cellStyle name="Normal 4 2 2 2 5 2 2" xfId="21173"/>
    <cellStyle name="Normal 4 2 2 2 5 2 3" xfId="26996"/>
    <cellStyle name="Normal 4 2 2 2 5 3" xfId="21172"/>
    <cellStyle name="Normal 4 2 2 2 5 4" xfId="26995"/>
    <cellStyle name="Normal 4 2 2 2 6" xfId="6532"/>
    <cellStyle name="Normal 4 2 2 2 6 2" xfId="21174"/>
    <cellStyle name="Normal 4 2 2 2 6 3" xfId="26997"/>
    <cellStyle name="Normal 4 2 2 2 7" xfId="21159"/>
    <cellStyle name="Normal 4 2 2 2 8" xfId="25058"/>
    <cellStyle name="Normal 4 2 2 2 9" xfId="26984"/>
    <cellStyle name="Normal 4 2 2 3" xfId="4887"/>
    <cellStyle name="Normal 4 2 2 3 2" xfId="5460"/>
    <cellStyle name="Normal 4 2 2 3 2 2" xfId="6540"/>
    <cellStyle name="Normal 4 2 2 3 2 2 2" xfId="21177"/>
    <cellStyle name="Normal 4 2 2 3 2 2 3" xfId="27000"/>
    <cellStyle name="Normal 4 2 2 3 2 3" xfId="21176"/>
    <cellStyle name="Normal 4 2 2 3 2 4" xfId="26999"/>
    <cellStyle name="Normal 4 2 2 3 3" xfId="5770"/>
    <cellStyle name="Normal 4 2 2 3 3 2" xfId="6541"/>
    <cellStyle name="Normal 4 2 2 3 3 2 2" xfId="27002"/>
    <cellStyle name="Normal 4 2 2 3 3 3" xfId="21178"/>
    <cellStyle name="Normal 4 2 2 3 3 4" xfId="27001"/>
    <cellStyle name="Normal 4 2 2 3 4" xfId="6539"/>
    <cellStyle name="Normal 4 2 2 3 4 2" xfId="27003"/>
    <cellStyle name="Normal 4 2 2 3 5" xfId="21175"/>
    <cellStyle name="Normal 4 2 2 3 6" xfId="26998"/>
    <cellStyle name="Normal 4 2 2 4" xfId="5457"/>
    <cellStyle name="Normal 4 2 2 4 2" xfId="6542"/>
    <cellStyle name="Normal 4 2 2 4 2 2" xfId="21180"/>
    <cellStyle name="Normal 4 2 2 4 2 3" xfId="27005"/>
    <cellStyle name="Normal 4 2 2 4 3" xfId="21179"/>
    <cellStyle name="Normal 4 2 2 4 4" xfId="27004"/>
    <cellStyle name="Normal 4 2 2 5" xfId="5767"/>
    <cellStyle name="Normal 4 2 2 5 2" xfId="6543"/>
    <cellStyle name="Normal 4 2 2 5 2 2" xfId="21183"/>
    <cellStyle name="Normal 4 2 2 5 2 3" xfId="21182"/>
    <cellStyle name="Normal 4 2 2 5 2 4" xfId="27007"/>
    <cellStyle name="Normal 4 2 2 5 3" xfId="21184"/>
    <cellStyle name="Normal 4 2 2 5 3 2" xfId="21185"/>
    <cellStyle name="Normal 4 2 2 5 4" xfId="21186"/>
    <cellStyle name="Normal 4 2 2 5 5" xfId="21181"/>
    <cellStyle name="Normal 4 2 2 5 6" xfId="27006"/>
    <cellStyle name="Normal 4 2 2 6" xfId="4884"/>
    <cellStyle name="Normal 4 2 2 6 2" xfId="6544"/>
    <cellStyle name="Normal 4 2 2 6 2 2" xfId="21188"/>
    <cellStyle name="Normal 4 2 2 6 2 3" xfId="27009"/>
    <cellStyle name="Normal 4 2 2 6 3" xfId="21187"/>
    <cellStyle name="Normal 4 2 2 6 4" xfId="27008"/>
    <cellStyle name="Normal 4 2 2 7" xfId="6531"/>
    <cellStyle name="Normal 4 2 2 7 2" xfId="21190"/>
    <cellStyle name="Normal 4 2 2 7 3" xfId="21189"/>
    <cellStyle name="Normal 4 2 2 7 4" xfId="27010"/>
    <cellStyle name="Normal 4 2 2 8" xfId="21191"/>
    <cellStyle name="Normal 4 2 2 9" xfId="21158"/>
    <cellStyle name="Normal 4 2 20" xfId="21192"/>
    <cellStyle name="Normal 4 2 21" xfId="21121"/>
    <cellStyle name="Normal 4 2 3" xfId="1362"/>
    <cellStyle name="Normal 4 2 3 10" xfId="24894"/>
    <cellStyle name="Normal 4 2 3 11" xfId="27011"/>
    <cellStyle name="Normal 4 2 3 2" xfId="4162"/>
    <cellStyle name="Normal 4 2 3 2 2" xfId="5462"/>
    <cellStyle name="Normal 4 2 3 2 2 2" xfId="6547"/>
    <cellStyle name="Normal 4 2 3 2 2 2 2" xfId="21196"/>
    <cellStyle name="Normal 4 2 3 2 2 2 3" xfId="27014"/>
    <cellStyle name="Normal 4 2 3 2 2 3" xfId="21195"/>
    <cellStyle name="Normal 4 2 3 2 2 4" xfId="27013"/>
    <cellStyle name="Normal 4 2 3 2 3" xfId="5772"/>
    <cellStyle name="Normal 4 2 3 2 3 2" xfId="6548"/>
    <cellStyle name="Normal 4 2 3 2 3 2 2" xfId="27016"/>
    <cellStyle name="Normal 4 2 3 2 3 3" xfId="21197"/>
    <cellStyle name="Normal 4 2 3 2 3 4" xfId="27015"/>
    <cellStyle name="Normal 4 2 3 2 4" xfId="4889"/>
    <cellStyle name="Normal 4 2 3 2 4 2" xfId="6549"/>
    <cellStyle name="Normal 4 2 3 2 4 2 2" xfId="27018"/>
    <cellStyle name="Normal 4 2 3 2 4 3" xfId="27017"/>
    <cellStyle name="Normal 4 2 3 2 5" xfId="6546"/>
    <cellStyle name="Normal 4 2 3 2 5 2" xfId="27019"/>
    <cellStyle name="Normal 4 2 3 2 6" xfId="21194"/>
    <cellStyle name="Normal 4 2 3 2 7" xfId="25014"/>
    <cellStyle name="Normal 4 2 3 2 8" xfId="27012"/>
    <cellStyle name="Normal 4 2 3 3" xfId="5461"/>
    <cellStyle name="Normal 4 2 3 3 2" xfId="6550"/>
    <cellStyle name="Normal 4 2 3 3 2 2" xfId="21199"/>
    <cellStyle name="Normal 4 2 3 3 2 3" xfId="27021"/>
    <cellStyle name="Normal 4 2 3 3 3" xfId="21198"/>
    <cellStyle name="Normal 4 2 3 3 4" xfId="27020"/>
    <cellStyle name="Normal 4 2 3 4" xfId="5771"/>
    <cellStyle name="Normal 4 2 3 4 2" xfId="6551"/>
    <cellStyle name="Normal 4 2 3 4 2 2" xfId="21201"/>
    <cellStyle name="Normal 4 2 3 4 2 3" xfId="27023"/>
    <cellStyle name="Normal 4 2 3 4 3" xfId="21200"/>
    <cellStyle name="Normal 4 2 3 4 4" xfId="27022"/>
    <cellStyle name="Normal 4 2 3 5" xfId="4888"/>
    <cellStyle name="Normal 4 2 3 5 2" xfId="6552"/>
    <cellStyle name="Normal 4 2 3 5 2 2" xfId="21204"/>
    <cellStyle name="Normal 4 2 3 5 2 3" xfId="21203"/>
    <cellStyle name="Normal 4 2 3 5 2 4" xfId="27025"/>
    <cellStyle name="Normal 4 2 3 5 3" xfId="21205"/>
    <cellStyle name="Normal 4 2 3 5 3 2" xfId="21206"/>
    <cellStyle name="Normal 4 2 3 5 4" xfId="21207"/>
    <cellStyle name="Normal 4 2 3 5 5" xfId="21202"/>
    <cellStyle name="Normal 4 2 3 5 6" xfId="27024"/>
    <cellStyle name="Normal 4 2 3 6" xfId="6545"/>
    <cellStyle name="Normal 4 2 3 6 2" xfId="21209"/>
    <cellStyle name="Normal 4 2 3 6 3" xfId="21208"/>
    <cellStyle name="Normal 4 2 3 6 4" xfId="27026"/>
    <cellStyle name="Normal 4 2 3 7" xfId="21210"/>
    <cellStyle name="Normal 4 2 3 7 2" xfId="21211"/>
    <cellStyle name="Normal 4 2 3 8" xfId="21212"/>
    <cellStyle name="Normal 4 2 3 9" xfId="21193"/>
    <cellStyle name="Normal 4 2 4" xfId="3902"/>
    <cellStyle name="Normal 4 2 4 2" xfId="5463"/>
    <cellStyle name="Normal 4 2 4 2 2" xfId="6553"/>
    <cellStyle name="Normal 4 2 4 2 2 2" xfId="21215"/>
    <cellStyle name="Normal 4 2 4 2 2 3" xfId="27028"/>
    <cellStyle name="Normal 4 2 4 2 3" xfId="21214"/>
    <cellStyle name="Normal 4 2 4 2 4" xfId="27027"/>
    <cellStyle name="Normal 4 2 4 3" xfId="5773"/>
    <cellStyle name="Normal 4 2 4 3 2" xfId="6554"/>
    <cellStyle name="Normal 4 2 4 3 2 2" xfId="21217"/>
    <cellStyle name="Normal 4 2 4 3 2 3" xfId="27030"/>
    <cellStyle name="Normal 4 2 4 3 3" xfId="21216"/>
    <cellStyle name="Normal 4 2 4 3 4" xfId="27029"/>
    <cellStyle name="Normal 4 2 4 4" xfId="4890"/>
    <cellStyle name="Normal 4 2 4 4 2" xfId="6555"/>
    <cellStyle name="Normal 4 2 4 4 2 2" xfId="21219"/>
    <cellStyle name="Normal 4 2 4 4 2 3" xfId="27032"/>
    <cellStyle name="Normal 4 2 4 4 3" xfId="21218"/>
    <cellStyle name="Normal 4 2 4 4 4" xfId="27031"/>
    <cellStyle name="Normal 4 2 4 5" xfId="21220"/>
    <cellStyle name="Normal 4 2 4 6" xfId="21213"/>
    <cellStyle name="Normal 4 2 5" xfId="5456"/>
    <cellStyle name="Normal 4 2 5 2" xfId="6556"/>
    <cellStyle name="Normal 4 2 5 2 2" xfId="21223"/>
    <cellStyle name="Normal 4 2 5 2 3" xfId="21222"/>
    <cellStyle name="Normal 4 2 5 2 4" xfId="27034"/>
    <cellStyle name="Normal 4 2 5 3" xfId="21224"/>
    <cellStyle name="Normal 4 2 5 3 2" xfId="21225"/>
    <cellStyle name="Normal 4 2 5 4" xfId="21226"/>
    <cellStyle name="Normal 4 2 5 5" xfId="21221"/>
    <cellStyle name="Normal 4 2 5 6" xfId="27033"/>
    <cellStyle name="Normal 4 2 6" xfId="5766"/>
    <cellStyle name="Normal 4 2 6 2" xfId="6557"/>
    <cellStyle name="Normal 4 2 6 2 2" xfId="21229"/>
    <cellStyle name="Normal 4 2 6 2 3" xfId="21228"/>
    <cellStyle name="Normal 4 2 6 2 4" xfId="27036"/>
    <cellStyle name="Normal 4 2 6 3" xfId="21230"/>
    <cellStyle name="Normal 4 2 6 3 2" xfId="21231"/>
    <cellStyle name="Normal 4 2 6 4" xfId="21232"/>
    <cellStyle name="Normal 4 2 6 5" xfId="21227"/>
    <cellStyle name="Normal 4 2 6 6" xfId="27035"/>
    <cellStyle name="Normal 4 2 7" xfId="4883"/>
    <cellStyle name="Normal 4 2 7 2" xfId="6558"/>
    <cellStyle name="Normal 4 2 7 2 2" xfId="21235"/>
    <cellStyle name="Normal 4 2 7 2 3" xfId="21234"/>
    <cellStyle name="Normal 4 2 7 2 4" xfId="27038"/>
    <cellStyle name="Normal 4 2 7 3" xfId="21236"/>
    <cellStyle name="Normal 4 2 7 3 2" xfId="21237"/>
    <cellStyle name="Normal 4 2 7 4" xfId="21238"/>
    <cellStyle name="Normal 4 2 7 5" xfId="21233"/>
    <cellStyle name="Normal 4 2 7 6" xfId="27037"/>
    <cellStyle name="Normal 4 2 8" xfId="21239"/>
    <cellStyle name="Normal 4 2 8 2" xfId="21240"/>
    <cellStyle name="Normal 4 2 8 2 2" xfId="21241"/>
    <cellStyle name="Normal 4 2 8 3" xfId="21242"/>
    <cellStyle name="Normal 4 2 8 3 2" xfId="21243"/>
    <cellStyle name="Normal 4 2 8 4" xfId="21244"/>
    <cellStyle name="Normal 4 2 9" xfId="21245"/>
    <cellStyle name="Normal 4 2 9 2" xfId="21246"/>
    <cellStyle name="Normal 4 2 9 2 2" xfId="21247"/>
    <cellStyle name="Normal 4 2 9 3" xfId="21248"/>
    <cellStyle name="Normal 4 2 9 3 2" xfId="21249"/>
    <cellStyle name="Normal 4 2 9 4" xfId="21250"/>
    <cellStyle name="Normal 4 20" xfId="1208"/>
    <cellStyle name="Normal 4 20 2" xfId="4078"/>
    <cellStyle name="Normal 4 20 2 2" xfId="21252"/>
    <cellStyle name="Normal 4 20 3" xfId="21251"/>
    <cellStyle name="Normal 4 21" xfId="1218"/>
    <cellStyle name="Normal 4 21 2" xfId="4088"/>
    <cellStyle name="Normal 4 21 2 2" xfId="21254"/>
    <cellStyle name="Normal 4 21 3" xfId="21253"/>
    <cellStyle name="Normal 4 22" xfId="1228"/>
    <cellStyle name="Normal 4 22 2" xfId="4098"/>
    <cellStyle name="Normal 4 22 3" xfId="28687"/>
    <cellStyle name="Normal 4 23" xfId="1238"/>
    <cellStyle name="Normal 4 23 2" xfId="4108"/>
    <cellStyle name="Normal 4 24" xfId="1248"/>
    <cellStyle name="Normal 4 24 2" xfId="4118"/>
    <cellStyle name="Normal 4 25" xfId="1258"/>
    <cellStyle name="Normal 4 25 2" xfId="4128"/>
    <cellStyle name="Normal 4 26" xfId="3627"/>
    <cellStyle name="Normal 4 27" xfId="3829"/>
    <cellStyle name="Normal 4 27 2" xfId="6559"/>
    <cellStyle name="Normal 4 27 2 2" xfId="27040"/>
    <cellStyle name="Normal 4 27 3" xfId="24965"/>
    <cellStyle name="Normal 4 27 4" xfId="27039"/>
    <cellStyle name="Normal 4 28" xfId="502"/>
    <cellStyle name="Normal 4 28 2" xfId="6560"/>
    <cellStyle name="Normal 4 28 2 2" xfId="27042"/>
    <cellStyle name="Normal 4 28 3" xfId="27041"/>
    <cellStyle name="Normal 4 29" xfId="24843"/>
    <cellStyle name="Normal 4 3" xfId="1043"/>
    <cellStyle name="Normal 4 3 2" xfId="1534"/>
    <cellStyle name="Normal 4 3 2 10" xfId="24919"/>
    <cellStyle name="Normal 4 3 2 11" xfId="27043"/>
    <cellStyle name="Normal 4 3 2 2" xfId="4187"/>
    <cellStyle name="Normal 4 3 2 2 2" xfId="4893"/>
    <cellStyle name="Normal 4 3 2 2 2 2" xfId="5466"/>
    <cellStyle name="Normal 4 3 2 2 2 2 2" xfId="6564"/>
    <cellStyle name="Normal 4 3 2 2 2 2 2 2" xfId="21259"/>
    <cellStyle name="Normal 4 3 2 2 2 2 2 3" xfId="27047"/>
    <cellStyle name="Normal 4 3 2 2 2 2 3" xfId="21258"/>
    <cellStyle name="Normal 4 3 2 2 2 2 4" xfId="27046"/>
    <cellStyle name="Normal 4 3 2 2 2 3" xfId="5776"/>
    <cellStyle name="Normal 4 3 2 2 2 3 2" xfId="6565"/>
    <cellStyle name="Normal 4 3 2 2 2 3 2 2" xfId="27049"/>
    <cellStyle name="Normal 4 3 2 2 2 3 3" xfId="21260"/>
    <cellStyle name="Normal 4 3 2 2 2 3 4" xfId="27048"/>
    <cellStyle name="Normal 4 3 2 2 2 4" xfId="6563"/>
    <cellStyle name="Normal 4 3 2 2 2 4 2" xfId="27050"/>
    <cellStyle name="Normal 4 3 2 2 2 5" xfId="21257"/>
    <cellStyle name="Normal 4 3 2 2 2 6" xfId="27045"/>
    <cellStyle name="Normal 4 3 2 2 3" xfId="5465"/>
    <cellStyle name="Normal 4 3 2 2 3 2" xfId="6566"/>
    <cellStyle name="Normal 4 3 2 2 3 2 2" xfId="21263"/>
    <cellStyle name="Normal 4 3 2 2 3 2 3" xfId="21262"/>
    <cellStyle name="Normal 4 3 2 2 3 2 4" xfId="27052"/>
    <cellStyle name="Normal 4 3 2 2 3 3" xfId="21264"/>
    <cellStyle name="Normal 4 3 2 2 3 3 2" xfId="21265"/>
    <cellStyle name="Normal 4 3 2 2 3 4" xfId="21266"/>
    <cellStyle name="Normal 4 3 2 2 3 5" xfId="21261"/>
    <cellStyle name="Normal 4 3 2 2 3 6" xfId="27051"/>
    <cellStyle name="Normal 4 3 2 2 4" xfId="5775"/>
    <cellStyle name="Normal 4 3 2 2 4 2" xfId="6567"/>
    <cellStyle name="Normal 4 3 2 2 4 2 2" xfId="21268"/>
    <cellStyle name="Normal 4 3 2 2 4 2 3" xfId="27054"/>
    <cellStyle name="Normal 4 3 2 2 4 3" xfId="21267"/>
    <cellStyle name="Normal 4 3 2 2 4 4" xfId="27053"/>
    <cellStyle name="Normal 4 3 2 2 5" xfId="4892"/>
    <cellStyle name="Normal 4 3 2 2 5 2" xfId="6568"/>
    <cellStyle name="Normal 4 3 2 2 5 2 2" xfId="21270"/>
    <cellStyle name="Normal 4 3 2 2 5 2 3" xfId="27056"/>
    <cellStyle name="Normal 4 3 2 2 5 3" xfId="21269"/>
    <cellStyle name="Normal 4 3 2 2 5 4" xfId="27055"/>
    <cellStyle name="Normal 4 3 2 2 6" xfId="6562"/>
    <cellStyle name="Normal 4 3 2 2 6 2" xfId="21271"/>
    <cellStyle name="Normal 4 3 2 2 6 3" xfId="27057"/>
    <cellStyle name="Normal 4 3 2 2 7" xfId="21256"/>
    <cellStyle name="Normal 4 3 2 2 8" xfId="25039"/>
    <cellStyle name="Normal 4 3 2 2 9" xfId="27044"/>
    <cellStyle name="Normal 4 3 2 3" xfId="4894"/>
    <cellStyle name="Normal 4 3 2 3 2" xfId="5467"/>
    <cellStyle name="Normal 4 3 2 3 2 2" xfId="6570"/>
    <cellStyle name="Normal 4 3 2 3 2 2 2" xfId="21274"/>
    <cellStyle name="Normal 4 3 2 3 2 2 3" xfId="27060"/>
    <cellStyle name="Normal 4 3 2 3 2 3" xfId="21273"/>
    <cellStyle name="Normal 4 3 2 3 2 4" xfId="27059"/>
    <cellStyle name="Normal 4 3 2 3 3" xfId="5777"/>
    <cellStyle name="Normal 4 3 2 3 3 2" xfId="6571"/>
    <cellStyle name="Normal 4 3 2 3 3 2 2" xfId="27062"/>
    <cellStyle name="Normal 4 3 2 3 3 3" xfId="21275"/>
    <cellStyle name="Normal 4 3 2 3 3 4" xfId="27061"/>
    <cellStyle name="Normal 4 3 2 3 4" xfId="6569"/>
    <cellStyle name="Normal 4 3 2 3 4 2" xfId="27063"/>
    <cellStyle name="Normal 4 3 2 3 5" xfId="21272"/>
    <cellStyle name="Normal 4 3 2 3 6" xfId="27058"/>
    <cellStyle name="Normal 4 3 2 4" xfId="5464"/>
    <cellStyle name="Normal 4 3 2 4 2" xfId="6572"/>
    <cellStyle name="Normal 4 3 2 4 2 2" xfId="21277"/>
    <cellStyle name="Normal 4 3 2 4 2 3" xfId="27065"/>
    <cellStyle name="Normal 4 3 2 4 3" xfId="21276"/>
    <cellStyle name="Normal 4 3 2 4 4" xfId="27064"/>
    <cellStyle name="Normal 4 3 2 5" xfId="5774"/>
    <cellStyle name="Normal 4 3 2 5 2" xfId="6573"/>
    <cellStyle name="Normal 4 3 2 5 2 2" xfId="21280"/>
    <cellStyle name="Normal 4 3 2 5 2 3" xfId="21279"/>
    <cellStyle name="Normal 4 3 2 5 2 4" xfId="27067"/>
    <cellStyle name="Normal 4 3 2 5 3" xfId="21281"/>
    <cellStyle name="Normal 4 3 2 5 3 2" xfId="21282"/>
    <cellStyle name="Normal 4 3 2 5 4" xfId="21283"/>
    <cellStyle name="Normal 4 3 2 5 5" xfId="21278"/>
    <cellStyle name="Normal 4 3 2 5 6" xfId="27066"/>
    <cellStyle name="Normal 4 3 2 6" xfId="4891"/>
    <cellStyle name="Normal 4 3 2 6 2" xfId="6574"/>
    <cellStyle name="Normal 4 3 2 6 2 2" xfId="21285"/>
    <cellStyle name="Normal 4 3 2 6 2 3" xfId="27069"/>
    <cellStyle name="Normal 4 3 2 6 3" xfId="21284"/>
    <cellStyle name="Normal 4 3 2 6 4" xfId="27068"/>
    <cellStyle name="Normal 4 3 2 7" xfId="6561"/>
    <cellStyle name="Normal 4 3 2 7 2" xfId="21287"/>
    <cellStyle name="Normal 4 3 2 7 3" xfId="21286"/>
    <cellStyle name="Normal 4 3 2 7 4" xfId="27070"/>
    <cellStyle name="Normal 4 3 2 8" xfId="21288"/>
    <cellStyle name="Normal 4 3 2 9" xfId="21255"/>
    <cellStyle name="Normal 4 3 3" xfId="1659"/>
    <cellStyle name="Normal 4 3 3 10" xfId="27071"/>
    <cellStyle name="Normal 4 3 3 2" xfId="4196"/>
    <cellStyle name="Normal 4 3 3 2 2" xfId="4897"/>
    <cellStyle name="Normal 4 3 3 2 2 2" xfId="5470"/>
    <cellStyle name="Normal 4 3 3 2 2 2 2" xfId="6578"/>
    <cellStyle name="Normal 4 3 3 2 2 2 2 2" xfId="21293"/>
    <cellStyle name="Normal 4 3 3 2 2 2 2 3" xfId="27075"/>
    <cellStyle name="Normal 4 3 3 2 2 2 3" xfId="21292"/>
    <cellStyle name="Normal 4 3 3 2 2 2 4" xfId="27074"/>
    <cellStyle name="Normal 4 3 3 2 2 3" xfId="5780"/>
    <cellStyle name="Normal 4 3 3 2 2 3 2" xfId="6579"/>
    <cellStyle name="Normal 4 3 3 2 2 3 2 2" xfId="21295"/>
    <cellStyle name="Normal 4 3 3 2 2 3 2 3" xfId="27077"/>
    <cellStyle name="Normal 4 3 3 2 2 3 3" xfId="21294"/>
    <cellStyle name="Normal 4 3 3 2 2 3 4" xfId="27076"/>
    <cellStyle name="Normal 4 3 3 2 2 4" xfId="6577"/>
    <cellStyle name="Normal 4 3 3 2 2 4 2" xfId="21296"/>
    <cellStyle name="Normal 4 3 3 2 2 4 3" xfId="27078"/>
    <cellStyle name="Normal 4 3 3 2 2 5" xfId="21291"/>
    <cellStyle name="Normal 4 3 3 2 2 6" xfId="27073"/>
    <cellStyle name="Normal 4 3 3 2 3" xfId="5469"/>
    <cellStyle name="Normal 4 3 3 2 3 2" xfId="6580"/>
    <cellStyle name="Normal 4 3 3 2 3 2 2" xfId="21298"/>
    <cellStyle name="Normal 4 3 3 2 3 2 3" xfId="27080"/>
    <cellStyle name="Normal 4 3 3 2 3 3" xfId="21297"/>
    <cellStyle name="Normal 4 3 3 2 3 4" xfId="27079"/>
    <cellStyle name="Normal 4 3 3 2 4" xfId="5779"/>
    <cellStyle name="Normal 4 3 3 2 4 2" xfId="6581"/>
    <cellStyle name="Normal 4 3 3 2 4 2 2" xfId="21300"/>
    <cellStyle name="Normal 4 3 3 2 4 2 3" xfId="27082"/>
    <cellStyle name="Normal 4 3 3 2 4 3" xfId="21299"/>
    <cellStyle name="Normal 4 3 3 2 4 4" xfId="27081"/>
    <cellStyle name="Normal 4 3 3 2 5" xfId="4896"/>
    <cellStyle name="Normal 4 3 3 2 5 2" xfId="6582"/>
    <cellStyle name="Normal 4 3 3 2 5 2 2" xfId="27084"/>
    <cellStyle name="Normal 4 3 3 2 5 3" xfId="21301"/>
    <cellStyle name="Normal 4 3 3 2 5 4" xfId="27083"/>
    <cellStyle name="Normal 4 3 3 2 6" xfId="6576"/>
    <cellStyle name="Normal 4 3 3 2 6 2" xfId="27085"/>
    <cellStyle name="Normal 4 3 3 2 7" xfId="21290"/>
    <cellStyle name="Normal 4 3 3 2 8" xfId="25048"/>
    <cellStyle name="Normal 4 3 3 2 9" xfId="27072"/>
    <cellStyle name="Normal 4 3 3 3" xfId="4898"/>
    <cellStyle name="Normal 4 3 3 3 2" xfId="5471"/>
    <cellStyle name="Normal 4 3 3 3 2 2" xfId="6584"/>
    <cellStyle name="Normal 4 3 3 3 2 2 2" xfId="21304"/>
    <cellStyle name="Normal 4 3 3 3 2 2 3" xfId="27088"/>
    <cellStyle name="Normal 4 3 3 3 2 3" xfId="21303"/>
    <cellStyle name="Normal 4 3 3 3 2 4" xfId="27087"/>
    <cellStyle name="Normal 4 3 3 3 3" xfId="5781"/>
    <cellStyle name="Normal 4 3 3 3 3 2" xfId="6585"/>
    <cellStyle name="Normal 4 3 3 3 3 2 2" xfId="27090"/>
    <cellStyle name="Normal 4 3 3 3 3 3" xfId="21305"/>
    <cellStyle name="Normal 4 3 3 3 3 4" xfId="27089"/>
    <cellStyle name="Normal 4 3 3 3 4" xfId="6583"/>
    <cellStyle name="Normal 4 3 3 3 4 2" xfId="27091"/>
    <cellStyle name="Normal 4 3 3 3 5" xfId="21302"/>
    <cellStyle name="Normal 4 3 3 3 6" xfId="27086"/>
    <cellStyle name="Normal 4 3 3 4" xfId="5468"/>
    <cellStyle name="Normal 4 3 3 4 2" xfId="6586"/>
    <cellStyle name="Normal 4 3 3 4 2 2" xfId="21308"/>
    <cellStyle name="Normal 4 3 3 4 2 3" xfId="21307"/>
    <cellStyle name="Normal 4 3 3 4 2 4" xfId="27093"/>
    <cellStyle name="Normal 4 3 3 4 3" xfId="21309"/>
    <cellStyle name="Normal 4 3 3 4 3 2" xfId="21310"/>
    <cellStyle name="Normal 4 3 3 4 4" xfId="21311"/>
    <cellStyle name="Normal 4 3 3 4 5" xfId="21306"/>
    <cellStyle name="Normal 4 3 3 4 6" xfId="27092"/>
    <cellStyle name="Normal 4 3 3 5" xfId="5778"/>
    <cellStyle name="Normal 4 3 3 5 2" xfId="6587"/>
    <cellStyle name="Normal 4 3 3 5 2 2" xfId="21313"/>
    <cellStyle name="Normal 4 3 3 5 2 3" xfId="27095"/>
    <cellStyle name="Normal 4 3 3 5 3" xfId="21312"/>
    <cellStyle name="Normal 4 3 3 5 4" xfId="27094"/>
    <cellStyle name="Normal 4 3 3 6" xfId="4895"/>
    <cellStyle name="Normal 4 3 3 6 2" xfId="6588"/>
    <cellStyle name="Normal 4 3 3 6 2 2" xfId="21315"/>
    <cellStyle name="Normal 4 3 3 6 2 3" xfId="27097"/>
    <cellStyle name="Normal 4 3 3 6 3" xfId="21314"/>
    <cellStyle name="Normal 4 3 3 6 4" xfId="27096"/>
    <cellStyle name="Normal 4 3 3 7" xfId="6575"/>
    <cellStyle name="Normal 4 3 3 7 2" xfId="21316"/>
    <cellStyle name="Normal 4 3 3 7 3" xfId="27098"/>
    <cellStyle name="Normal 4 3 3 8" xfId="21289"/>
    <cellStyle name="Normal 4 3 3 9" xfId="24928"/>
    <cellStyle name="Normal 4 3 4" xfId="3623"/>
    <cellStyle name="Normal 4 3 4 10" xfId="27099"/>
    <cellStyle name="Normal 4 3 4 2" xfId="4201"/>
    <cellStyle name="Normal 4 3 4 2 2" xfId="4901"/>
    <cellStyle name="Normal 4 3 4 2 2 2" xfId="5474"/>
    <cellStyle name="Normal 4 3 4 2 2 2 2" xfId="6592"/>
    <cellStyle name="Normal 4 3 4 2 2 2 2 2" xfId="21321"/>
    <cellStyle name="Normal 4 3 4 2 2 2 2 3" xfId="27103"/>
    <cellStyle name="Normal 4 3 4 2 2 2 3" xfId="21320"/>
    <cellStyle name="Normal 4 3 4 2 2 2 4" xfId="27102"/>
    <cellStyle name="Normal 4 3 4 2 2 3" xfId="5784"/>
    <cellStyle name="Normal 4 3 4 2 2 3 2" xfId="6593"/>
    <cellStyle name="Normal 4 3 4 2 2 3 2 2" xfId="21323"/>
    <cellStyle name="Normal 4 3 4 2 2 3 2 3" xfId="27105"/>
    <cellStyle name="Normal 4 3 4 2 2 3 3" xfId="21322"/>
    <cellStyle name="Normal 4 3 4 2 2 3 4" xfId="27104"/>
    <cellStyle name="Normal 4 3 4 2 2 4" xfId="6591"/>
    <cellStyle name="Normal 4 3 4 2 2 4 2" xfId="21324"/>
    <cellStyle name="Normal 4 3 4 2 2 4 3" xfId="27106"/>
    <cellStyle name="Normal 4 3 4 2 2 5" xfId="21319"/>
    <cellStyle name="Normal 4 3 4 2 2 6" xfId="27101"/>
    <cellStyle name="Normal 4 3 4 2 3" xfId="5473"/>
    <cellStyle name="Normal 4 3 4 2 3 2" xfId="6594"/>
    <cellStyle name="Normal 4 3 4 2 3 2 2" xfId="21326"/>
    <cellStyle name="Normal 4 3 4 2 3 2 3" xfId="27108"/>
    <cellStyle name="Normal 4 3 4 2 3 3" xfId="21325"/>
    <cellStyle name="Normal 4 3 4 2 3 4" xfId="27107"/>
    <cellStyle name="Normal 4 3 4 2 4" xfId="5783"/>
    <cellStyle name="Normal 4 3 4 2 4 2" xfId="6595"/>
    <cellStyle name="Normal 4 3 4 2 4 2 2" xfId="21328"/>
    <cellStyle name="Normal 4 3 4 2 4 2 3" xfId="27110"/>
    <cellStyle name="Normal 4 3 4 2 4 3" xfId="21327"/>
    <cellStyle name="Normal 4 3 4 2 4 4" xfId="27109"/>
    <cellStyle name="Normal 4 3 4 2 5" xfId="4900"/>
    <cellStyle name="Normal 4 3 4 2 5 2" xfId="6596"/>
    <cellStyle name="Normal 4 3 4 2 5 2 2" xfId="27112"/>
    <cellStyle name="Normal 4 3 4 2 5 3" xfId="21329"/>
    <cellStyle name="Normal 4 3 4 2 5 4" xfId="27111"/>
    <cellStyle name="Normal 4 3 4 2 6" xfId="6590"/>
    <cellStyle name="Normal 4 3 4 2 6 2" xfId="27113"/>
    <cellStyle name="Normal 4 3 4 2 7" xfId="21318"/>
    <cellStyle name="Normal 4 3 4 2 8" xfId="25053"/>
    <cellStyle name="Normal 4 3 4 2 9" xfId="27100"/>
    <cellStyle name="Normal 4 3 4 3" xfId="4902"/>
    <cellStyle name="Normal 4 3 4 3 2" xfId="5475"/>
    <cellStyle name="Normal 4 3 4 3 2 2" xfId="6598"/>
    <cellStyle name="Normal 4 3 4 3 2 2 2" xfId="21332"/>
    <cellStyle name="Normal 4 3 4 3 2 2 3" xfId="27116"/>
    <cellStyle name="Normal 4 3 4 3 2 3" xfId="21331"/>
    <cellStyle name="Normal 4 3 4 3 2 4" xfId="27115"/>
    <cellStyle name="Normal 4 3 4 3 3" xfId="5785"/>
    <cellStyle name="Normal 4 3 4 3 3 2" xfId="6599"/>
    <cellStyle name="Normal 4 3 4 3 3 2 2" xfId="27118"/>
    <cellStyle name="Normal 4 3 4 3 3 3" xfId="21333"/>
    <cellStyle name="Normal 4 3 4 3 3 4" xfId="27117"/>
    <cellStyle name="Normal 4 3 4 3 4" xfId="6597"/>
    <cellStyle name="Normal 4 3 4 3 4 2" xfId="27119"/>
    <cellStyle name="Normal 4 3 4 3 5" xfId="21330"/>
    <cellStyle name="Normal 4 3 4 3 6" xfId="27114"/>
    <cellStyle name="Normal 4 3 4 4" xfId="5472"/>
    <cellStyle name="Normal 4 3 4 4 2" xfId="6600"/>
    <cellStyle name="Normal 4 3 4 4 2 2" xfId="21336"/>
    <cellStyle name="Normal 4 3 4 4 2 3" xfId="21335"/>
    <cellStyle name="Normal 4 3 4 4 2 4" xfId="27121"/>
    <cellStyle name="Normal 4 3 4 4 3" xfId="21337"/>
    <cellStyle name="Normal 4 3 4 4 3 2" xfId="21338"/>
    <cellStyle name="Normal 4 3 4 4 4" xfId="21339"/>
    <cellStyle name="Normal 4 3 4 4 5" xfId="21334"/>
    <cellStyle name="Normal 4 3 4 4 6" xfId="27120"/>
    <cellStyle name="Normal 4 3 4 5" xfId="5782"/>
    <cellStyle name="Normal 4 3 4 5 2" xfId="6601"/>
    <cellStyle name="Normal 4 3 4 5 2 2" xfId="21341"/>
    <cellStyle name="Normal 4 3 4 5 2 3" xfId="27123"/>
    <cellStyle name="Normal 4 3 4 5 3" xfId="21340"/>
    <cellStyle name="Normal 4 3 4 5 4" xfId="27122"/>
    <cellStyle name="Normal 4 3 4 6" xfId="4899"/>
    <cellStyle name="Normal 4 3 4 6 2" xfId="6602"/>
    <cellStyle name="Normal 4 3 4 6 2 2" xfId="21343"/>
    <cellStyle name="Normal 4 3 4 6 2 3" xfId="27125"/>
    <cellStyle name="Normal 4 3 4 6 3" xfId="21342"/>
    <cellStyle name="Normal 4 3 4 6 4" xfId="27124"/>
    <cellStyle name="Normal 4 3 4 7" xfId="6589"/>
    <cellStyle name="Normal 4 3 4 7 2" xfId="21344"/>
    <cellStyle name="Normal 4 3 4 7 3" xfId="27126"/>
    <cellStyle name="Normal 4 3 4 8" xfId="21317"/>
    <cellStyle name="Normal 4 3 4 9" xfId="24933"/>
    <cellStyle name="Normal 4 3 5" xfId="3760"/>
    <cellStyle name="Normal 4 3 5 10" xfId="27127"/>
    <cellStyle name="Normal 4 3 5 2" xfId="4209"/>
    <cellStyle name="Normal 4 3 5 2 2" xfId="4905"/>
    <cellStyle name="Normal 4 3 5 2 2 2" xfId="5478"/>
    <cellStyle name="Normal 4 3 5 2 2 2 2" xfId="6606"/>
    <cellStyle name="Normal 4 3 5 2 2 2 2 2" xfId="21349"/>
    <cellStyle name="Normal 4 3 5 2 2 2 2 3" xfId="27131"/>
    <cellStyle name="Normal 4 3 5 2 2 2 3" xfId="21348"/>
    <cellStyle name="Normal 4 3 5 2 2 2 4" xfId="27130"/>
    <cellStyle name="Normal 4 3 5 2 2 3" xfId="5788"/>
    <cellStyle name="Normal 4 3 5 2 2 3 2" xfId="6607"/>
    <cellStyle name="Normal 4 3 5 2 2 3 2 2" xfId="21351"/>
    <cellStyle name="Normal 4 3 5 2 2 3 2 3" xfId="27133"/>
    <cellStyle name="Normal 4 3 5 2 2 3 3" xfId="21350"/>
    <cellStyle name="Normal 4 3 5 2 2 3 4" xfId="27132"/>
    <cellStyle name="Normal 4 3 5 2 2 4" xfId="6605"/>
    <cellStyle name="Normal 4 3 5 2 2 4 2" xfId="21352"/>
    <cellStyle name="Normal 4 3 5 2 2 4 3" xfId="27134"/>
    <cellStyle name="Normal 4 3 5 2 2 5" xfId="21347"/>
    <cellStyle name="Normal 4 3 5 2 2 6" xfId="27129"/>
    <cellStyle name="Normal 4 3 5 2 3" xfId="5477"/>
    <cellStyle name="Normal 4 3 5 2 3 2" xfId="6608"/>
    <cellStyle name="Normal 4 3 5 2 3 2 2" xfId="21354"/>
    <cellStyle name="Normal 4 3 5 2 3 2 3" xfId="27136"/>
    <cellStyle name="Normal 4 3 5 2 3 3" xfId="21353"/>
    <cellStyle name="Normal 4 3 5 2 3 4" xfId="27135"/>
    <cellStyle name="Normal 4 3 5 2 4" xfId="5787"/>
    <cellStyle name="Normal 4 3 5 2 4 2" xfId="6609"/>
    <cellStyle name="Normal 4 3 5 2 4 2 2" xfId="21356"/>
    <cellStyle name="Normal 4 3 5 2 4 2 3" xfId="27138"/>
    <cellStyle name="Normal 4 3 5 2 4 3" xfId="21355"/>
    <cellStyle name="Normal 4 3 5 2 4 4" xfId="27137"/>
    <cellStyle name="Normal 4 3 5 2 5" xfId="4904"/>
    <cellStyle name="Normal 4 3 5 2 5 2" xfId="6610"/>
    <cellStyle name="Normal 4 3 5 2 5 2 2" xfId="27140"/>
    <cellStyle name="Normal 4 3 5 2 5 3" xfId="21357"/>
    <cellStyle name="Normal 4 3 5 2 5 4" xfId="27139"/>
    <cellStyle name="Normal 4 3 5 2 6" xfId="6604"/>
    <cellStyle name="Normal 4 3 5 2 6 2" xfId="27141"/>
    <cellStyle name="Normal 4 3 5 2 7" xfId="21346"/>
    <cellStyle name="Normal 4 3 5 2 8" xfId="25061"/>
    <cellStyle name="Normal 4 3 5 2 9" xfId="27128"/>
    <cellStyle name="Normal 4 3 5 3" xfId="4906"/>
    <cellStyle name="Normal 4 3 5 3 2" xfId="5479"/>
    <cellStyle name="Normal 4 3 5 3 2 2" xfId="6612"/>
    <cellStyle name="Normal 4 3 5 3 2 2 2" xfId="21360"/>
    <cellStyle name="Normal 4 3 5 3 2 2 3" xfId="27144"/>
    <cellStyle name="Normal 4 3 5 3 2 3" xfId="21359"/>
    <cellStyle name="Normal 4 3 5 3 2 4" xfId="27143"/>
    <cellStyle name="Normal 4 3 5 3 3" xfId="5789"/>
    <cellStyle name="Normal 4 3 5 3 3 2" xfId="6613"/>
    <cellStyle name="Normal 4 3 5 3 3 2 2" xfId="21362"/>
    <cellStyle name="Normal 4 3 5 3 3 2 3" xfId="27146"/>
    <cellStyle name="Normal 4 3 5 3 3 3" xfId="21361"/>
    <cellStyle name="Normal 4 3 5 3 3 4" xfId="27145"/>
    <cellStyle name="Normal 4 3 5 3 4" xfId="6611"/>
    <cellStyle name="Normal 4 3 5 3 4 2" xfId="21363"/>
    <cellStyle name="Normal 4 3 5 3 4 3" xfId="27147"/>
    <cellStyle name="Normal 4 3 5 3 5" xfId="21358"/>
    <cellStyle name="Normal 4 3 5 3 6" xfId="27142"/>
    <cellStyle name="Normal 4 3 5 4" xfId="5476"/>
    <cellStyle name="Normal 4 3 5 4 2" xfId="6614"/>
    <cellStyle name="Normal 4 3 5 4 2 2" xfId="21365"/>
    <cellStyle name="Normal 4 3 5 4 2 3" xfId="27149"/>
    <cellStyle name="Normal 4 3 5 4 3" xfId="21364"/>
    <cellStyle name="Normal 4 3 5 4 4" xfId="27148"/>
    <cellStyle name="Normal 4 3 5 5" xfId="5786"/>
    <cellStyle name="Normal 4 3 5 5 2" xfId="6615"/>
    <cellStyle name="Normal 4 3 5 5 2 2" xfId="21367"/>
    <cellStyle name="Normal 4 3 5 5 2 3" xfId="27151"/>
    <cellStyle name="Normal 4 3 5 5 3" xfId="21366"/>
    <cellStyle name="Normal 4 3 5 5 4" xfId="27150"/>
    <cellStyle name="Normal 4 3 5 6" xfId="4903"/>
    <cellStyle name="Normal 4 3 5 6 2" xfId="6616"/>
    <cellStyle name="Normal 4 3 5 6 2 2" xfId="27153"/>
    <cellStyle name="Normal 4 3 5 6 3" xfId="21368"/>
    <cellStyle name="Normal 4 3 5 6 4" xfId="27152"/>
    <cellStyle name="Normal 4 3 5 7" xfId="6603"/>
    <cellStyle name="Normal 4 3 5 7 2" xfId="27154"/>
    <cellStyle name="Normal 4 3 5 8" xfId="21345"/>
    <cellStyle name="Normal 4 3 5 9" xfId="24941"/>
    <cellStyle name="Normal 4 3 6" xfId="1385"/>
    <cellStyle name="Normal 4 3 6 2" xfId="21369"/>
    <cellStyle name="Normal 4 3 7" xfId="3911"/>
    <cellStyle name="Normal 4 3 7 2" xfId="21371"/>
    <cellStyle name="Normal 4 3 7 3" xfId="21370"/>
    <cellStyle name="Normal 4 3 8" xfId="24542"/>
    <cellStyle name="Normal 4 4" xfId="1050"/>
    <cellStyle name="Normal 4 4 2" xfId="1570"/>
    <cellStyle name="Normal 4 4 2 10" xfId="24923"/>
    <cellStyle name="Normal 4 4 2 11" xfId="27155"/>
    <cellStyle name="Normal 4 4 2 2" xfId="4191"/>
    <cellStyle name="Normal 4 4 2 2 2" xfId="4909"/>
    <cellStyle name="Normal 4 4 2 2 2 2" xfId="5482"/>
    <cellStyle name="Normal 4 4 2 2 2 2 2" xfId="6620"/>
    <cellStyle name="Normal 4 4 2 2 2 2 2 2" xfId="21376"/>
    <cellStyle name="Normal 4 4 2 2 2 2 2 3" xfId="27159"/>
    <cellStyle name="Normal 4 4 2 2 2 2 3" xfId="21375"/>
    <cellStyle name="Normal 4 4 2 2 2 2 4" xfId="27158"/>
    <cellStyle name="Normal 4 4 2 2 2 3" xfId="5792"/>
    <cellStyle name="Normal 4 4 2 2 2 3 2" xfId="6621"/>
    <cellStyle name="Normal 4 4 2 2 2 3 2 2" xfId="27161"/>
    <cellStyle name="Normal 4 4 2 2 2 3 3" xfId="21377"/>
    <cellStyle name="Normal 4 4 2 2 2 3 4" xfId="27160"/>
    <cellStyle name="Normal 4 4 2 2 2 4" xfId="6619"/>
    <cellStyle name="Normal 4 4 2 2 2 4 2" xfId="27162"/>
    <cellStyle name="Normal 4 4 2 2 2 5" xfId="21374"/>
    <cellStyle name="Normal 4 4 2 2 2 6" xfId="27157"/>
    <cellStyle name="Normal 4 4 2 2 3" xfId="5481"/>
    <cellStyle name="Normal 4 4 2 2 3 2" xfId="6622"/>
    <cellStyle name="Normal 4 4 2 2 3 2 2" xfId="21380"/>
    <cellStyle name="Normal 4 4 2 2 3 2 3" xfId="21379"/>
    <cellStyle name="Normal 4 4 2 2 3 2 4" xfId="27164"/>
    <cellStyle name="Normal 4 4 2 2 3 3" xfId="21381"/>
    <cellStyle name="Normal 4 4 2 2 3 3 2" xfId="21382"/>
    <cellStyle name="Normal 4 4 2 2 3 4" xfId="21383"/>
    <cellStyle name="Normal 4 4 2 2 3 5" xfId="21378"/>
    <cellStyle name="Normal 4 4 2 2 3 6" xfId="27163"/>
    <cellStyle name="Normal 4 4 2 2 4" xfId="5791"/>
    <cellStyle name="Normal 4 4 2 2 4 2" xfId="6623"/>
    <cellStyle name="Normal 4 4 2 2 4 2 2" xfId="21385"/>
    <cellStyle name="Normal 4 4 2 2 4 2 3" xfId="27166"/>
    <cellStyle name="Normal 4 4 2 2 4 3" xfId="21384"/>
    <cellStyle name="Normal 4 4 2 2 4 4" xfId="27165"/>
    <cellStyle name="Normal 4 4 2 2 5" xfId="4908"/>
    <cellStyle name="Normal 4 4 2 2 5 2" xfId="6624"/>
    <cellStyle name="Normal 4 4 2 2 5 2 2" xfId="21387"/>
    <cellStyle name="Normal 4 4 2 2 5 2 3" xfId="27168"/>
    <cellStyle name="Normal 4 4 2 2 5 3" xfId="21386"/>
    <cellStyle name="Normal 4 4 2 2 5 4" xfId="27167"/>
    <cellStyle name="Normal 4 4 2 2 6" xfId="6618"/>
    <cellStyle name="Normal 4 4 2 2 6 2" xfId="21388"/>
    <cellStyle name="Normal 4 4 2 2 6 3" xfId="27169"/>
    <cellStyle name="Normal 4 4 2 2 7" xfId="21373"/>
    <cellStyle name="Normal 4 4 2 2 8" xfId="25043"/>
    <cellStyle name="Normal 4 4 2 2 9" xfId="27156"/>
    <cellStyle name="Normal 4 4 2 3" xfId="4910"/>
    <cellStyle name="Normal 4 4 2 3 2" xfId="5483"/>
    <cellStyle name="Normal 4 4 2 3 2 2" xfId="6626"/>
    <cellStyle name="Normal 4 4 2 3 2 2 2" xfId="21391"/>
    <cellStyle name="Normal 4 4 2 3 2 2 3" xfId="27172"/>
    <cellStyle name="Normal 4 4 2 3 2 3" xfId="21390"/>
    <cellStyle name="Normal 4 4 2 3 2 4" xfId="27171"/>
    <cellStyle name="Normal 4 4 2 3 3" xfId="5793"/>
    <cellStyle name="Normal 4 4 2 3 3 2" xfId="6627"/>
    <cellStyle name="Normal 4 4 2 3 3 2 2" xfId="27174"/>
    <cellStyle name="Normal 4 4 2 3 3 3" xfId="21392"/>
    <cellStyle name="Normal 4 4 2 3 3 4" xfId="27173"/>
    <cellStyle name="Normal 4 4 2 3 4" xfId="6625"/>
    <cellStyle name="Normal 4 4 2 3 4 2" xfId="27175"/>
    <cellStyle name="Normal 4 4 2 3 5" xfId="21389"/>
    <cellStyle name="Normal 4 4 2 3 6" xfId="27170"/>
    <cellStyle name="Normal 4 4 2 4" xfId="5480"/>
    <cellStyle name="Normal 4 4 2 4 2" xfId="6628"/>
    <cellStyle name="Normal 4 4 2 4 2 2" xfId="21394"/>
    <cellStyle name="Normal 4 4 2 4 2 3" xfId="27177"/>
    <cellStyle name="Normal 4 4 2 4 3" xfId="21393"/>
    <cellStyle name="Normal 4 4 2 4 4" xfId="27176"/>
    <cellStyle name="Normal 4 4 2 5" xfId="5790"/>
    <cellStyle name="Normal 4 4 2 5 2" xfId="6629"/>
    <cellStyle name="Normal 4 4 2 5 2 2" xfId="21397"/>
    <cellStyle name="Normal 4 4 2 5 2 3" xfId="21396"/>
    <cellStyle name="Normal 4 4 2 5 2 4" xfId="27179"/>
    <cellStyle name="Normal 4 4 2 5 3" xfId="21398"/>
    <cellStyle name="Normal 4 4 2 5 3 2" xfId="21399"/>
    <cellStyle name="Normal 4 4 2 5 4" xfId="21400"/>
    <cellStyle name="Normal 4 4 2 5 5" xfId="21395"/>
    <cellStyle name="Normal 4 4 2 5 6" xfId="27178"/>
    <cellStyle name="Normal 4 4 2 6" xfId="4907"/>
    <cellStyle name="Normal 4 4 2 6 2" xfId="6630"/>
    <cellStyle name="Normal 4 4 2 6 2 2" xfId="21402"/>
    <cellStyle name="Normal 4 4 2 6 2 3" xfId="27181"/>
    <cellStyle name="Normal 4 4 2 6 3" xfId="21401"/>
    <cellStyle name="Normal 4 4 2 6 4" xfId="27180"/>
    <cellStyle name="Normal 4 4 2 7" xfId="6617"/>
    <cellStyle name="Normal 4 4 2 7 2" xfId="21404"/>
    <cellStyle name="Normal 4 4 2 7 3" xfId="21403"/>
    <cellStyle name="Normal 4 4 2 7 4" xfId="27182"/>
    <cellStyle name="Normal 4 4 2 8" xfId="21405"/>
    <cellStyle name="Normal 4 4 2 9" xfId="21372"/>
    <cellStyle name="Normal 4 4 3" xfId="1662"/>
    <cellStyle name="Normal 4 4 3 10" xfId="27183"/>
    <cellStyle name="Normal 4 4 3 2" xfId="4197"/>
    <cellStyle name="Normal 4 4 3 2 2" xfId="4913"/>
    <cellStyle name="Normal 4 4 3 2 2 2" xfId="5486"/>
    <cellStyle name="Normal 4 4 3 2 2 2 2" xfId="6634"/>
    <cellStyle name="Normal 4 4 3 2 2 2 2 2" xfId="21410"/>
    <cellStyle name="Normal 4 4 3 2 2 2 2 3" xfId="27187"/>
    <cellStyle name="Normal 4 4 3 2 2 2 3" xfId="21409"/>
    <cellStyle name="Normal 4 4 3 2 2 2 4" xfId="27186"/>
    <cellStyle name="Normal 4 4 3 2 2 3" xfId="5796"/>
    <cellStyle name="Normal 4 4 3 2 2 3 2" xfId="6635"/>
    <cellStyle name="Normal 4 4 3 2 2 3 2 2" xfId="21412"/>
    <cellStyle name="Normal 4 4 3 2 2 3 2 3" xfId="27189"/>
    <cellStyle name="Normal 4 4 3 2 2 3 3" xfId="21411"/>
    <cellStyle name="Normal 4 4 3 2 2 3 4" xfId="27188"/>
    <cellStyle name="Normal 4 4 3 2 2 4" xfId="6633"/>
    <cellStyle name="Normal 4 4 3 2 2 4 2" xfId="21413"/>
    <cellStyle name="Normal 4 4 3 2 2 4 3" xfId="27190"/>
    <cellStyle name="Normal 4 4 3 2 2 5" xfId="21408"/>
    <cellStyle name="Normal 4 4 3 2 2 6" xfId="27185"/>
    <cellStyle name="Normal 4 4 3 2 3" xfId="5485"/>
    <cellStyle name="Normal 4 4 3 2 3 2" xfId="6636"/>
    <cellStyle name="Normal 4 4 3 2 3 2 2" xfId="21415"/>
    <cellStyle name="Normal 4 4 3 2 3 2 3" xfId="27192"/>
    <cellStyle name="Normal 4 4 3 2 3 3" xfId="21414"/>
    <cellStyle name="Normal 4 4 3 2 3 4" xfId="27191"/>
    <cellStyle name="Normal 4 4 3 2 4" xfId="5795"/>
    <cellStyle name="Normal 4 4 3 2 4 2" xfId="6637"/>
    <cellStyle name="Normal 4 4 3 2 4 2 2" xfId="21417"/>
    <cellStyle name="Normal 4 4 3 2 4 2 3" xfId="27194"/>
    <cellStyle name="Normal 4 4 3 2 4 3" xfId="21416"/>
    <cellStyle name="Normal 4 4 3 2 4 4" xfId="27193"/>
    <cellStyle name="Normal 4 4 3 2 5" xfId="4912"/>
    <cellStyle name="Normal 4 4 3 2 5 2" xfId="6638"/>
    <cellStyle name="Normal 4 4 3 2 5 2 2" xfId="27196"/>
    <cellStyle name="Normal 4 4 3 2 5 3" xfId="21418"/>
    <cellStyle name="Normal 4 4 3 2 5 4" xfId="27195"/>
    <cellStyle name="Normal 4 4 3 2 6" xfId="6632"/>
    <cellStyle name="Normal 4 4 3 2 6 2" xfId="27197"/>
    <cellStyle name="Normal 4 4 3 2 7" xfId="21407"/>
    <cellStyle name="Normal 4 4 3 2 8" xfId="25049"/>
    <cellStyle name="Normal 4 4 3 2 9" xfId="27184"/>
    <cellStyle name="Normal 4 4 3 3" xfId="4914"/>
    <cellStyle name="Normal 4 4 3 3 2" xfId="5487"/>
    <cellStyle name="Normal 4 4 3 3 2 2" xfId="6640"/>
    <cellStyle name="Normal 4 4 3 3 2 2 2" xfId="21421"/>
    <cellStyle name="Normal 4 4 3 3 2 2 3" xfId="27200"/>
    <cellStyle name="Normal 4 4 3 3 2 3" xfId="21420"/>
    <cellStyle name="Normal 4 4 3 3 2 4" xfId="27199"/>
    <cellStyle name="Normal 4 4 3 3 3" xfId="5797"/>
    <cellStyle name="Normal 4 4 3 3 3 2" xfId="6641"/>
    <cellStyle name="Normal 4 4 3 3 3 2 2" xfId="27202"/>
    <cellStyle name="Normal 4 4 3 3 3 3" xfId="21422"/>
    <cellStyle name="Normal 4 4 3 3 3 4" xfId="27201"/>
    <cellStyle name="Normal 4 4 3 3 4" xfId="6639"/>
    <cellStyle name="Normal 4 4 3 3 4 2" xfId="27203"/>
    <cellStyle name="Normal 4 4 3 3 5" xfId="21419"/>
    <cellStyle name="Normal 4 4 3 3 6" xfId="27198"/>
    <cellStyle name="Normal 4 4 3 4" xfId="5484"/>
    <cellStyle name="Normal 4 4 3 4 2" xfId="6642"/>
    <cellStyle name="Normal 4 4 3 4 2 2" xfId="21425"/>
    <cellStyle name="Normal 4 4 3 4 2 3" xfId="21424"/>
    <cellStyle name="Normal 4 4 3 4 2 4" xfId="27205"/>
    <cellStyle name="Normal 4 4 3 4 3" xfId="21426"/>
    <cellStyle name="Normal 4 4 3 4 3 2" xfId="21427"/>
    <cellStyle name="Normal 4 4 3 4 4" xfId="21428"/>
    <cellStyle name="Normal 4 4 3 4 5" xfId="21423"/>
    <cellStyle name="Normal 4 4 3 4 6" xfId="27204"/>
    <cellStyle name="Normal 4 4 3 5" xfId="5794"/>
    <cellStyle name="Normal 4 4 3 5 2" xfId="6643"/>
    <cellStyle name="Normal 4 4 3 5 2 2" xfId="21430"/>
    <cellStyle name="Normal 4 4 3 5 2 3" xfId="27207"/>
    <cellStyle name="Normal 4 4 3 5 3" xfId="21429"/>
    <cellStyle name="Normal 4 4 3 5 4" xfId="27206"/>
    <cellStyle name="Normal 4 4 3 6" xfId="4911"/>
    <cellStyle name="Normal 4 4 3 6 2" xfId="6644"/>
    <cellStyle name="Normal 4 4 3 6 2 2" xfId="21432"/>
    <cellStyle name="Normal 4 4 3 6 2 3" xfId="27209"/>
    <cellStyle name="Normal 4 4 3 6 3" xfId="21431"/>
    <cellStyle name="Normal 4 4 3 6 4" xfId="27208"/>
    <cellStyle name="Normal 4 4 3 7" xfId="6631"/>
    <cellStyle name="Normal 4 4 3 7 2" xfId="21433"/>
    <cellStyle name="Normal 4 4 3 7 3" xfId="27210"/>
    <cellStyle name="Normal 4 4 3 8" xfId="21406"/>
    <cellStyle name="Normal 4 4 3 9" xfId="24929"/>
    <cellStyle name="Normal 4 4 4" xfId="3625"/>
    <cellStyle name="Normal 4 4 4 10" xfId="27211"/>
    <cellStyle name="Normal 4 4 4 2" xfId="4202"/>
    <cellStyle name="Normal 4 4 4 2 2" xfId="4917"/>
    <cellStyle name="Normal 4 4 4 2 2 2" xfId="5490"/>
    <cellStyle name="Normal 4 4 4 2 2 2 2" xfId="6648"/>
    <cellStyle name="Normal 4 4 4 2 2 2 2 2" xfId="21438"/>
    <cellStyle name="Normal 4 4 4 2 2 2 2 3" xfId="27215"/>
    <cellStyle name="Normal 4 4 4 2 2 2 3" xfId="21437"/>
    <cellStyle name="Normal 4 4 4 2 2 2 4" xfId="27214"/>
    <cellStyle name="Normal 4 4 4 2 2 3" xfId="5800"/>
    <cellStyle name="Normal 4 4 4 2 2 3 2" xfId="6649"/>
    <cellStyle name="Normal 4 4 4 2 2 3 2 2" xfId="21440"/>
    <cellStyle name="Normal 4 4 4 2 2 3 2 3" xfId="27217"/>
    <cellStyle name="Normal 4 4 4 2 2 3 3" xfId="21439"/>
    <cellStyle name="Normal 4 4 4 2 2 3 4" xfId="27216"/>
    <cellStyle name="Normal 4 4 4 2 2 4" xfId="6647"/>
    <cellStyle name="Normal 4 4 4 2 2 4 2" xfId="21441"/>
    <cellStyle name="Normal 4 4 4 2 2 4 3" xfId="27218"/>
    <cellStyle name="Normal 4 4 4 2 2 5" xfId="21436"/>
    <cellStyle name="Normal 4 4 4 2 2 6" xfId="27213"/>
    <cellStyle name="Normal 4 4 4 2 3" xfId="5489"/>
    <cellStyle name="Normal 4 4 4 2 3 2" xfId="6650"/>
    <cellStyle name="Normal 4 4 4 2 3 2 2" xfId="21443"/>
    <cellStyle name="Normal 4 4 4 2 3 2 3" xfId="27220"/>
    <cellStyle name="Normal 4 4 4 2 3 3" xfId="21442"/>
    <cellStyle name="Normal 4 4 4 2 3 4" xfId="27219"/>
    <cellStyle name="Normal 4 4 4 2 4" xfId="5799"/>
    <cellStyle name="Normal 4 4 4 2 4 2" xfId="6651"/>
    <cellStyle name="Normal 4 4 4 2 4 2 2" xfId="21445"/>
    <cellStyle name="Normal 4 4 4 2 4 2 3" xfId="27222"/>
    <cellStyle name="Normal 4 4 4 2 4 3" xfId="21444"/>
    <cellStyle name="Normal 4 4 4 2 4 4" xfId="27221"/>
    <cellStyle name="Normal 4 4 4 2 5" xfId="4916"/>
    <cellStyle name="Normal 4 4 4 2 5 2" xfId="6652"/>
    <cellStyle name="Normal 4 4 4 2 5 2 2" xfId="27224"/>
    <cellStyle name="Normal 4 4 4 2 5 3" xfId="21446"/>
    <cellStyle name="Normal 4 4 4 2 5 4" xfId="27223"/>
    <cellStyle name="Normal 4 4 4 2 6" xfId="6646"/>
    <cellStyle name="Normal 4 4 4 2 6 2" xfId="27225"/>
    <cellStyle name="Normal 4 4 4 2 7" xfId="21435"/>
    <cellStyle name="Normal 4 4 4 2 8" xfId="25054"/>
    <cellStyle name="Normal 4 4 4 2 9" xfId="27212"/>
    <cellStyle name="Normal 4 4 4 3" xfId="4918"/>
    <cellStyle name="Normal 4 4 4 3 2" xfId="5491"/>
    <cellStyle name="Normal 4 4 4 3 2 2" xfId="6654"/>
    <cellStyle name="Normal 4 4 4 3 2 2 2" xfId="21449"/>
    <cellStyle name="Normal 4 4 4 3 2 2 3" xfId="27228"/>
    <cellStyle name="Normal 4 4 4 3 2 3" xfId="21448"/>
    <cellStyle name="Normal 4 4 4 3 2 4" xfId="27227"/>
    <cellStyle name="Normal 4 4 4 3 3" xfId="5801"/>
    <cellStyle name="Normal 4 4 4 3 3 2" xfId="6655"/>
    <cellStyle name="Normal 4 4 4 3 3 2 2" xfId="27230"/>
    <cellStyle name="Normal 4 4 4 3 3 3" xfId="21450"/>
    <cellStyle name="Normal 4 4 4 3 3 4" xfId="27229"/>
    <cellStyle name="Normal 4 4 4 3 4" xfId="6653"/>
    <cellStyle name="Normal 4 4 4 3 4 2" xfId="27231"/>
    <cellStyle name="Normal 4 4 4 3 5" xfId="21447"/>
    <cellStyle name="Normal 4 4 4 3 6" xfId="27226"/>
    <cellStyle name="Normal 4 4 4 4" xfId="5488"/>
    <cellStyle name="Normal 4 4 4 4 2" xfId="6656"/>
    <cellStyle name="Normal 4 4 4 4 2 2" xfId="21453"/>
    <cellStyle name="Normal 4 4 4 4 2 3" xfId="21452"/>
    <cellStyle name="Normal 4 4 4 4 2 4" xfId="27233"/>
    <cellStyle name="Normal 4 4 4 4 3" xfId="21454"/>
    <cellStyle name="Normal 4 4 4 4 3 2" xfId="21455"/>
    <cellStyle name="Normal 4 4 4 4 4" xfId="21456"/>
    <cellStyle name="Normal 4 4 4 4 5" xfId="21451"/>
    <cellStyle name="Normal 4 4 4 4 6" xfId="27232"/>
    <cellStyle name="Normal 4 4 4 5" xfId="5798"/>
    <cellStyle name="Normal 4 4 4 5 2" xfId="6657"/>
    <cellStyle name="Normal 4 4 4 5 2 2" xfId="21458"/>
    <cellStyle name="Normal 4 4 4 5 2 3" xfId="27235"/>
    <cellStyle name="Normal 4 4 4 5 3" xfId="21457"/>
    <cellStyle name="Normal 4 4 4 5 4" xfId="27234"/>
    <cellStyle name="Normal 4 4 4 6" xfId="4915"/>
    <cellStyle name="Normal 4 4 4 6 2" xfId="6658"/>
    <cellStyle name="Normal 4 4 4 6 2 2" xfId="21460"/>
    <cellStyle name="Normal 4 4 4 6 2 3" xfId="27237"/>
    <cellStyle name="Normal 4 4 4 6 3" xfId="21459"/>
    <cellStyle name="Normal 4 4 4 6 4" xfId="27236"/>
    <cellStyle name="Normal 4 4 4 7" xfId="6645"/>
    <cellStyle name="Normal 4 4 4 7 2" xfId="21461"/>
    <cellStyle name="Normal 4 4 4 7 3" xfId="27238"/>
    <cellStyle name="Normal 4 4 4 8" xfId="21434"/>
    <cellStyle name="Normal 4 4 4 9" xfId="24934"/>
    <cellStyle name="Normal 4 4 5" xfId="3764"/>
    <cellStyle name="Normal 4 4 5 10" xfId="27239"/>
    <cellStyle name="Normal 4 4 5 2" xfId="4212"/>
    <cellStyle name="Normal 4 4 5 2 2" xfId="4921"/>
    <cellStyle name="Normal 4 4 5 2 2 2" xfId="5494"/>
    <cellStyle name="Normal 4 4 5 2 2 2 2" xfId="6662"/>
    <cellStyle name="Normal 4 4 5 2 2 2 2 2" xfId="21466"/>
    <cellStyle name="Normal 4 4 5 2 2 2 2 3" xfId="27243"/>
    <cellStyle name="Normal 4 4 5 2 2 2 3" xfId="21465"/>
    <cellStyle name="Normal 4 4 5 2 2 2 4" xfId="27242"/>
    <cellStyle name="Normal 4 4 5 2 2 3" xfId="5804"/>
    <cellStyle name="Normal 4 4 5 2 2 3 2" xfId="6663"/>
    <cellStyle name="Normal 4 4 5 2 2 3 2 2" xfId="21468"/>
    <cellStyle name="Normal 4 4 5 2 2 3 2 3" xfId="27245"/>
    <cellStyle name="Normal 4 4 5 2 2 3 3" xfId="21467"/>
    <cellStyle name="Normal 4 4 5 2 2 3 4" xfId="27244"/>
    <cellStyle name="Normal 4 4 5 2 2 4" xfId="6661"/>
    <cellStyle name="Normal 4 4 5 2 2 4 2" xfId="21469"/>
    <cellStyle name="Normal 4 4 5 2 2 4 3" xfId="27246"/>
    <cellStyle name="Normal 4 4 5 2 2 5" xfId="21464"/>
    <cellStyle name="Normal 4 4 5 2 2 6" xfId="27241"/>
    <cellStyle name="Normal 4 4 5 2 3" xfId="5493"/>
    <cellStyle name="Normal 4 4 5 2 3 2" xfId="6664"/>
    <cellStyle name="Normal 4 4 5 2 3 2 2" xfId="21471"/>
    <cellStyle name="Normal 4 4 5 2 3 2 3" xfId="27248"/>
    <cellStyle name="Normal 4 4 5 2 3 3" xfId="21470"/>
    <cellStyle name="Normal 4 4 5 2 3 4" xfId="27247"/>
    <cellStyle name="Normal 4 4 5 2 4" xfId="5803"/>
    <cellStyle name="Normal 4 4 5 2 4 2" xfId="6665"/>
    <cellStyle name="Normal 4 4 5 2 4 2 2" xfId="21473"/>
    <cellStyle name="Normal 4 4 5 2 4 2 3" xfId="27250"/>
    <cellStyle name="Normal 4 4 5 2 4 3" xfId="21472"/>
    <cellStyle name="Normal 4 4 5 2 4 4" xfId="27249"/>
    <cellStyle name="Normal 4 4 5 2 5" xfId="4920"/>
    <cellStyle name="Normal 4 4 5 2 5 2" xfId="6666"/>
    <cellStyle name="Normal 4 4 5 2 5 2 2" xfId="27252"/>
    <cellStyle name="Normal 4 4 5 2 5 3" xfId="21474"/>
    <cellStyle name="Normal 4 4 5 2 5 4" xfId="27251"/>
    <cellStyle name="Normal 4 4 5 2 6" xfId="6660"/>
    <cellStyle name="Normal 4 4 5 2 6 2" xfId="27253"/>
    <cellStyle name="Normal 4 4 5 2 7" xfId="21463"/>
    <cellStyle name="Normal 4 4 5 2 8" xfId="25064"/>
    <cellStyle name="Normal 4 4 5 2 9" xfId="27240"/>
    <cellStyle name="Normal 4 4 5 3" xfId="4922"/>
    <cellStyle name="Normal 4 4 5 3 2" xfId="5495"/>
    <cellStyle name="Normal 4 4 5 3 2 2" xfId="6668"/>
    <cellStyle name="Normal 4 4 5 3 2 2 2" xfId="21477"/>
    <cellStyle name="Normal 4 4 5 3 2 2 3" xfId="27256"/>
    <cellStyle name="Normal 4 4 5 3 2 3" xfId="21476"/>
    <cellStyle name="Normal 4 4 5 3 2 4" xfId="27255"/>
    <cellStyle name="Normal 4 4 5 3 3" xfId="5805"/>
    <cellStyle name="Normal 4 4 5 3 3 2" xfId="6669"/>
    <cellStyle name="Normal 4 4 5 3 3 2 2" xfId="21479"/>
    <cellStyle name="Normal 4 4 5 3 3 2 3" xfId="27258"/>
    <cellStyle name="Normal 4 4 5 3 3 3" xfId="21478"/>
    <cellStyle name="Normal 4 4 5 3 3 4" xfId="27257"/>
    <cellStyle name="Normal 4 4 5 3 4" xfId="6667"/>
    <cellStyle name="Normal 4 4 5 3 4 2" xfId="21480"/>
    <cellStyle name="Normal 4 4 5 3 4 3" xfId="27259"/>
    <cellStyle name="Normal 4 4 5 3 5" xfId="21475"/>
    <cellStyle name="Normal 4 4 5 3 6" xfId="27254"/>
    <cellStyle name="Normal 4 4 5 4" xfId="5492"/>
    <cellStyle name="Normal 4 4 5 4 2" xfId="6670"/>
    <cellStyle name="Normal 4 4 5 4 2 2" xfId="21482"/>
    <cellStyle name="Normal 4 4 5 4 2 3" xfId="27261"/>
    <cellStyle name="Normal 4 4 5 4 3" xfId="21481"/>
    <cellStyle name="Normal 4 4 5 4 4" xfId="27260"/>
    <cellStyle name="Normal 4 4 5 5" xfId="5802"/>
    <cellStyle name="Normal 4 4 5 5 2" xfId="6671"/>
    <cellStyle name="Normal 4 4 5 5 2 2" xfId="21484"/>
    <cellStyle name="Normal 4 4 5 5 2 3" xfId="27263"/>
    <cellStyle name="Normal 4 4 5 5 3" xfId="21483"/>
    <cellStyle name="Normal 4 4 5 5 4" xfId="27262"/>
    <cellStyle name="Normal 4 4 5 6" xfId="4919"/>
    <cellStyle name="Normal 4 4 5 6 2" xfId="6672"/>
    <cellStyle name="Normal 4 4 5 6 2 2" xfId="27265"/>
    <cellStyle name="Normal 4 4 5 6 3" xfId="21485"/>
    <cellStyle name="Normal 4 4 5 6 4" xfId="27264"/>
    <cellStyle name="Normal 4 4 5 7" xfId="6659"/>
    <cellStyle name="Normal 4 4 5 7 2" xfId="27266"/>
    <cellStyle name="Normal 4 4 5 8" xfId="21462"/>
    <cellStyle name="Normal 4 4 5 9" xfId="24944"/>
    <cellStyle name="Normal 4 4 6" xfId="1389"/>
    <cellStyle name="Normal 4 4 6 2" xfId="21486"/>
    <cellStyle name="Normal 4 4 7" xfId="3920"/>
    <cellStyle name="Normal 4 4 7 2" xfId="21488"/>
    <cellStyle name="Normal 4 4 7 3" xfId="21487"/>
    <cellStyle name="Normal 4 5" xfId="1058"/>
    <cellStyle name="Normal 4 5 2" xfId="3808"/>
    <cellStyle name="Normal 4 5 2 10" xfId="27267"/>
    <cellStyle name="Normal 4 5 2 2" xfId="4215"/>
    <cellStyle name="Normal 4 5 2 2 2" xfId="4925"/>
    <cellStyle name="Normal 4 5 2 2 2 2" xfId="5498"/>
    <cellStyle name="Normal 4 5 2 2 2 2 2" xfId="6676"/>
    <cellStyle name="Normal 4 5 2 2 2 2 2 2" xfId="21493"/>
    <cellStyle name="Normal 4 5 2 2 2 2 2 3" xfId="27271"/>
    <cellStyle name="Normal 4 5 2 2 2 2 3" xfId="21492"/>
    <cellStyle name="Normal 4 5 2 2 2 2 4" xfId="27270"/>
    <cellStyle name="Normal 4 5 2 2 2 3" xfId="5808"/>
    <cellStyle name="Normal 4 5 2 2 2 3 2" xfId="6677"/>
    <cellStyle name="Normal 4 5 2 2 2 3 2 2" xfId="21495"/>
    <cellStyle name="Normal 4 5 2 2 2 3 2 3" xfId="27273"/>
    <cellStyle name="Normal 4 5 2 2 2 3 3" xfId="21494"/>
    <cellStyle name="Normal 4 5 2 2 2 3 4" xfId="27272"/>
    <cellStyle name="Normal 4 5 2 2 2 4" xfId="6675"/>
    <cellStyle name="Normal 4 5 2 2 2 4 2" xfId="21496"/>
    <cellStyle name="Normal 4 5 2 2 2 4 3" xfId="27274"/>
    <cellStyle name="Normal 4 5 2 2 2 5" xfId="21491"/>
    <cellStyle name="Normal 4 5 2 2 2 6" xfId="27269"/>
    <cellStyle name="Normal 4 5 2 2 3" xfId="5497"/>
    <cellStyle name="Normal 4 5 2 2 3 2" xfId="6678"/>
    <cellStyle name="Normal 4 5 2 2 3 2 2" xfId="21498"/>
    <cellStyle name="Normal 4 5 2 2 3 2 3" xfId="27276"/>
    <cellStyle name="Normal 4 5 2 2 3 3" xfId="21497"/>
    <cellStyle name="Normal 4 5 2 2 3 4" xfId="27275"/>
    <cellStyle name="Normal 4 5 2 2 4" xfId="5807"/>
    <cellStyle name="Normal 4 5 2 2 4 2" xfId="6679"/>
    <cellStyle name="Normal 4 5 2 2 4 2 2" xfId="21500"/>
    <cellStyle name="Normal 4 5 2 2 4 2 3" xfId="27278"/>
    <cellStyle name="Normal 4 5 2 2 4 3" xfId="21499"/>
    <cellStyle name="Normal 4 5 2 2 4 4" xfId="27277"/>
    <cellStyle name="Normal 4 5 2 2 5" xfId="4924"/>
    <cellStyle name="Normal 4 5 2 2 5 2" xfId="6680"/>
    <cellStyle name="Normal 4 5 2 2 5 2 2" xfId="27280"/>
    <cellStyle name="Normal 4 5 2 2 5 3" xfId="21501"/>
    <cellStyle name="Normal 4 5 2 2 5 4" xfId="27279"/>
    <cellStyle name="Normal 4 5 2 2 6" xfId="6674"/>
    <cellStyle name="Normal 4 5 2 2 6 2" xfId="27281"/>
    <cellStyle name="Normal 4 5 2 2 7" xfId="21490"/>
    <cellStyle name="Normal 4 5 2 2 8" xfId="25067"/>
    <cellStyle name="Normal 4 5 2 2 9" xfId="27268"/>
    <cellStyle name="Normal 4 5 2 3" xfId="4926"/>
    <cellStyle name="Normal 4 5 2 3 2" xfId="5499"/>
    <cellStyle name="Normal 4 5 2 3 2 2" xfId="6682"/>
    <cellStyle name="Normal 4 5 2 3 2 2 2" xfId="21504"/>
    <cellStyle name="Normal 4 5 2 3 2 2 3" xfId="27284"/>
    <cellStyle name="Normal 4 5 2 3 2 3" xfId="21503"/>
    <cellStyle name="Normal 4 5 2 3 2 4" xfId="27283"/>
    <cellStyle name="Normal 4 5 2 3 3" xfId="5809"/>
    <cellStyle name="Normal 4 5 2 3 3 2" xfId="6683"/>
    <cellStyle name="Normal 4 5 2 3 3 2 2" xfId="27286"/>
    <cellStyle name="Normal 4 5 2 3 3 3" xfId="21505"/>
    <cellStyle name="Normal 4 5 2 3 3 4" xfId="27285"/>
    <cellStyle name="Normal 4 5 2 3 4" xfId="6681"/>
    <cellStyle name="Normal 4 5 2 3 4 2" xfId="27287"/>
    <cellStyle name="Normal 4 5 2 3 5" xfId="21502"/>
    <cellStyle name="Normal 4 5 2 3 6" xfId="27282"/>
    <cellStyle name="Normal 4 5 2 4" xfId="5496"/>
    <cellStyle name="Normal 4 5 2 4 2" xfId="6684"/>
    <cellStyle name="Normal 4 5 2 4 2 2" xfId="21508"/>
    <cellStyle name="Normal 4 5 2 4 2 3" xfId="21507"/>
    <cellStyle name="Normal 4 5 2 4 2 4" xfId="27289"/>
    <cellStyle name="Normal 4 5 2 4 3" xfId="21509"/>
    <cellStyle name="Normal 4 5 2 4 3 2" xfId="21510"/>
    <cellStyle name="Normal 4 5 2 4 4" xfId="21511"/>
    <cellStyle name="Normal 4 5 2 4 5" xfId="21506"/>
    <cellStyle name="Normal 4 5 2 4 6" xfId="27288"/>
    <cellStyle name="Normal 4 5 2 5" xfId="5806"/>
    <cellStyle name="Normal 4 5 2 5 2" xfId="6685"/>
    <cellStyle name="Normal 4 5 2 5 2 2" xfId="21513"/>
    <cellStyle name="Normal 4 5 2 5 2 3" xfId="27291"/>
    <cellStyle name="Normal 4 5 2 5 3" xfId="21512"/>
    <cellStyle name="Normal 4 5 2 5 4" xfId="27290"/>
    <cellStyle name="Normal 4 5 2 6" xfId="4923"/>
    <cellStyle name="Normal 4 5 2 6 2" xfId="6686"/>
    <cellStyle name="Normal 4 5 2 6 2 2" xfId="21515"/>
    <cellStyle name="Normal 4 5 2 6 2 3" xfId="27293"/>
    <cellStyle name="Normal 4 5 2 6 3" xfId="21514"/>
    <cellStyle name="Normal 4 5 2 6 4" xfId="27292"/>
    <cellStyle name="Normal 4 5 2 7" xfId="6673"/>
    <cellStyle name="Normal 4 5 2 7 2" xfId="21516"/>
    <cellStyle name="Normal 4 5 2 7 3" xfId="27294"/>
    <cellStyle name="Normal 4 5 2 8" xfId="21489"/>
    <cellStyle name="Normal 4 5 2 9" xfId="24947"/>
    <cellStyle name="Normal 4 5 3" xfId="1393"/>
    <cellStyle name="Normal 4 5 3 2" xfId="21517"/>
    <cellStyle name="Normal 4 5 4" xfId="3928"/>
    <cellStyle name="Normal 4 5 4 2" xfId="21519"/>
    <cellStyle name="Normal 4 5 4 3" xfId="21518"/>
    <cellStyle name="Normal 4 5 5" xfId="21520"/>
    <cellStyle name="Normal 4 5 5 2" xfId="21521"/>
    <cellStyle name="Normal 4 6" xfId="1068"/>
    <cellStyle name="Normal 4 6 10" xfId="21522"/>
    <cellStyle name="Normal 4 6 2" xfId="3813"/>
    <cellStyle name="Normal 4 6 2 10" xfId="27295"/>
    <cellStyle name="Normal 4 6 2 2" xfId="4218"/>
    <cellStyle name="Normal 4 6 2 2 2" xfId="4930"/>
    <cellStyle name="Normal 4 6 2 2 2 2" xfId="5503"/>
    <cellStyle name="Normal 4 6 2 2 2 2 2" xfId="6690"/>
    <cellStyle name="Normal 4 6 2 2 2 2 2 2" xfId="21527"/>
    <cellStyle name="Normal 4 6 2 2 2 2 2 3" xfId="27299"/>
    <cellStyle name="Normal 4 6 2 2 2 2 3" xfId="21526"/>
    <cellStyle name="Normal 4 6 2 2 2 2 4" xfId="27298"/>
    <cellStyle name="Normal 4 6 2 2 2 3" xfId="5813"/>
    <cellStyle name="Normal 4 6 2 2 2 3 2" xfId="6691"/>
    <cellStyle name="Normal 4 6 2 2 2 3 2 2" xfId="21529"/>
    <cellStyle name="Normal 4 6 2 2 2 3 2 3" xfId="27301"/>
    <cellStyle name="Normal 4 6 2 2 2 3 3" xfId="21528"/>
    <cellStyle name="Normal 4 6 2 2 2 3 4" xfId="27300"/>
    <cellStyle name="Normal 4 6 2 2 2 4" xfId="6689"/>
    <cellStyle name="Normal 4 6 2 2 2 4 2" xfId="21530"/>
    <cellStyle name="Normal 4 6 2 2 2 4 3" xfId="27302"/>
    <cellStyle name="Normal 4 6 2 2 2 5" xfId="21525"/>
    <cellStyle name="Normal 4 6 2 2 2 6" xfId="27297"/>
    <cellStyle name="Normal 4 6 2 2 3" xfId="5502"/>
    <cellStyle name="Normal 4 6 2 2 3 2" xfId="6692"/>
    <cellStyle name="Normal 4 6 2 2 3 2 2" xfId="21532"/>
    <cellStyle name="Normal 4 6 2 2 3 2 3" xfId="27304"/>
    <cellStyle name="Normal 4 6 2 2 3 3" xfId="21531"/>
    <cellStyle name="Normal 4 6 2 2 3 4" xfId="27303"/>
    <cellStyle name="Normal 4 6 2 2 4" xfId="5812"/>
    <cellStyle name="Normal 4 6 2 2 4 2" xfId="6693"/>
    <cellStyle name="Normal 4 6 2 2 4 2 2" xfId="21534"/>
    <cellStyle name="Normal 4 6 2 2 4 2 3" xfId="27306"/>
    <cellStyle name="Normal 4 6 2 2 4 3" xfId="21533"/>
    <cellStyle name="Normal 4 6 2 2 4 4" xfId="27305"/>
    <cellStyle name="Normal 4 6 2 2 5" xfId="4929"/>
    <cellStyle name="Normal 4 6 2 2 5 2" xfId="6694"/>
    <cellStyle name="Normal 4 6 2 2 5 2 2" xfId="27308"/>
    <cellStyle name="Normal 4 6 2 2 5 3" xfId="21535"/>
    <cellStyle name="Normal 4 6 2 2 5 4" xfId="27307"/>
    <cellStyle name="Normal 4 6 2 2 6" xfId="6688"/>
    <cellStyle name="Normal 4 6 2 2 6 2" xfId="27309"/>
    <cellStyle name="Normal 4 6 2 2 7" xfId="21524"/>
    <cellStyle name="Normal 4 6 2 2 8" xfId="25070"/>
    <cellStyle name="Normal 4 6 2 2 9" xfId="27296"/>
    <cellStyle name="Normal 4 6 2 3" xfId="4931"/>
    <cellStyle name="Normal 4 6 2 3 2" xfId="5504"/>
    <cellStyle name="Normal 4 6 2 3 2 2" xfId="6696"/>
    <cellStyle name="Normal 4 6 2 3 2 2 2" xfId="21538"/>
    <cellStyle name="Normal 4 6 2 3 2 2 3" xfId="27312"/>
    <cellStyle name="Normal 4 6 2 3 2 3" xfId="21537"/>
    <cellStyle name="Normal 4 6 2 3 2 4" xfId="27311"/>
    <cellStyle name="Normal 4 6 2 3 3" xfId="5814"/>
    <cellStyle name="Normal 4 6 2 3 3 2" xfId="6697"/>
    <cellStyle name="Normal 4 6 2 3 3 2 2" xfId="27314"/>
    <cellStyle name="Normal 4 6 2 3 3 3" xfId="21539"/>
    <cellStyle name="Normal 4 6 2 3 3 4" xfId="27313"/>
    <cellStyle name="Normal 4 6 2 3 4" xfId="6695"/>
    <cellStyle name="Normal 4 6 2 3 4 2" xfId="27315"/>
    <cellStyle name="Normal 4 6 2 3 5" xfId="21536"/>
    <cellStyle name="Normal 4 6 2 3 6" xfId="27310"/>
    <cellStyle name="Normal 4 6 2 4" xfId="5501"/>
    <cellStyle name="Normal 4 6 2 4 2" xfId="6698"/>
    <cellStyle name="Normal 4 6 2 4 2 2" xfId="21542"/>
    <cellStyle name="Normal 4 6 2 4 2 3" xfId="21541"/>
    <cellStyle name="Normal 4 6 2 4 2 4" xfId="27317"/>
    <cellStyle name="Normal 4 6 2 4 3" xfId="21543"/>
    <cellStyle name="Normal 4 6 2 4 3 2" xfId="21544"/>
    <cellStyle name="Normal 4 6 2 4 4" xfId="21545"/>
    <cellStyle name="Normal 4 6 2 4 5" xfId="21540"/>
    <cellStyle name="Normal 4 6 2 4 6" xfId="27316"/>
    <cellStyle name="Normal 4 6 2 5" xfId="5811"/>
    <cellStyle name="Normal 4 6 2 5 2" xfId="6699"/>
    <cellStyle name="Normal 4 6 2 5 2 2" xfId="21547"/>
    <cellStyle name="Normal 4 6 2 5 2 3" xfId="27319"/>
    <cellStyle name="Normal 4 6 2 5 3" xfId="21546"/>
    <cellStyle name="Normal 4 6 2 5 4" xfId="27318"/>
    <cellStyle name="Normal 4 6 2 6" xfId="4928"/>
    <cellStyle name="Normal 4 6 2 6 2" xfId="6700"/>
    <cellStyle name="Normal 4 6 2 6 2 2" xfId="21549"/>
    <cellStyle name="Normal 4 6 2 6 2 3" xfId="27321"/>
    <cellStyle name="Normal 4 6 2 6 3" xfId="21548"/>
    <cellStyle name="Normal 4 6 2 6 4" xfId="27320"/>
    <cellStyle name="Normal 4 6 2 7" xfId="6687"/>
    <cellStyle name="Normal 4 6 2 7 2" xfId="21550"/>
    <cellStyle name="Normal 4 6 2 7 3" xfId="27322"/>
    <cellStyle name="Normal 4 6 2 8" xfId="21523"/>
    <cellStyle name="Normal 4 6 2 9" xfId="24950"/>
    <cellStyle name="Normal 4 6 3" xfId="1438"/>
    <cellStyle name="Normal 4 6 3 2" xfId="4184"/>
    <cellStyle name="Normal 4 6 3 2 2" xfId="5506"/>
    <cellStyle name="Normal 4 6 3 2 2 2" xfId="6703"/>
    <cellStyle name="Normal 4 6 3 2 2 2 2" xfId="21554"/>
    <cellStyle name="Normal 4 6 3 2 2 2 3" xfId="27326"/>
    <cellStyle name="Normal 4 6 3 2 2 3" xfId="21553"/>
    <cellStyle name="Normal 4 6 3 2 2 4" xfId="27325"/>
    <cellStyle name="Normal 4 6 3 2 3" xfId="5816"/>
    <cellStyle name="Normal 4 6 3 2 3 2" xfId="6704"/>
    <cellStyle name="Normal 4 6 3 2 3 2 2" xfId="27328"/>
    <cellStyle name="Normal 4 6 3 2 3 3" xfId="21555"/>
    <cellStyle name="Normal 4 6 3 2 3 4" xfId="27327"/>
    <cellStyle name="Normal 4 6 3 2 4" xfId="4933"/>
    <cellStyle name="Normal 4 6 3 2 4 2" xfId="6705"/>
    <cellStyle name="Normal 4 6 3 2 4 2 2" xfId="27330"/>
    <cellStyle name="Normal 4 6 3 2 4 3" xfId="27329"/>
    <cellStyle name="Normal 4 6 3 2 5" xfId="6702"/>
    <cellStyle name="Normal 4 6 3 2 5 2" xfId="27331"/>
    <cellStyle name="Normal 4 6 3 2 6" xfId="21552"/>
    <cellStyle name="Normal 4 6 3 2 7" xfId="25036"/>
    <cellStyle name="Normal 4 6 3 2 8" xfId="27324"/>
    <cellStyle name="Normal 4 6 3 3" xfId="5505"/>
    <cellStyle name="Normal 4 6 3 3 2" xfId="6706"/>
    <cellStyle name="Normal 4 6 3 3 2 2" xfId="21558"/>
    <cellStyle name="Normal 4 6 3 3 2 3" xfId="21557"/>
    <cellStyle name="Normal 4 6 3 3 2 4" xfId="27333"/>
    <cellStyle name="Normal 4 6 3 3 3" xfId="21559"/>
    <cellStyle name="Normal 4 6 3 3 3 2" xfId="21560"/>
    <cellStyle name="Normal 4 6 3 3 4" xfId="21561"/>
    <cellStyle name="Normal 4 6 3 3 5" xfId="21556"/>
    <cellStyle name="Normal 4 6 3 3 6" xfId="27332"/>
    <cellStyle name="Normal 4 6 3 4" xfId="5815"/>
    <cellStyle name="Normal 4 6 3 4 2" xfId="6707"/>
    <cellStyle name="Normal 4 6 3 4 2 2" xfId="21563"/>
    <cellStyle name="Normal 4 6 3 4 2 3" xfId="27335"/>
    <cellStyle name="Normal 4 6 3 4 3" xfId="21562"/>
    <cellStyle name="Normal 4 6 3 4 4" xfId="27334"/>
    <cellStyle name="Normal 4 6 3 5" xfId="4932"/>
    <cellStyle name="Normal 4 6 3 5 2" xfId="6708"/>
    <cellStyle name="Normal 4 6 3 5 2 2" xfId="21565"/>
    <cellStyle name="Normal 4 6 3 5 2 3" xfId="27337"/>
    <cellStyle name="Normal 4 6 3 5 3" xfId="21564"/>
    <cellStyle name="Normal 4 6 3 5 4" xfId="27336"/>
    <cellStyle name="Normal 4 6 3 6" xfId="6701"/>
    <cellStyle name="Normal 4 6 3 6 2" xfId="21566"/>
    <cellStyle name="Normal 4 6 3 6 3" xfId="27338"/>
    <cellStyle name="Normal 4 6 3 7" xfId="21551"/>
    <cellStyle name="Normal 4 6 3 8" xfId="24916"/>
    <cellStyle name="Normal 4 6 3 9" xfId="27323"/>
    <cellStyle name="Normal 4 6 4" xfId="3938"/>
    <cellStyle name="Normal 4 6 4 2" xfId="5507"/>
    <cellStyle name="Normal 4 6 4 2 2" xfId="6709"/>
    <cellStyle name="Normal 4 6 4 2 2 2" xfId="21569"/>
    <cellStyle name="Normal 4 6 4 2 2 3" xfId="27340"/>
    <cellStyle name="Normal 4 6 4 2 3" xfId="21568"/>
    <cellStyle name="Normal 4 6 4 2 4" xfId="27339"/>
    <cellStyle name="Normal 4 6 4 3" xfId="5817"/>
    <cellStyle name="Normal 4 6 4 3 2" xfId="6710"/>
    <cellStyle name="Normal 4 6 4 3 2 2" xfId="27342"/>
    <cellStyle name="Normal 4 6 4 3 3" xfId="21570"/>
    <cellStyle name="Normal 4 6 4 3 4" xfId="27341"/>
    <cellStyle name="Normal 4 6 4 4" xfId="4934"/>
    <cellStyle name="Normal 4 6 4 4 2" xfId="6711"/>
    <cellStyle name="Normal 4 6 4 4 2 2" xfId="27344"/>
    <cellStyle name="Normal 4 6 4 4 3" xfId="27343"/>
    <cellStyle name="Normal 4 6 4 5" xfId="21567"/>
    <cellStyle name="Normal 4 6 5" xfId="5500"/>
    <cellStyle name="Normal 4 6 5 2" xfId="6712"/>
    <cellStyle name="Normal 4 6 5 2 2" xfId="21573"/>
    <cellStyle name="Normal 4 6 5 2 3" xfId="21572"/>
    <cellStyle name="Normal 4 6 5 2 4" xfId="27346"/>
    <cellStyle name="Normal 4 6 5 3" xfId="21574"/>
    <cellStyle name="Normal 4 6 5 4" xfId="21571"/>
    <cellStyle name="Normal 4 6 5 5" xfId="27345"/>
    <cellStyle name="Normal 4 6 6" xfId="5810"/>
    <cellStyle name="Normal 4 6 6 2" xfId="6713"/>
    <cellStyle name="Normal 4 6 6 2 2" xfId="21577"/>
    <cellStyle name="Normal 4 6 6 2 3" xfId="21576"/>
    <cellStyle name="Normal 4 6 6 2 4" xfId="27348"/>
    <cellStyle name="Normal 4 6 6 3" xfId="21578"/>
    <cellStyle name="Normal 4 6 6 4" xfId="21575"/>
    <cellStyle name="Normal 4 6 6 5" xfId="27347"/>
    <cellStyle name="Normal 4 6 7" xfId="4927"/>
    <cellStyle name="Normal 4 6 7 2" xfId="6714"/>
    <cellStyle name="Normal 4 6 7 2 2" xfId="21580"/>
    <cellStyle name="Normal 4 6 7 2 3" xfId="27350"/>
    <cellStyle name="Normal 4 6 7 3" xfId="21579"/>
    <cellStyle name="Normal 4 6 7 4" xfId="27349"/>
    <cellStyle name="Normal 4 6 8" xfId="21581"/>
    <cellStyle name="Normal 4 6 8 2" xfId="21582"/>
    <cellStyle name="Normal 4 6 9" xfId="21583"/>
    <cellStyle name="Normal 4 7" xfId="1078"/>
    <cellStyle name="Normal 4 7 10" xfId="21584"/>
    <cellStyle name="Normal 4 7 2" xfId="1537"/>
    <cellStyle name="Normal 4 7 2 2" xfId="4190"/>
    <cellStyle name="Normal 4 7 2 2 2" xfId="5510"/>
    <cellStyle name="Normal 4 7 2 2 2 2" xfId="6717"/>
    <cellStyle name="Normal 4 7 2 2 2 2 2" xfId="21588"/>
    <cellStyle name="Normal 4 7 2 2 2 2 3" xfId="27354"/>
    <cellStyle name="Normal 4 7 2 2 2 3" xfId="21587"/>
    <cellStyle name="Normal 4 7 2 2 2 4" xfId="27353"/>
    <cellStyle name="Normal 4 7 2 2 3" xfId="5820"/>
    <cellStyle name="Normal 4 7 2 2 3 2" xfId="6718"/>
    <cellStyle name="Normal 4 7 2 2 3 2 2" xfId="27356"/>
    <cellStyle name="Normal 4 7 2 2 3 3" xfId="21589"/>
    <cellStyle name="Normal 4 7 2 2 3 4" xfId="27355"/>
    <cellStyle name="Normal 4 7 2 2 4" xfId="4937"/>
    <cellStyle name="Normal 4 7 2 2 4 2" xfId="6719"/>
    <cellStyle name="Normal 4 7 2 2 4 2 2" xfId="27358"/>
    <cellStyle name="Normal 4 7 2 2 4 3" xfId="27357"/>
    <cellStyle name="Normal 4 7 2 2 5" xfId="6716"/>
    <cellStyle name="Normal 4 7 2 2 5 2" xfId="27359"/>
    <cellStyle name="Normal 4 7 2 2 6" xfId="21586"/>
    <cellStyle name="Normal 4 7 2 2 7" xfId="25042"/>
    <cellStyle name="Normal 4 7 2 2 8" xfId="27352"/>
    <cellStyle name="Normal 4 7 2 3" xfId="5509"/>
    <cellStyle name="Normal 4 7 2 3 2" xfId="6720"/>
    <cellStyle name="Normal 4 7 2 3 2 2" xfId="21592"/>
    <cellStyle name="Normal 4 7 2 3 2 3" xfId="21591"/>
    <cellStyle name="Normal 4 7 2 3 2 4" xfId="27361"/>
    <cellStyle name="Normal 4 7 2 3 3" xfId="21593"/>
    <cellStyle name="Normal 4 7 2 3 3 2" xfId="21594"/>
    <cellStyle name="Normal 4 7 2 3 4" xfId="21595"/>
    <cellStyle name="Normal 4 7 2 3 5" xfId="21590"/>
    <cellStyle name="Normal 4 7 2 3 6" xfId="27360"/>
    <cellStyle name="Normal 4 7 2 4" xfId="5819"/>
    <cellStyle name="Normal 4 7 2 4 2" xfId="6721"/>
    <cellStyle name="Normal 4 7 2 4 2 2" xfId="21597"/>
    <cellStyle name="Normal 4 7 2 4 2 3" xfId="27363"/>
    <cellStyle name="Normal 4 7 2 4 3" xfId="21596"/>
    <cellStyle name="Normal 4 7 2 4 4" xfId="27362"/>
    <cellStyle name="Normal 4 7 2 5" xfId="4936"/>
    <cellStyle name="Normal 4 7 2 5 2" xfId="6722"/>
    <cellStyle name="Normal 4 7 2 5 2 2" xfId="21599"/>
    <cellStyle name="Normal 4 7 2 5 2 3" xfId="27365"/>
    <cellStyle name="Normal 4 7 2 5 3" xfId="21598"/>
    <cellStyle name="Normal 4 7 2 5 4" xfId="27364"/>
    <cellStyle name="Normal 4 7 2 6" xfId="6715"/>
    <cellStyle name="Normal 4 7 2 6 2" xfId="21600"/>
    <cellStyle name="Normal 4 7 2 6 3" xfId="27366"/>
    <cellStyle name="Normal 4 7 2 7" xfId="21585"/>
    <cellStyle name="Normal 4 7 2 8" xfId="24922"/>
    <cellStyle name="Normal 4 7 2 9" xfId="27351"/>
    <cellStyle name="Normal 4 7 3" xfId="3948"/>
    <cellStyle name="Normal 4 7 3 2" xfId="5511"/>
    <cellStyle name="Normal 4 7 3 2 2" xfId="6723"/>
    <cellStyle name="Normal 4 7 3 2 2 2" xfId="21603"/>
    <cellStyle name="Normal 4 7 3 2 2 3" xfId="27368"/>
    <cellStyle name="Normal 4 7 3 2 3" xfId="21602"/>
    <cellStyle name="Normal 4 7 3 2 4" xfId="27367"/>
    <cellStyle name="Normal 4 7 3 3" xfId="5821"/>
    <cellStyle name="Normal 4 7 3 3 2" xfId="6724"/>
    <cellStyle name="Normal 4 7 3 3 2 2" xfId="27370"/>
    <cellStyle name="Normal 4 7 3 3 3" xfId="21604"/>
    <cellStyle name="Normal 4 7 3 3 4" xfId="27369"/>
    <cellStyle name="Normal 4 7 3 4" xfId="4938"/>
    <cellStyle name="Normal 4 7 3 4 2" xfId="6725"/>
    <cellStyle name="Normal 4 7 3 4 2 2" xfId="27372"/>
    <cellStyle name="Normal 4 7 3 4 3" xfId="27371"/>
    <cellStyle name="Normal 4 7 3 5" xfId="21601"/>
    <cellStyle name="Normal 4 7 4" xfId="5508"/>
    <cellStyle name="Normal 4 7 4 2" xfId="6726"/>
    <cellStyle name="Normal 4 7 4 2 2" xfId="21606"/>
    <cellStyle name="Normal 4 7 4 2 3" xfId="27374"/>
    <cellStyle name="Normal 4 7 4 3" xfId="21605"/>
    <cellStyle name="Normal 4 7 4 4" xfId="27373"/>
    <cellStyle name="Normal 4 7 5" xfId="5818"/>
    <cellStyle name="Normal 4 7 5 2" xfId="6727"/>
    <cellStyle name="Normal 4 7 5 2 2" xfId="21609"/>
    <cellStyle name="Normal 4 7 5 2 3" xfId="21608"/>
    <cellStyle name="Normal 4 7 5 2 4" xfId="27376"/>
    <cellStyle name="Normal 4 7 5 3" xfId="21610"/>
    <cellStyle name="Normal 4 7 5 4" xfId="21607"/>
    <cellStyle name="Normal 4 7 5 5" xfId="27375"/>
    <cellStyle name="Normal 4 7 6" xfId="4935"/>
    <cellStyle name="Normal 4 7 6 2" xfId="6728"/>
    <cellStyle name="Normal 4 7 6 2 2" xfId="21613"/>
    <cellStyle name="Normal 4 7 6 2 3" xfId="21612"/>
    <cellStyle name="Normal 4 7 6 2 4" xfId="27378"/>
    <cellStyle name="Normal 4 7 6 3" xfId="21614"/>
    <cellStyle name="Normal 4 7 6 4" xfId="21611"/>
    <cellStyle name="Normal 4 7 6 5" xfId="27377"/>
    <cellStyle name="Normal 4 7 7" xfId="21615"/>
    <cellStyle name="Normal 4 7 7 2" xfId="21616"/>
    <cellStyle name="Normal 4 7 8" xfId="21617"/>
    <cellStyle name="Normal 4 7 8 2" xfId="21618"/>
    <cellStyle name="Normal 4 7 9" xfId="21619"/>
    <cellStyle name="Normal 4 8" xfId="1088"/>
    <cellStyle name="Normal 4 8 2" xfId="1543"/>
    <cellStyle name="Normal 4 8 2 2" xfId="21620"/>
    <cellStyle name="Normal 4 8 3" xfId="3958"/>
    <cellStyle name="Normal 4 8 3 2" xfId="21622"/>
    <cellStyle name="Normal 4 8 3 3" xfId="21621"/>
    <cellStyle name="Normal 4 8 4" xfId="21623"/>
    <cellStyle name="Normal 4 8 4 2" xfId="21624"/>
    <cellStyle name="Normal 4 8 5" xfId="21625"/>
    <cellStyle name="Normal 4 8 5 2" xfId="21626"/>
    <cellStyle name="Normal 4 9" xfId="1098"/>
    <cellStyle name="Normal 4 9 10" xfId="21627"/>
    <cellStyle name="Normal 4 9 2" xfId="3536"/>
    <cellStyle name="Normal 4 9 2 2" xfId="4198"/>
    <cellStyle name="Normal 4 9 2 2 2" xfId="5514"/>
    <cellStyle name="Normal 4 9 2 2 2 2" xfId="6731"/>
    <cellStyle name="Normal 4 9 2 2 2 2 2" xfId="21631"/>
    <cellStyle name="Normal 4 9 2 2 2 2 3" xfId="27382"/>
    <cellStyle name="Normal 4 9 2 2 2 3" xfId="21630"/>
    <cellStyle name="Normal 4 9 2 2 2 4" xfId="27381"/>
    <cellStyle name="Normal 4 9 2 2 3" xfId="5824"/>
    <cellStyle name="Normal 4 9 2 2 3 2" xfId="6732"/>
    <cellStyle name="Normal 4 9 2 2 3 2 2" xfId="27384"/>
    <cellStyle name="Normal 4 9 2 2 3 3" xfId="21632"/>
    <cellStyle name="Normal 4 9 2 2 3 4" xfId="27383"/>
    <cellStyle name="Normal 4 9 2 2 4" xfId="4941"/>
    <cellStyle name="Normal 4 9 2 2 4 2" xfId="6733"/>
    <cellStyle name="Normal 4 9 2 2 4 2 2" xfId="27386"/>
    <cellStyle name="Normal 4 9 2 2 4 3" xfId="27385"/>
    <cellStyle name="Normal 4 9 2 2 5" xfId="6730"/>
    <cellStyle name="Normal 4 9 2 2 5 2" xfId="27387"/>
    <cellStyle name="Normal 4 9 2 2 6" xfId="21629"/>
    <cellStyle name="Normal 4 9 2 2 7" xfId="25050"/>
    <cellStyle name="Normal 4 9 2 2 8" xfId="27380"/>
    <cellStyle name="Normal 4 9 2 3" xfId="5513"/>
    <cellStyle name="Normal 4 9 2 3 2" xfId="6734"/>
    <cellStyle name="Normal 4 9 2 3 2 2" xfId="21635"/>
    <cellStyle name="Normal 4 9 2 3 2 3" xfId="21634"/>
    <cellStyle name="Normal 4 9 2 3 2 4" xfId="27389"/>
    <cellStyle name="Normal 4 9 2 3 3" xfId="21636"/>
    <cellStyle name="Normal 4 9 2 3 3 2" xfId="21637"/>
    <cellStyle name="Normal 4 9 2 3 4" xfId="21638"/>
    <cellStyle name="Normal 4 9 2 3 5" xfId="21633"/>
    <cellStyle name="Normal 4 9 2 3 6" xfId="27388"/>
    <cellStyle name="Normal 4 9 2 4" xfId="5823"/>
    <cellStyle name="Normal 4 9 2 4 2" xfId="6735"/>
    <cellStyle name="Normal 4 9 2 4 2 2" xfId="21640"/>
    <cellStyle name="Normal 4 9 2 4 2 3" xfId="27391"/>
    <cellStyle name="Normal 4 9 2 4 3" xfId="21639"/>
    <cellStyle name="Normal 4 9 2 4 4" xfId="27390"/>
    <cellStyle name="Normal 4 9 2 5" xfId="4940"/>
    <cellStyle name="Normal 4 9 2 5 2" xfId="6736"/>
    <cellStyle name="Normal 4 9 2 5 2 2" xfId="21642"/>
    <cellStyle name="Normal 4 9 2 5 2 3" xfId="27393"/>
    <cellStyle name="Normal 4 9 2 5 3" xfId="21641"/>
    <cellStyle name="Normal 4 9 2 5 4" xfId="27392"/>
    <cellStyle name="Normal 4 9 2 6" xfId="6729"/>
    <cellStyle name="Normal 4 9 2 6 2" xfId="21643"/>
    <cellStyle name="Normal 4 9 2 6 3" xfId="27394"/>
    <cellStyle name="Normal 4 9 2 7" xfId="21628"/>
    <cellStyle name="Normal 4 9 2 8" xfId="24930"/>
    <cellStyle name="Normal 4 9 2 9" xfId="27379"/>
    <cellStyle name="Normal 4 9 3" xfId="3968"/>
    <cellStyle name="Normal 4 9 3 2" xfId="5515"/>
    <cellStyle name="Normal 4 9 3 2 2" xfId="6737"/>
    <cellStyle name="Normal 4 9 3 2 2 2" xfId="21646"/>
    <cellStyle name="Normal 4 9 3 2 2 3" xfId="27396"/>
    <cellStyle name="Normal 4 9 3 2 3" xfId="21645"/>
    <cellStyle name="Normal 4 9 3 2 4" xfId="27395"/>
    <cellStyle name="Normal 4 9 3 3" xfId="5825"/>
    <cellStyle name="Normal 4 9 3 3 2" xfId="6738"/>
    <cellStyle name="Normal 4 9 3 3 2 2" xfId="27398"/>
    <cellStyle name="Normal 4 9 3 3 3" xfId="21647"/>
    <cellStyle name="Normal 4 9 3 3 4" xfId="27397"/>
    <cellStyle name="Normal 4 9 3 4" xfId="4942"/>
    <cellStyle name="Normal 4 9 3 4 2" xfId="6739"/>
    <cellStyle name="Normal 4 9 3 4 2 2" xfId="27400"/>
    <cellStyle name="Normal 4 9 3 4 3" xfId="27399"/>
    <cellStyle name="Normal 4 9 3 5" xfId="21644"/>
    <cellStyle name="Normal 4 9 4" xfId="5512"/>
    <cellStyle name="Normal 4 9 4 2" xfId="6740"/>
    <cellStyle name="Normal 4 9 4 2 2" xfId="21649"/>
    <cellStyle name="Normal 4 9 4 2 3" xfId="27402"/>
    <cellStyle name="Normal 4 9 4 3" xfId="21648"/>
    <cellStyle name="Normal 4 9 4 4" xfId="27401"/>
    <cellStyle name="Normal 4 9 5" xfId="5822"/>
    <cellStyle name="Normal 4 9 5 2" xfId="6741"/>
    <cellStyle name="Normal 4 9 5 2 2" xfId="21652"/>
    <cellStyle name="Normal 4 9 5 2 3" xfId="21651"/>
    <cellStyle name="Normal 4 9 5 2 4" xfId="27404"/>
    <cellStyle name="Normal 4 9 5 3" xfId="21653"/>
    <cellStyle name="Normal 4 9 5 4" xfId="21650"/>
    <cellStyle name="Normal 4 9 5 5" xfId="27403"/>
    <cellStyle name="Normal 4 9 6" xfId="4939"/>
    <cellStyle name="Normal 4 9 6 2" xfId="6742"/>
    <cellStyle name="Normal 4 9 6 2 2" xfId="21656"/>
    <cellStyle name="Normal 4 9 6 2 3" xfId="21655"/>
    <cellStyle name="Normal 4 9 6 2 4" xfId="27406"/>
    <cellStyle name="Normal 4 9 6 3" xfId="21657"/>
    <cellStyle name="Normal 4 9 6 4" xfId="21654"/>
    <cellStyle name="Normal 4 9 6 5" xfId="27405"/>
    <cellStyle name="Normal 4 9 7" xfId="21658"/>
    <cellStyle name="Normal 4 9 7 2" xfId="21659"/>
    <cellStyle name="Normal 4 9 8" xfId="21660"/>
    <cellStyle name="Normal 4 9 8 2" xfId="21661"/>
    <cellStyle name="Normal 4 9 9" xfId="21662"/>
    <cellStyle name="Normal 40" xfId="1031"/>
    <cellStyle name="Normal 40 2" xfId="3894"/>
    <cellStyle name="Normal 41" xfId="28699"/>
    <cellStyle name="Normal 42" xfId="1032"/>
    <cellStyle name="Normal 42 2" xfId="3896"/>
    <cellStyle name="Normal 43" xfId="28701"/>
    <cellStyle name="Normal 44" xfId="1033"/>
    <cellStyle name="Normal 44 2" xfId="3898"/>
    <cellStyle name="Normal 45" xfId="28705"/>
    <cellStyle name="Normal 5" xfId="12"/>
    <cellStyle name="Normal 5 10" xfId="1102"/>
    <cellStyle name="Normal 5 10 2" xfId="3972"/>
    <cellStyle name="Normal 5 10 2 2" xfId="5517"/>
    <cellStyle name="Normal 5 10 2 2 2" xfId="6743"/>
    <cellStyle name="Normal 5 10 2 2 2 2" xfId="21665"/>
    <cellStyle name="Normal 5 10 2 2 2 3" xfId="27408"/>
    <cellStyle name="Normal 5 10 2 2 3" xfId="21664"/>
    <cellStyle name="Normal 5 10 2 2 4" xfId="27407"/>
    <cellStyle name="Normal 5 10 2 3" xfId="5827"/>
    <cellStyle name="Normal 5 10 2 3 2" xfId="6744"/>
    <cellStyle name="Normal 5 10 2 3 2 2" xfId="21667"/>
    <cellStyle name="Normal 5 10 2 3 2 3" xfId="27410"/>
    <cellStyle name="Normal 5 10 2 3 3" xfId="21666"/>
    <cellStyle name="Normal 5 10 2 3 4" xfId="27409"/>
    <cellStyle name="Normal 5 10 2 4" xfId="4944"/>
    <cellStyle name="Normal 5 10 2 4 2" xfId="6745"/>
    <cellStyle name="Normal 5 10 2 4 2 2" xfId="27412"/>
    <cellStyle name="Normal 5 10 2 4 3" xfId="21668"/>
    <cellStyle name="Normal 5 10 2 4 4" xfId="27411"/>
    <cellStyle name="Normal 5 10 2 5" xfId="21663"/>
    <cellStyle name="Normal 5 10 3" xfId="5516"/>
    <cellStyle name="Normal 5 10 3 2" xfId="6746"/>
    <cellStyle name="Normal 5 10 3 2 2" xfId="21670"/>
    <cellStyle name="Normal 5 10 3 2 3" xfId="27414"/>
    <cellStyle name="Normal 5 10 3 3" xfId="21669"/>
    <cellStyle name="Normal 5 10 3 4" xfId="27413"/>
    <cellStyle name="Normal 5 10 4" xfId="5826"/>
    <cellStyle name="Normal 5 10 4 2" xfId="6747"/>
    <cellStyle name="Normal 5 10 4 2 2" xfId="21672"/>
    <cellStyle name="Normal 5 10 4 2 3" xfId="27416"/>
    <cellStyle name="Normal 5 10 4 3" xfId="21671"/>
    <cellStyle name="Normal 5 10 4 4" xfId="27415"/>
    <cellStyle name="Normal 5 10 5" xfId="4943"/>
    <cellStyle name="Normal 5 10 5 2" xfId="6748"/>
    <cellStyle name="Normal 5 10 5 2 2" xfId="27418"/>
    <cellStyle name="Normal 5 10 5 3" xfId="21673"/>
    <cellStyle name="Normal 5 10 5 4" xfId="27417"/>
    <cellStyle name="Normal 5 10 6" xfId="7115"/>
    <cellStyle name="Normal 5 11" xfId="1112"/>
    <cellStyle name="Normal 5 11 2" xfId="3982"/>
    <cellStyle name="Normal 5 11 2 2" xfId="5518"/>
    <cellStyle name="Normal 5 11 2 2 2" xfId="6749"/>
    <cellStyle name="Normal 5 11 2 2 2 2" xfId="27420"/>
    <cellStyle name="Normal 5 11 2 2 3" xfId="21676"/>
    <cellStyle name="Normal 5 11 2 2 4" xfId="27419"/>
    <cellStyle name="Normal 5 11 2 3" xfId="21675"/>
    <cellStyle name="Normal 5 11 3" xfId="5828"/>
    <cellStyle name="Normal 5 11 3 2" xfId="6750"/>
    <cellStyle name="Normal 5 11 3 2 2" xfId="21678"/>
    <cellStyle name="Normal 5 11 3 2 3" xfId="27422"/>
    <cellStyle name="Normal 5 11 3 3" xfId="21677"/>
    <cellStyle name="Normal 5 11 3 4" xfId="27421"/>
    <cellStyle name="Normal 5 11 4" xfId="4945"/>
    <cellStyle name="Normal 5 11 4 2" xfId="6751"/>
    <cellStyle name="Normal 5 11 4 2 2" xfId="27424"/>
    <cellStyle name="Normal 5 11 4 3" xfId="21679"/>
    <cellStyle name="Normal 5 11 4 4" xfId="27423"/>
    <cellStyle name="Normal 5 11 5" xfId="21674"/>
    <cellStyle name="Normal 5 12" xfId="1122"/>
    <cellStyle name="Normal 5 12 2" xfId="3992"/>
    <cellStyle name="Normal 5 12 2 2" xfId="21681"/>
    <cellStyle name="Normal 5 12 3" xfId="21680"/>
    <cellStyle name="Normal 5 13" xfId="1132"/>
    <cellStyle name="Normal 5 13 2" xfId="4002"/>
    <cellStyle name="Normal 5 13 2 2" xfId="21683"/>
    <cellStyle name="Normal 5 13 3" xfId="21682"/>
    <cellStyle name="Normal 5 14" xfId="1160"/>
    <cellStyle name="Normal 5 14 2" xfId="4030"/>
    <cellStyle name="Normal 5 15" xfId="1148"/>
    <cellStyle name="Normal 5 15 2" xfId="4018"/>
    <cellStyle name="Normal 5 16" xfId="1162"/>
    <cellStyle name="Normal 5 16 2" xfId="4032"/>
    <cellStyle name="Normal 5 17" xfId="1172"/>
    <cellStyle name="Normal 5 17 2" xfId="4042"/>
    <cellStyle name="Normal 5 18" xfId="1182"/>
    <cellStyle name="Normal 5 18 2" xfId="4052"/>
    <cellStyle name="Normal 5 19" xfId="1192"/>
    <cellStyle name="Normal 5 19 2" xfId="4062"/>
    <cellStyle name="Normal 5 2" xfId="61"/>
    <cellStyle name="Normal 5 2 2" xfId="1490"/>
    <cellStyle name="Normal 5 2 2 10" xfId="27425"/>
    <cellStyle name="Normal 5 2 2 2" xfId="4186"/>
    <cellStyle name="Normal 5 2 2 2 2" xfId="4948"/>
    <cellStyle name="Normal 5 2 2 2 2 2" xfId="5521"/>
    <cellStyle name="Normal 5 2 2 2 2 2 2" xfId="6755"/>
    <cellStyle name="Normal 5 2 2 2 2 2 2 2" xfId="21688"/>
    <cellStyle name="Normal 5 2 2 2 2 2 2 3" xfId="27429"/>
    <cellStyle name="Normal 5 2 2 2 2 2 3" xfId="21687"/>
    <cellStyle name="Normal 5 2 2 2 2 2 4" xfId="27428"/>
    <cellStyle name="Normal 5 2 2 2 2 3" xfId="5831"/>
    <cellStyle name="Normal 5 2 2 2 2 3 2" xfId="6756"/>
    <cellStyle name="Normal 5 2 2 2 2 3 2 2" xfId="21690"/>
    <cellStyle name="Normal 5 2 2 2 2 3 2 3" xfId="27431"/>
    <cellStyle name="Normal 5 2 2 2 2 3 3" xfId="21689"/>
    <cellStyle name="Normal 5 2 2 2 2 3 4" xfId="27430"/>
    <cellStyle name="Normal 5 2 2 2 2 4" xfId="6754"/>
    <cellStyle name="Normal 5 2 2 2 2 4 2" xfId="21691"/>
    <cellStyle name="Normal 5 2 2 2 2 4 3" xfId="27432"/>
    <cellStyle name="Normal 5 2 2 2 2 5" xfId="21686"/>
    <cellStyle name="Normal 5 2 2 2 2 6" xfId="27427"/>
    <cellStyle name="Normal 5 2 2 2 3" xfId="5520"/>
    <cellStyle name="Normal 5 2 2 2 3 2" xfId="6757"/>
    <cellStyle name="Normal 5 2 2 2 3 2 2" xfId="21693"/>
    <cellStyle name="Normal 5 2 2 2 3 2 3" xfId="27434"/>
    <cellStyle name="Normal 5 2 2 2 3 3" xfId="21692"/>
    <cellStyle name="Normal 5 2 2 2 3 4" xfId="27433"/>
    <cellStyle name="Normal 5 2 2 2 4" xfId="5830"/>
    <cellStyle name="Normal 5 2 2 2 4 2" xfId="6758"/>
    <cellStyle name="Normal 5 2 2 2 4 2 2" xfId="21695"/>
    <cellStyle name="Normal 5 2 2 2 4 2 3" xfId="27436"/>
    <cellStyle name="Normal 5 2 2 2 4 3" xfId="21694"/>
    <cellStyle name="Normal 5 2 2 2 4 4" xfId="27435"/>
    <cellStyle name="Normal 5 2 2 2 5" xfId="4947"/>
    <cellStyle name="Normal 5 2 2 2 5 2" xfId="6759"/>
    <cellStyle name="Normal 5 2 2 2 5 2 2" xfId="27438"/>
    <cellStyle name="Normal 5 2 2 2 5 3" xfId="21696"/>
    <cellStyle name="Normal 5 2 2 2 5 4" xfId="27437"/>
    <cellStyle name="Normal 5 2 2 2 6" xfId="6753"/>
    <cellStyle name="Normal 5 2 2 2 6 2" xfId="27439"/>
    <cellStyle name="Normal 5 2 2 2 7" xfId="21685"/>
    <cellStyle name="Normal 5 2 2 2 8" xfId="25038"/>
    <cellStyle name="Normal 5 2 2 2 9" xfId="27426"/>
    <cellStyle name="Normal 5 2 2 3" xfId="4949"/>
    <cellStyle name="Normal 5 2 2 3 2" xfId="5522"/>
    <cellStyle name="Normal 5 2 2 3 2 2" xfId="6761"/>
    <cellStyle name="Normal 5 2 2 3 2 2 2" xfId="21699"/>
    <cellStyle name="Normal 5 2 2 3 2 2 3" xfId="27442"/>
    <cellStyle name="Normal 5 2 2 3 2 3" xfId="21698"/>
    <cellStyle name="Normal 5 2 2 3 2 4" xfId="27441"/>
    <cellStyle name="Normal 5 2 2 3 3" xfId="5832"/>
    <cellStyle name="Normal 5 2 2 3 3 2" xfId="6762"/>
    <cellStyle name="Normal 5 2 2 3 3 2 2" xfId="21701"/>
    <cellStyle name="Normal 5 2 2 3 3 2 3" xfId="27444"/>
    <cellStyle name="Normal 5 2 2 3 3 3" xfId="21700"/>
    <cellStyle name="Normal 5 2 2 3 3 4" xfId="27443"/>
    <cellStyle name="Normal 5 2 2 3 4" xfId="6760"/>
    <cellStyle name="Normal 5 2 2 3 4 2" xfId="21702"/>
    <cellStyle name="Normal 5 2 2 3 4 3" xfId="27445"/>
    <cellStyle name="Normal 5 2 2 3 5" xfId="21697"/>
    <cellStyle name="Normal 5 2 2 3 6" xfId="27440"/>
    <cellStyle name="Normal 5 2 2 4" xfId="5519"/>
    <cellStyle name="Normal 5 2 2 4 2" xfId="6763"/>
    <cellStyle name="Normal 5 2 2 4 2 2" xfId="21704"/>
    <cellStyle name="Normal 5 2 2 4 2 3" xfId="27447"/>
    <cellStyle name="Normal 5 2 2 4 3" xfId="21703"/>
    <cellStyle name="Normal 5 2 2 4 4" xfId="27446"/>
    <cellStyle name="Normal 5 2 2 5" xfId="5829"/>
    <cellStyle name="Normal 5 2 2 5 2" xfId="6764"/>
    <cellStyle name="Normal 5 2 2 5 2 2" xfId="21706"/>
    <cellStyle name="Normal 5 2 2 5 2 3" xfId="27449"/>
    <cellStyle name="Normal 5 2 2 5 3" xfId="21705"/>
    <cellStyle name="Normal 5 2 2 5 4" xfId="27448"/>
    <cellStyle name="Normal 5 2 2 6" xfId="4946"/>
    <cellStyle name="Normal 5 2 2 6 2" xfId="6765"/>
    <cellStyle name="Normal 5 2 2 6 2 2" xfId="27451"/>
    <cellStyle name="Normal 5 2 2 6 3" xfId="21707"/>
    <cellStyle name="Normal 5 2 2 6 4" xfId="27450"/>
    <cellStyle name="Normal 5 2 2 7" xfId="6752"/>
    <cellStyle name="Normal 5 2 2 7 2" xfId="27452"/>
    <cellStyle name="Normal 5 2 2 8" xfId="21684"/>
    <cellStyle name="Normal 5 2 2 9" xfId="24918"/>
    <cellStyle name="Normal 5 2 3" xfId="1616"/>
    <cellStyle name="Normal 5 2 3 10" xfId="27453"/>
    <cellStyle name="Normal 5 2 3 2" xfId="4195"/>
    <cellStyle name="Normal 5 2 3 2 2" xfId="4952"/>
    <cellStyle name="Normal 5 2 3 2 2 2" xfId="5525"/>
    <cellStyle name="Normal 5 2 3 2 2 2 2" xfId="6769"/>
    <cellStyle name="Normal 5 2 3 2 2 2 2 2" xfId="21712"/>
    <cellStyle name="Normal 5 2 3 2 2 2 2 3" xfId="27457"/>
    <cellStyle name="Normal 5 2 3 2 2 2 3" xfId="21711"/>
    <cellStyle name="Normal 5 2 3 2 2 2 4" xfId="27456"/>
    <cellStyle name="Normal 5 2 3 2 2 3" xfId="5835"/>
    <cellStyle name="Normal 5 2 3 2 2 3 2" xfId="6770"/>
    <cellStyle name="Normal 5 2 3 2 2 3 2 2" xfId="21714"/>
    <cellStyle name="Normal 5 2 3 2 2 3 2 3" xfId="27459"/>
    <cellStyle name="Normal 5 2 3 2 2 3 3" xfId="21713"/>
    <cellStyle name="Normal 5 2 3 2 2 3 4" xfId="27458"/>
    <cellStyle name="Normal 5 2 3 2 2 4" xfId="6768"/>
    <cellStyle name="Normal 5 2 3 2 2 4 2" xfId="21715"/>
    <cellStyle name="Normal 5 2 3 2 2 4 3" xfId="27460"/>
    <cellStyle name="Normal 5 2 3 2 2 5" xfId="21710"/>
    <cellStyle name="Normal 5 2 3 2 2 6" xfId="27455"/>
    <cellStyle name="Normal 5 2 3 2 3" xfId="5524"/>
    <cellStyle name="Normal 5 2 3 2 3 2" xfId="6771"/>
    <cellStyle name="Normal 5 2 3 2 3 2 2" xfId="21717"/>
    <cellStyle name="Normal 5 2 3 2 3 2 3" xfId="27462"/>
    <cellStyle name="Normal 5 2 3 2 3 3" xfId="21716"/>
    <cellStyle name="Normal 5 2 3 2 3 4" xfId="27461"/>
    <cellStyle name="Normal 5 2 3 2 4" xfId="5834"/>
    <cellStyle name="Normal 5 2 3 2 4 2" xfId="6772"/>
    <cellStyle name="Normal 5 2 3 2 4 2 2" xfId="21719"/>
    <cellStyle name="Normal 5 2 3 2 4 2 3" xfId="27464"/>
    <cellStyle name="Normal 5 2 3 2 4 3" xfId="21718"/>
    <cellStyle name="Normal 5 2 3 2 4 4" xfId="27463"/>
    <cellStyle name="Normal 5 2 3 2 5" xfId="4951"/>
    <cellStyle name="Normal 5 2 3 2 5 2" xfId="6773"/>
    <cellStyle name="Normal 5 2 3 2 5 2 2" xfId="27466"/>
    <cellStyle name="Normal 5 2 3 2 5 3" xfId="21720"/>
    <cellStyle name="Normal 5 2 3 2 5 4" xfId="27465"/>
    <cellStyle name="Normal 5 2 3 2 6" xfId="6767"/>
    <cellStyle name="Normal 5 2 3 2 6 2" xfId="27467"/>
    <cellStyle name="Normal 5 2 3 2 7" xfId="21709"/>
    <cellStyle name="Normal 5 2 3 2 8" xfId="25047"/>
    <cellStyle name="Normal 5 2 3 2 9" xfId="27454"/>
    <cellStyle name="Normal 5 2 3 3" xfId="4953"/>
    <cellStyle name="Normal 5 2 3 3 2" xfId="5526"/>
    <cellStyle name="Normal 5 2 3 3 2 2" xfId="6775"/>
    <cellStyle name="Normal 5 2 3 3 2 2 2" xfId="21723"/>
    <cellStyle name="Normal 5 2 3 3 2 2 3" xfId="27470"/>
    <cellStyle name="Normal 5 2 3 3 2 3" xfId="21722"/>
    <cellStyle name="Normal 5 2 3 3 2 4" xfId="27469"/>
    <cellStyle name="Normal 5 2 3 3 3" xfId="5836"/>
    <cellStyle name="Normal 5 2 3 3 3 2" xfId="6776"/>
    <cellStyle name="Normal 5 2 3 3 3 2 2" xfId="21725"/>
    <cellStyle name="Normal 5 2 3 3 3 2 3" xfId="27472"/>
    <cellStyle name="Normal 5 2 3 3 3 3" xfId="21724"/>
    <cellStyle name="Normal 5 2 3 3 3 4" xfId="27471"/>
    <cellStyle name="Normal 5 2 3 3 4" xfId="6774"/>
    <cellStyle name="Normal 5 2 3 3 4 2" xfId="21726"/>
    <cellStyle name="Normal 5 2 3 3 4 3" xfId="27473"/>
    <cellStyle name="Normal 5 2 3 3 5" xfId="21721"/>
    <cellStyle name="Normal 5 2 3 3 6" xfId="27468"/>
    <cellStyle name="Normal 5 2 3 4" xfId="5523"/>
    <cellStyle name="Normal 5 2 3 4 2" xfId="6777"/>
    <cellStyle name="Normal 5 2 3 4 2 2" xfId="21728"/>
    <cellStyle name="Normal 5 2 3 4 2 3" xfId="27475"/>
    <cellStyle name="Normal 5 2 3 4 3" xfId="21727"/>
    <cellStyle name="Normal 5 2 3 4 4" xfId="27474"/>
    <cellStyle name="Normal 5 2 3 5" xfId="5833"/>
    <cellStyle name="Normal 5 2 3 5 2" xfId="6778"/>
    <cellStyle name="Normal 5 2 3 5 2 2" xfId="21730"/>
    <cellStyle name="Normal 5 2 3 5 2 3" xfId="27477"/>
    <cellStyle name="Normal 5 2 3 5 3" xfId="21729"/>
    <cellStyle name="Normal 5 2 3 5 4" xfId="27476"/>
    <cellStyle name="Normal 5 2 3 6" xfId="4950"/>
    <cellStyle name="Normal 5 2 3 6 2" xfId="6779"/>
    <cellStyle name="Normal 5 2 3 6 2 2" xfId="27479"/>
    <cellStyle name="Normal 5 2 3 6 3" xfId="21731"/>
    <cellStyle name="Normal 5 2 3 6 4" xfId="27478"/>
    <cellStyle name="Normal 5 2 3 7" xfId="6766"/>
    <cellStyle name="Normal 5 2 3 7 2" xfId="27480"/>
    <cellStyle name="Normal 5 2 3 8" xfId="21708"/>
    <cellStyle name="Normal 5 2 3 9" xfId="24927"/>
    <cellStyle name="Normal 5 2 4" xfId="3580"/>
    <cellStyle name="Normal 5 2 4 10" xfId="27481"/>
    <cellStyle name="Normal 5 2 4 2" xfId="4200"/>
    <cellStyle name="Normal 5 2 4 2 2" xfId="4956"/>
    <cellStyle name="Normal 5 2 4 2 2 2" xfId="5529"/>
    <cellStyle name="Normal 5 2 4 2 2 2 2" xfId="6783"/>
    <cellStyle name="Normal 5 2 4 2 2 2 2 2" xfId="21736"/>
    <cellStyle name="Normal 5 2 4 2 2 2 2 3" xfId="27485"/>
    <cellStyle name="Normal 5 2 4 2 2 2 3" xfId="21735"/>
    <cellStyle name="Normal 5 2 4 2 2 2 4" xfId="27484"/>
    <cellStyle name="Normal 5 2 4 2 2 3" xfId="5839"/>
    <cellStyle name="Normal 5 2 4 2 2 3 2" xfId="6784"/>
    <cellStyle name="Normal 5 2 4 2 2 3 2 2" xfId="21738"/>
    <cellStyle name="Normal 5 2 4 2 2 3 2 3" xfId="27487"/>
    <cellStyle name="Normal 5 2 4 2 2 3 3" xfId="21737"/>
    <cellStyle name="Normal 5 2 4 2 2 3 4" xfId="27486"/>
    <cellStyle name="Normal 5 2 4 2 2 4" xfId="6782"/>
    <cellStyle name="Normal 5 2 4 2 2 4 2" xfId="21739"/>
    <cellStyle name="Normal 5 2 4 2 2 4 3" xfId="27488"/>
    <cellStyle name="Normal 5 2 4 2 2 5" xfId="21734"/>
    <cellStyle name="Normal 5 2 4 2 2 6" xfId="27483"/>
    <cellStyle name="Normal 5 2 4 2 3" xfId="5528"/>
    <cellStyle name="Normal 5 2 4 2 3 2" xfId="6785"/>
    <cellStyle name="Normal 5 2 4 2 3 2 2" xfId="21741"/>
    <cellStyle name="Normal 5 2 4 2 3 2 3" xfId="27490"/>
    <cellStyle name="Normal 5 2 4 2 3 3" xfId="21740"/>
    <cellStyle name="Normal 5 2 4 2 3 4" xfId="27489"/>
    <cellStyle name="Normal 5 2 4 2 4" xfId="5838"/>
    <cellStyle name="Normal 5 2 4 2 4 2" xfId="6786"/>
    <cellStyle name="Normal 5 2 4 2 4 2 2" xfId="21743"/>
    <cellStyle name="Normal 5 2 4 2 4 2 3" xfId="27492"/>
    <cellStyle name="Normal 5 2 4 2 4 3" xfId="21742"/>
    <cellStyle name="Normal 5 2 4 2 4 4" xfId="27491"/>
    <cellStyle name="Normal 5 2 4 2 5" xfId="4955"/>
    <cellStyle name="Normal 5 2 4 2 5 2" xfId="6787"/>
    <cellStyle name="Normal 5 2 4 2 5 2 2" xfId="27494"/>
    <cellStyle name="Normal 5 2 4 2 5 3" xfId="21744"/>
    <cellStyle name="Normal 5 2 4 2 5 4" xfId="27493"/>
    <cellStyle name="Normal 5 2 4 2 6" xfId="6781"/>
    <cellStyle name="Normal 5 2 4 2 6 2" xfId="27495"/>
    <cellStyle name="Normal 5 2 4 2 7" xfId="21733"/>
    <cellStyle name="Normal 5 2 4 2 8" xfId="25052"/>
    <cellStyle name="Normal 5 2 4 2 9" xfId="27482"/>
    <cellStyle name="Normal 5 2 4 3" xfId="4957"/>
    <cellStyle name="Normal 5 2 4 3 2" xfId="5530"/>
    <cellStyle name="Normal 5 2 4 3 2 2" xfId="6789"/>
    <cellStyle name="Normal 5 2 4 3 2 2 2" xfId="21747"/>
    <cellStyle name="Normal 5 2 4 3 2 2 3" xfId="27498"/>
    <cellStyle name="Normal 5 2 4 3 2 3" xfId="21746"/>
    <cellStyle name="Normal 5 2 4 3 2 4" xfId="27497"/>
    <cellStyle name="Normal 5 2 4 3 3" xfId="5840"/>
    <cellStyle name="Normal 5 2 4 3 3 2" xfId="6790"/>
    <cellStyle name="Normal 5 2 4 3 3 2 2" xfId="21749"/>
    <cellStyle name="Normal 5 2 4 3 3 2 3" xfId="27500"/>
    <cellStyle name="Normal 5 2 4 3 3 3" xfId="21748"/>
    <cellStyle name="Normal 5 2 4 3 3 4" xfId="27499"/>
    <cellStyle name="Normal 5 2 4 3 4" xfId="6788"/>
    <cellStyle name="Normal 5 2 4 3 4 2" xfId="21750"/>
    <cellStyle name="Normal 5 2 4 3 4 3" xfId="27501"/>
    <cellStyle name="Normal 5 2 4 3 5" xfId="21745"/>
    <cellStyle name="Normal 5 2 4 3 6" xfId="27496"/>
    <cellStyle name="Normal 5 2 4 4" xfId="5527"/>
    <cellStyle name="Normal 5 2 4 4 2" xfId="6791"/>
    <cellStyle name="Normal 5 2 4 4 2 2" xfId="21752"/>
    <cellStyle name="Normal 5 2 4 4 2 3" xfId="27503"/>
    <cellStyle name="Normal 5 2 4 4 3" xfId="21751"/>
    <cellStyle name="Normal 5 2 4 4 4" xfId="27502"/>
    <cellStyle name="Normal 5 2 4 5" xfId="5837"/>
    <cellStyle name="Normal 5 2 4 5 2" xfId="6792"/>
    <cellStyle name="Normal 5 2 4 5 2 2" xfId="21754"/>
    <cellStyle name="Normal 5 2 4 5 2 3" xfId="27505"/>
    <cellStyle name="Normal 5 2 4 5 3" xfId="21753"/>
    <cellStyle name="Normal 5 2 4 5 4" xfId="27504"/>
    <cellStyle name="Normal 5 2 4 6" xfId="4954"/>
    <cellStyle name="Normal 5 2 4 6 2" xfId="6793"/>
    <cellStyle name="Normal 5 2 4 6 2 2" xfId="27507"/>
    <cellStyle name="Normal 5 2 4 6 3" xfId="21755"/>
    <cellStyle name="Normal 5 2 4 6 4" xfId="27506"/>
    <cellStyle name="Normal 5 2 4 7" xfId="6780"/>
    <cellStyle name="Normal 5 2 4 7 2" xfId="27508"/>
    <cellStyle name="Normal 5 2 4 8" xfId="21732"/>
    <cellStyle name="Normal 5 2 4 9" xfId="24932"/>
    <cellStyle name="Normal 5 2 5" xfId="3717"/>
    <cellStyle name="Normal 5 2 5 10" xfId="27509"/>
    <cellStyle name="Normal 5 2 5 2" xfId="4207"/>
    <cellStyle name="Normal 5 2 5 2 2" xfId="4960"/>
    <cellStyle name="Normal 5 2 5 2 2 2" xfId="5533"/>
    <cellStyle name="Normal 5 2 5 2 2 2 2" xfId="6797"/>
    <cellStyle name="Normal 5 2 5 2 2 2 2 2" xfId="21760"/>
    <cellStyle name="Normal 5 2 5 2 2 2 2 3" xfId="27513"/>
    <cellStyle name="Normal 5 2 5 2 2 2 3" xfId="21759"/>
    <cellStyle name="Normal 5 2 5 2 2 2 4" xfId="27512"/>
    <cellStyle name="Normal 5 2 5 2 2 3" xfId="5843"/>
    <cellStyle name="Normal 5 2 5 2 2 3 2" xfId="6798"/>
    <cellStyle name="Normal 5 2 5 2 2 3 2 2" xfId="21762"/>
    <cellStyle name="Normal 5 2 5 2 2 3 2 3" xfId="27515"/>
    <cellStyle name="Normal 5 2 5 2 2 3 3" xfId="21761"/>
    <cellStyle name="Normal 5 2 5 2 2 3 4" xfId="27514"/>
    <cellStyle name="Normal 5 2 5 2 2 4" xfId="6796"/>
    <cellStyle name="Normal 5 2 5 2 2 4 2" xfId="21763"/>
    <cellStyle name="Normal 5 2 5 2 2 4 3" xfId="27516"/>
    <cellStyle name="Normal 5 2 5 2 2 5" xfId="21758"/>
    <cellStyle name="Normal 5 2 5 2 2 6" xfId="27511"/>
    <cellStyle name="Normal 5 2 5 2 3" xfId="5532"/>
    <cellStyle name="Normal 5 2 5 2 3 2" xfId="6799"/>
    <cellStyle name="Normal 5 2 5 2 3 2 2" xfId="21765"/>
    <cellStyle name="Normal 5 2 5 2 3 2 3" xfId="27518"/>
    <cellStyle name="Normal 5 2 5 2 3 3" xfId="21764"/>
    <cellStyle name="Normal 5 2 5 2 3 4" xfId="27517"/>
    <cellStyle name="Normal 5 2 5 2 4" xfId="5842"/>
    <cellStyle name="Normal 5 2 5 2 4 2" xfId="6800"/>
    <cellStyle name="Normal 5 2 5 2 4 2 2" xfId="21767"/>
    <cellStyle name="Normal 5 2 5 2 4 2 3" xfId="27520"/>
    <cellStyle name="Normal 5 2 5 2 4 3" xfId="21766"/>
    <cellStyle name="Normal 5 2 5 2 4 4" xfId="27519"/>
    <cellStyle name="Normal 5 2 5 2 5" xfId="4959"/>
    <cellStyle name="Normal 5 2 5 2 5 2" xfId="6801"/>
    <cellStyle name="Normal 5 2 5 2 5 2 2" xfId="27522"/>
    <cellStyle name="Normal 5 2 5 2 5 3" xfId="21768"/>
    <cellStyle name="Normal 5 2 5 2 5 4" xfId="27521"/>
    <cellStyle name="Normal 5 2 5 2 6" xfId="6795"/>
    <cellStyle name="Normal 5 2 5 2 6 2" xfId="27523"/>
    <cellStyle name="Normal 5 2 5 2 7" xfId="21757"/>
    <cellStyle name="Normal 5 2 5 2 8" xfId="25059"/>
    <cellStyle name="Normal 5 2 5 2 9" xfId="27510"/>
    <cellStyle name="Normal 5 2 5 3" xfId="4961"/>
    <cellStyle name="Normal 5 2 5 3 2" xfId="5534"/>
    <cellStyle name="Normal 5 2 5 3 2 2" xfId="6803"/>
    <cellStyle name="Normal 5 2 5 3 2 2 2" xfId="21771"/>
    <cellStyle name="Normal 5 2 5 3 2 2 3" xfId="27526"/>
    <cellStyle name="Normal 5 2 5 3 2 3" xfId="21770"/>
    <cellStyle name="Normal 5 2 5 3 2 4" xfId="27525"/>
    <cellStyle name="Normal 5 2 5 3 3" xfId="5844"/>
    <cellStyle name="Normal 5 2 5 3 3 2" xfId="6804"/>
    <cellStyle name="Normal 5 2 5 3 3 2 2" xfId="21773"/>
    <cellStyle name="Normal 5 2 5 3 3 2 3" xfId="27528"/>
    <cellStyle name="Normal 5 2 5 3 3 3" xfId="21772"/>
    <cellStyle name="Normal 5 2 5 3 3 4" xfId="27527"/>
    <cellStyle name="Normal 5 2 5 3 4" xfId="6802"/>
    <cellStyle name="Normal 5 2 5 3 4 2" xfId="21774"/>
    <cellStyle name="Normal 5 2 5 3 4 3" xfId="27529"/>
    <cellStyle name="Normal 5 2 5 3 5" xfId="21769"/>
    <cellStyle name="Normal 5 2 5 3 6" xfId="27524"/>
    <cellStyle name="Normal 5 2 5 4" xfId="5531"/>
    <cellStyle name="Normal 5 2 5 4 2" xfId="6805"/>
    <cellStyle name="Normal 5 2 5 4 2 2" xfId="21776"/>
    <cellStyle name="Normal 5 2 5 4 2 3" xfId="27531"/>
    <cellStyle name="Normal 5 2 5 4 3" xfId="21775"/>
    <cellStyle name="Normal 5 2 5 4 4" xfId="27530"/>
    <cellStyle name="Normal 5 2 5 5" xfId="5841"/>
    <cellStyle name="Normal 5 2 5 5 2" xfId="6806"/>
    <cellStyle name="Normal 5 2 5 5 2 2" xfId="21778"/>
    <cellStyle name="Normal 5 2 5 5 2 3" xfId="27533"/>
    <cellStyle name="Normal 5 2 5 5 3" xfId="21777"/>
    <cellStyle name="Normal 5 2 5 5 4" xfId="27532"/>
    <cellStyle name="Normal 5 2 5 6" xfId="4958"/>
    <cellStyle name="Normal 5 2 5 6 2" xfId="6807"/>
    <cellStyle name="Normal 5 2 5 6 2 2" xfId="27535"/>
    <cellStyle name="Normal 5 2 5 6 3" xfId="21779"/>
    <cellStyle name="Normal 5 2 5 6 4" xfId="27534"/>
    <cellStyle name="Normal 5 2 5 7" xfId="6794"/>
    <cellStyle name="Normal 5 2 5 7 2" xfId="27536"/>
    <cellStyle name="Normal 5 2 5 8" xfId="21756"/>
    <cellStyle name="Normal 5 2 5 9" xfId="24939"/>
    <cellStyle name="Normal 5 2 6" xfId="1386"/>
    <cellStyle name="Normal 5 2 6 2" xfId="21780"/>
    <cellStyle name="Normal 5 2 7" xfId="3903"/>
    <cellStyle name="Normal 5 2 8" xfId="1038"/>
    <cellStyle name="Normal 5 2 9" xfId="24544"/>
    <cellStyle name="Normal 5 20" xfId="1202"/>
    <cellStyle name="Normal 5 20 2" xfId="4072"/>
    <cellStyle name="Normal 5 21" xfId="1212"/>
    <cellStyle name="Normal 5 21 2" xfId="4082"/>
    <cellStyle name="Normal 5 22" xfId="1222"/>
    <cellStyle name="Normal 5 22 2" xfId="4092"/>
    <cellStyle name="Normal 5 23" xfId="1232"/>
    <cellStyle name="Normal 5 23 2" xfId="4102"/>
    <cellStyle name="Normal 5 24" xfId="1242"/>
    <cellStyle name="Normal 5 24 2" xfId="4112"/>
    <cellStyle name="Normal 5 25" xfId="1252"/>
    <cellStyle name="Normal 5 25 2" xfId="4122"/>
    <cellStyle name="Normal 5 26" xfId="1370"/>
    <cellStyle name="Normal 5 26 2" xfId="4170"/>
    <cellStyle name="Normal 5 26 2 2" xfId="6809"/>
    <cellStyle name="Normal 5 26 2 2 2" xfId="27539"/>
    <cellStyle name="Normal 5 26 2 3" xfId="25022"/>
    <cellStyle name="Normal 5 26 2 4" xfId="27538"/>
    <cellStyle name="Normal 5 26 3" xfId="6808"/>
    <cellStyle name="Normal 5 26 3 2" xfId="27540"/>
    <cellStyle name="Normal 5 26 4" xfId="24902"/>
    <cellStyle name="Normal 5 26 5" xfId="27537"/>
    <cellStyle name="Normal 5 27" xfId="3843"/>
    <cellStyle name="Normal 5 27 2" xfId="6810"/>
    <cellStyle name="Normal 5 27 2 2" xfId="27542"/>
    <cellStyle name="Normal 5 27 3" xfId="24979"/>
    <cellStyle name="Normal 5 27 4" xfId="27541"/>
    <cellStyle name="Normal 5 28" xfId="627"/>
    <cellStyle name="Normal 5 28 2" xfId="6811"/>
    <cellStyle name="Normal 5 28 2 2" xfId="27544"/>
    <cellStyle name="Normal 5 28 3" xfId="27543"/>
    <cellStyle name="Normal 5 29" xfId="24543"/>
    <cellStyle name="Normal 5 3" xfId="62"/>
    <cellStyle name="Normal 5 3 2" xfId="3761"/>
    <cellStyle name="Normal 5 3 2 10" xfId="27545"/>
    <cellStyle name="Normal 5 3 2 2" xfId="4210"/>
    <cellStyle name="Normal 5 3 2 2 2" xfId="4964"/>
    <cellStyle name="Normal 5 3 2 2 2 2" xfId="5538"/>
    <cellStyle name="Normal 5 3 2 2 2 2 2" xfId="6815"/>
    <cellStyle name="Normal 5 3 2 2 2 2 2 2" xfId="21785"/>
    <cellStyle name="Normal 5 3 2 2 2 2 2 3" xfId="27549"/>
    <cellStyle name="Normal 5 3 2 2 2 2 3" xfId="21784"/>
    <cellStyle name="Normal 5 3 2 2 2 2 4" xfId="27548"/>
    <cellStyle name="Normal 5 3 2 2 2 3" xfId="5848"/>
    <cellStyle name="Normal 5 3 2 2 2 3 2" xfId="6816"/>
    <cellStyle name="Normal 5 3 2 2 2 3 2 2" xfId="21787"/>
    <cellStyle name="Normal 5 3 2 2 2 3 2 3" xfId="27551"/>
    <cellStyle name="Normal 5 3 2 2 2 3 3" xfId="21786"/>
    <cellStyle name="Normal 5 3 2 2 2 3 4" xfId="27550"/>
    <cellStyle name="Normal 5 3 2 2 2 4" xfId="6814"/>
    <cellStyle name="Normal 5 3 2 2 2 4 2" xfId="21788"/>
    <cellStyle name="Normal 5 3 2 2 2 4 3" xfId="27552"/>
    <cellStyle name="Normal 5 3 2 2 2 5" xfId="21783"/>
    <cellStyle name="Normal 5 3 2 2 2 6" xfId="27547"/>
    <cellStyle name="Normal 5 3 2 2 3" xfId="5537"/>
    <cellStyle name="Normal 5 3 2 2 3 2" xfId="6817"/>
    <cellStyle name="Normal 5 3 2 2 3 2 2" xfId="21790"/>
    <cellStyle name="Normal 5 3 2 2 3 2 3" xfId="27554"/>
    <cellStyle name="Normal 5 3 2 2 3 3" xfId="21789"/>
    <cellStyle name="Normal 5 3 2 2 3 4" xfId="27553"/>
    <cellStyle name="Normal 5 3 2 2 4" xfId="5847"/>
    <cellStyle name="Normal 5 3 2 2 4 2" xfId="6818"/>
    <cellStyle name="Normal 5 3 2 2 4 2 2" xfId="21792"/>
    <cellStyle name="Normal 5 3 2 2 4 2 3" xfId="27556"/>
    <cellStyle name="Normal 5 3 2 2 4 3" xfId="21791"/>
    <cellStyle name="Normal 5 3 2 2 4 4" xfId="27555"/>
    <cellStyle name="Normal 5 3 2 2 5" xfId="4963"/>
    <cellStyle name="Normal 5 3 2 2 5 2" xfId="6819"/>
    <cellStyle name="Normal 5 3 2 2 5 2 2" xfId="27558"/>
    <cellStyle name="Normal 5 3 2 2 5 3" xfId="21793"/>
    <cellStyle name="Normal 5 3 2 2 5 4" xfId="27557"/>
    <cellStyle name="Normal 5 3 2 2 6" xfId="6813"/>
    <cellStyle name="Normal 5 3 2 2 6 2" xfId="27559"/>
    <cellStyle name="Normal 5 3 2 2 7" xfId="21782"/>
    <cellStyle name="Normal 5 3 2 2 8" xfId="25062"/>
    <cellStyle name="Normal 5 3 2 2 9" xfId="27546"/>
    <cellStyle name="Normal 5 3 2 3" xfId="4965"/>
    <cellStyle name="Normal 5 3 2 3 2" xfId="5539"/>
    <cellStyle name="Normal 5 3 2 3 2 2" xfId="6821"/>
    <cellStyle name="Normal 5 3 2 3 2 2 2" xfId="21796"/>
    <cellStyle name="Normal 5 3 2 3 2 2 3" xfId="27562"/>
    <cellStyle name="Normal 5 3 2 3 2 3" xfId="21795"/>
    <cellStyle name="Normal 5 3 2 3 2 4" xfId="27561"/>
    <cellStyle name="Normal 5 3 2 3 3" xfId="5849"/>
    <cellStyle name="Normal 5 3 2 3 3 2" xfId="6822"/>
    <cellStyle name="Normal 5 3 2 3 3 2 2" xfId="21798"/>
    <cellStyle name="Normal 5 3 2 3 3 2 3" xfId="27564"/>
    <cellStyle name="Normal 5 3 2 3 3 3" xfId="21797"/>
    <cellStyle name="Normal 5 3 2 3 3 4" xfId="27563"/>
    <cellStyle name="Normal 5 3 2 3 4" xfId="6820"/>
    <cellStyle name="Normal 5 3 2 3 4 2" xfId="21799"/>
    <cellStyle name="Normal 5 3 2 3 4 3" xfId="27565"/>
    <cellStyle name="Normal 5 3 2 3 5" xfId="21794"/>
    <cellStyle name="Normal 5 3 2 3 6" xfId="27560"/>
    <cellStyle name="Normal 5 3 2 4" xfId="5536"/>
    <cellStyle name="Normal 5 3 2 4 2" xfId="6823"/>
    <cellStyle name="Normal 5 3 2 4 2 2" xfId="21801"/>
    <cellStyle name="Normal 5 3 2 4 2 3" xfId="27567"/>
    <cellStyle name="Normal 5 3 2 4 3" xfId="21800"/>
    <cellStyle name="Normal 5 3 2 4 4" xfId="27566"/>
    <cellStyle name="Normal 5 3 2 5" xfId="5846"/>
    <cellStyle name="Normal 5 3 2 5 2" xfId="6824"/>
    <cellStyle name="Normal 5 3 2 5 2 2" xfId="21803"/>
    <cellStyle name="Normal 5 3 2 5 2 3" xfId="27569"/>
    <cellStyle name="Normal 5 3 2 5 3" xfId="21802"/>
    <cellStyle name="Normal 5 3 2 5 4" xfId="27568"/>
    <cellStyle name="Normal 5 3 2 6" xfId="4962"/>
    <cellStyle name="Normal 5 3 2 6 2" xfId="6825"/>
    <cellStyle name="Normal 5 3 2 6 2 2" xfId="27571"/>
    <cellStyle name="Normal 5 3 2 6 3" xfId="21804"/>
    <cellStyle name="Normal 5 3 2 6 4" xfId="27570"/>
    <cellStyle name="Normal 5 3 2 7" xfId="6812"/>
    <cellStyle name="Normal 5 3 2 7 2" xfId="27572"/>
    <cellStyle name="Normal 5 3 2 8" xfId="21781"/>
    <cellStyle name="Normal 5 3 2 9" xfId="24942"/>
    <cellStyle name="Normal 5 3 3" xfId="1535"/>
    <cellStyle name="Normal 5 3 3 2" xfId="4188"/>
    <cellStyle name="Normal 5 3 3 2 2" xfId="5541"/>
    <cellStyle name="Normal 5 3 3 2 2 2" xfId="6828"/>
    <cellStyle name="Normal 5 3 3 2 2 2 2" xfId="21808"/>
    <cellStyle name="Normal 5 3 3 2 2 2 3" xfId="27576"/>
    <cellStyle name="Normal 5 3 3 2 2 3" xfId="21807"/>
    <cellStyle name="Normal 5 3 3 2 2 4" xfId="27575"/>
    <cellStyle name="Normal 5 3 3 2 3" xfId="5851"/>
    <cellStyle name="Normal 5 3 3 2 3 2" xfId="6829"/>
    <cellStyle name="Normal 5 3 3 2 3 2 2" xfId="21810"/>
    <cellStyle name="Normal 5 3 3 2 3 2 3" xfId="27578"/>
    <cellStyle name="Normal 5 3 3 2 3 3" xfId="21809"/>
    <cellStyle name="Normal 5 3 3 2 3 4" xfId="27577"/>
    <cellStyle name="Normal 5 3 3 2 4" xfId="4967"/>
    <cellStyle name="Normal 5 3 3 2 4 2" xfId="6830"/>
    <cellStyle name="Normal 5 3 3 2 4 2 2" xfId="27580"/>
    <cellStyle name="Normal 5 3 3 2 4 3" xfId="21811"/>
    <cellStyle name="Normal 5 3 3 2 4 4" xfId="27579"/>
    <cellStyle name="Normal 5 3 3 2 5" xfId="6827"/>
    <cellStyle name="Normal 5 3 3 2 5 2" xfId="27581"/>
    <cellStyle name="Normal 5 3 3 2 6" xfId="21806"/>
    <cellStyle name="Normal 5 3 3 2 7" xfId="25040"/>
    <cellStyle name="Normal 5 3 3 2 8" xfId="27574"/>
    <cellStyle name="Normal 5 3 3 3" xfId="5540"/>
    <cellStyle name="Normal 5 3 3 3 2" xfId="6831"/>
    <cellStyle name="Normal 5 3 3 3 2 2" xfId="21813"/>
    <cellStyle name="Normal 5 3 3 3 2 3" xfId="27583"/>
    <cellStyle name="Normal 5 3 3 3 3" xfId="21812"/>
    <cellStyle name="Normal 5 3 3 3 4" xfId="27582"/>
    <cellStyle name="Normal 5 3 3 4" xfId="5850"/>
    <cellStyle name="Normal 5 3 3 4 2" xfId="6832"/>
    <cellStyle name="Normal 5 3 3 4 2 2" xfId="21815"/>
    <cellStyle name="Normal 5 3 3 4 2 3" xfId="27585"/>
    <cellStyle name="Normal 5 3 3 4 3" xfId="21814"/>
    <cellStyle name="Normal 5 3 3 4 4" xfId="27584"/>
    <cellStyle name="Normal 5 3 3 5" xfId="4966"/>
    <cellStyle name="Normal 5 3 3 5 2" xfId="6833"/>
    <cellStyle name="Normal 5 3 3 5 2 2" xfId="27587"/>
    <cellStyle name="Normal 5 3 3 5 3" xfId="21816"/>
    <cellStyle name="Normal 5 3 3 5 4" xfId="27586"/>
    <cellStyle name="Normal 5 3 3 6" xfId="6826"/>
    <cellStyle name="Normal 5 3 3 6 2" xfId="27588"/>
    <cellStyle name="Normal 5 3 3 7" xfId="21805"/>
    <cellStyle name="Normal 5 3 3 8" xfId="24920"/>
    <cellStyle name="Normal 5 3 3 9" xfId="27573"/>
    <cellStyle name="Normal 5 3 4" xfId="3917"/>
    <cellStyle name="Normal 5 3 4 2" xfId="5542"/>
    <cellStyle name="Normal 5 3 4 2 2" xfId="6834"/>
    <cellStyle name="Normal 5 3 4 2 2 2" xfId="21819"/>
    <cellStyle name="Normal 5 3 4 2 2 3" xfId="27590"/>
    <cellStyle name="Normal 5 3 4 2 3" xfId="21818"/>
    <cellStyle name="Normal 5 3 4 2 4" xfId="27589"/>
    <cellStyle name="Normal 5 3 4 3" xfId="5852"/>
    <cellStyle name="Normal 5 3 4 3 2" xfId="6835"/>
    <cellStyle name="Normal 5 3 4 3 2 2" xfId="21821"/>
    <cellStyle name="Normal 5 3 4 3 2 3" xfId="27592"/>
    <cellStyle name="Normal 5 3 4 3 3" xfId="21820"/>
    <cellStyle name="Normal 5 3 4 3 4" xfId="27591"/>
    <cellStyle name="Normal 5 3 4 4" xfId="4968"/>
    <cellStyle name="Normal 5 3 4 4 2" xfId="6836"/>
    <cellStyle name="Normal 5 3 4 4 2 2" xfId="27594"/>
    <cellStyle name="Normal 5 3 4 4 3" xfId="21822"/>
    <cellStyle name="Normal 5 3 4 4 4" xfId="27593"/>
    <cellStyle name="Normal 5 3 4 5" xfId="21817"/>
    <cellStyle name="Normal 5 3 5" xfId="1047"/>
    <cellStyle name="Normal 5 3 5 2" xfId="4969"/>
    <cellStyle name="Normal 5 3 5 2 2" xfId="6837"/>
    <cellStyle name="Normal 5 3 5 2 2 2" xfId="21825"/>
    <cellStyle name="Normal 5 3 5 2 2 3" xfId="27596"/>
    <cellStyle name="Normal 5 3 5 2 3" xfId="21824"/>
    <cellStyle name="Normal 5 3 5 2 4" xfId="27595"/>
    <cellStyle name="Normal 5 3 5 3" xfId="21826"/>
    <cellStyle name="Normal 5 3 5 4" xfId="21823"/>
    <cellStyle name="Normal 5 3 6" xfId="5535"/>
    <cellStyle name="Normal 5 3 6 2" xfId="6838"/>
    <cellStyle name="Normal 5 3 6 2 2" xfId="21828"/>
    <cellStyle name="Normal 5 3 6 2 3" xfId="27598"/>
    <cellStyle name="Normal 5 3 6 3" xfId="21827"/>
    <cellStyle name="Normal 5 3 6 4" xfId="27597"/>
    <cellStyle name="Normal 5 3 7" xfId="5845"/>
    <cellStyle name="Normal 5 3 7 2" xfId="6839"/>
    <cellStyle name="Normal 5 3 7 2 2" xfId="21830"/>
    <cellStyle name="Normal 5 3 7 2 3" xfId="27600"/>
    <cellStyle name="Normal 5 3 7 3" xfId="21829"/>
    <cellStyle name="Normal 5 3 7 4" xfId="27599"/>
    <cellStyle name="Normal 5 3 8" xfId="21831"/>
    <cellStyle name="Normal 5 30" xfId="24857"/>
    <cellStyle name="Normal 5 4" xfId="67"/>
    <cellStyle name="Normal 5 4 2" xfId="3765"/>
    <cellStyle name="Normal 5 4 2 10" xfId="27601"/>
    <cellStyle name="Normal 5 4 2 2" xfId="4213"/>
    <cellStyle name="Normal 5 4 2 2 2" xfId="4973"/>
    <cellStyle name="Normal 5 4 2 2 2 2" xfId="5546"/>
    <cellStyle name="Normal 5 4 2 2 2 2 2" xfId="6843"/>
    <cellStyle name="Normal 5 4 2 2 2 2 2 2" xfId="21837"/>
    <cellStyle name="Normal 5 4 2 2 2 2 2 3" xfId="27605"/>
    <cellStyle name="Normal 5 4 2 2 2 2 3" xfId="21836"/>
    <cellStyle name="Normal 5 4 2 2 2 2 4" xfId="27604"/>
    <cellStyle name="Normal 5 4 2 2 2 3" xfId="5856"/>
    <cellStyle name="Normal 5 4 2 2 2 3 2" xfId="6844"/>
    <cellStyle name="Normal 5 4 2 2 2 3 2 2" xfId="21839"/>
    <cellStyle name="Normal 5 4 2 2 2 3 2 3" xfId="27607"/>
    <cellStyle name="Normal 5 4 2 2 2 3 3" xfId="21838"/>
    <cellStyle name="Normal 5 4 2 2 2 3 4" xfId="27606"/>
    <cellStyle name="Normal 5 4 2 2 2 4" xfId="6842"/>
    <cellStyle name="Normal 5 4 2 2 2 4 2" xfId="21840"/>
    <cellStyle name="Normal 5 4 2 2 2 4 3" xfId="27608"/>
    <cellStyle name="Normal 5 4 2 2 2 5" xfId="21835"/>
    <cellStyle name="Normal 5 4 2 2 2 6" xfId="27603"/>
    <cellStyle name="Normal 5 4 2 2 3" xfId="5545"/>
    <cellStyle name="Normal 5 4 2 2 3 2" xfId="6845"/>
    <cellStyle name="Normal 5 4 2 2 3 2 2" xfId="21842"/>
    <cellStyle name="Normal 5 4 2 2 3 2 3" xfId="27610"/>
    <cellStyle name="Normal 5 4 2 2 3 3" xfId="21841"/>
    <cellStyle name="Normal 5 4 2 2 3 4" xfId="27609"/>
    <cellStyle name="Normal 5 4 2 2 4" xfId="5855"/>
    <cellStyle name="Normal 5 4 2 2 4 2" xfId="6846"/>
    <cellStyle name="Normal 5 4 2 2 4 2 2" xfId="21844"/>
    <cellStyle name="Normal 5 4 2 2 4 2 3" xfId="27612"/>
    <cellStyle name="Normal 5 4 2 2 4 3" xfId="21843"/>
    <cellStyle name="Normal 5 4 2 2 4 4" xfId="27611"/>
    <cellStyle name="Normal 5 4 2 2 5" xfId="4972"/>
    <cellStyle name="Normal 5 4 2 2 5 2" xfId="6847"/>
    <cellStyle name="Normal 5 4 2 2 5 2 2" xfId="27614"/>
    <cellStyle name="Normal 5 4 2 2 5 3" xfId="21845"/>
    <cellStyle name="Normal 5 4 2 2 5 4" xfId="27613"/>
    <cellStyle name="Normal 5 4 2 2 6" xfId="6841"/>
    <cellStyle name="Normal 5 4 2 2 6 2" xfId="27615"/>
    <cellStyle name="Normal 5 4 2 2 7" xfId="21834"/>
    <cellStyle name="Normal 5 4 2 2 8" xfId="25065"/>
    <cellStyle name="Normal 5 4 2 2 9" xfId="27602"/>
    <cellStyle name="Normal 5 4 2 3" xfId="4974"/>
    <cellStyle name="Normal 5 4 2 3 2" xfId="5547"/>
    <cellStyle name="Normal 5 4 2 3 2 2" xfId="6849"/>
    <cellStyle name="Normal 5 4 2 3 2 2 2" xfId="21848"/>
    <cellStyle name="Normal 5 4 2 3 2 2 3" xfId="27618"/>
    <cellStyle name="Normal 5 4 2 3 2 3" xfId="21847"/>
    <cellStyle name="Normal 5 4 2 3 2 4" xfId="27617"/>
    <cellStyle name="Normal 5 4 2 3 3" xfId="5857"/>
    <cellStyle name="Normal 5 4 2 3 3 2" xfId="6850"/>
    <cellStyle name="Normal 5 4 2 3 3 2 2" xfId="21850"/>
    <cellStyle name="Normal 5 4 2 3 3 2 3" xfId="27620"/>
    <cellStyle name="Normal 5 4 2 3 3 3" xfId="21849"/>
    <cellStyle name="Normal 5 4 2 3 3 4" xfId="27619"/>
    <cellStyle name="Normal 5 4 2 3 4" xfId="6848"/>
    <cellStyle name="Normal 5 4 2 3 4 2" xfId="21851"/>
    <cellStyle name="Normal 5 4 2 3 4 3" xfId="27621"/>
    <cellStyle name="Normal 5 4 2 3 5" xfId="21846"/>
    <cellStyle name="Normal 5 4 2 3 6" xfId="27616"/>
    <cellStyle name="Normal 5 4 2 4" xfId="5544"/>
    <cellStyle name="Normal 5 4 2 4 2" xfId="6851"/>
    <cellStyle name="Normal 5 4 2 4 2 2" xfId="21853"/>
    <cellStyle name="Normal 5 4 2 4 2 3" xfId="27623"/>
    <cellStyle name="Normal 5 4 2 4 3" xfId="21852"/>
    <cellStyle name="Normal 5 4 2 4 4" xfId="27622"/>
    <cellStyle name="Normal 5 4 2 5" xfId="5854"/>
    <cellStyle name="Normal 5 4 2 5 2" xfId="6852"/>
    <cellStyle name="Normal 5 4 2 5 2 2" xfId="21855"/>
    <cellStyle name="Normal 5 4 2 5 2 3" xfId="27625"/>
    <cellStyle name="Normal 5 4 2 5 3" xfId="21854"/>
    <cellStyle name="Normal 5 4 2 5 4" xfId="27624"/>
    <cellStyle name="Normal 5 4 2 6" xfId="4971"/>
    <cellStyle name="Normal 5 4 2 6 2" xfId="6853"/>
    <cellStyle name="Normal 5 4 2 6 2 2" xfId="27627"/>
    <cellStyle name="Normal 5 4 2 6 3" xfId="21856"/>
    <cellStyle name="Normal 5 4 2 6 4" xfId="27626"/>
    <cellStyle name="Normal 5 4 2 7" xfId="6840"/>
    <cellStyle name="Normal 5 4 2 7 2" xfId="27628"/>
    <cellStyle name="Normal 5 4 2 8" xfId="21833"/>
    <cellStyle name="Normal 5 4 2 9" xfId="24945"/>
    <cellStyle name="Normal 5 4 3" xfId="1571"/>
    <cellStyle name="Normal 5 4 3 2" xfId="4192"/>
    <cellStyle name="Normal 5 4 3 2 2" xfId="5549"/>
    <cellStyle name="Normal 5 4 3 2 2 2" xfId="6856"/>
    <cellStyle name="Normal 5 4 3 2 2 2 2" xfId="21860"/>
    <cellStyle name="Normal 5 4 3 2 2 2 3" xfId="27632"/>
    <cellStyle name="Normal 5 4 3 2 2 3" xfId="21859"/>
    <cellStyle name="Normal 5 4 3 2 2 4" xfId="27631"/>
    <cellStyle name="Normal 5 4 3 2 3" xfId="5859"/>
    <cellStyle name="Normal 5 4 3 2 3 2" xfId="6857"/>
    <cellStyle name="Normal 5 4 3 2 3 2 2" xfId="21862"/>
    <cellStyle name="Normal 5 4 3 2 3 2 3" xfId="27634"/>
    <cellStyle name="Normal 5 4 3 2 3 3" xfId="21861"/>
    <cellStyle name="Normal 5 4 3 2 3 4" xfId="27633"/>
    <cellStyle name="Normal 5 4 3 2 4" xfId="4976"/>
    <cellStyle name="Normal 5 4 3 2 4 2" xfId="6858"/>
    <cellStyle name="Normal 5 4 3 2 4 2 2" xfId="27636"/>
    <cellStyle name="Normal 5 4 3 2 4 3" xfId="21863"/>
    <cellStyle name="Normal 5 4 3 2 4 4" xfId="27635"/>
    <cellStyle name="Normal 5 4 3 2 5" xfId="6855"/>
    <cellStyle name="Normal 5 4 3 2 5 2" xfId="27637"/>
    <cellStyle name="Normal 5 4 3 2 6" xfId="21858"/>
    <cellStyle name="Normal 5 4 3 2 7" xfId="25044"/>
    <cellStyle name="Normal 5 4 3 2 8" xfId="27630"/>
    <cellStyle name="Normal 5 4 3 3" xfId="5548"/>
    <cellStyle name="Normal 5 4 3 3 2" xfId="6859"/>
    <cellStyle name="Normal 5 4 3 3 2 2" xfId="21865"/>
    <cellStyle name="Normal 5 4 3 3 2 3" xfId="27639"/>
    <cellStyle name="Normal 5 4 3 3 3" xfId="21864"/>
    <cellStyle name="Normal 5 4 3 3 4" xfId="27638"/>
    <cellStyle name="Normal 5 4 3 4" xfId="5858"/>
    <cellStyle name="Normal 5 4 3 4 2" xfId="6860"/>
    <cellStyle name="Normal 5 4 3 4 2 2" xfId="21867"/>
    <cellStyle name="Normal 5 4 3 4 2 3" xfId="27641"/>
    <cellStyle name="Normal 5 4 3 4 3" xfId="21866"/>
    <cellStyle name="Normal 5 4 3 4 4" xfId="27640"/>
    <cellStyle name="Normal 5 4 3 5" xfId="4975"/>
    <cellStyle name="Normal 5 4 3 5 2" xfId="6861"/>
    <cellStyle name="Normal 5 4 3 5 2 2" xfId="27643"/>
    <cellStyle name="Normal 5 4 3 5 3" xfId="21868"/>
    <cellStyle name="Normal 5 4 3 5 4" xfId="27642"/>
    <cellStyle name="Normal 5 4 3 6" xfId="6854"/>
    <cellStyle name="Normal 5 4 3 6 2" xfId="27644"/>
    <cellStyle name="Normal 5 4 3 7" xfId="21857"/>
    <cellStyle name="Normal 5 4 3 8" xfId="24924"/>
    <cellStyle name="Normal 5 4 3 9" xfId="27629"/>
    <cellStyle name="Normal 5 4 4" xfId="3914"/>
    <cellStyle name="Normal 5 4 4 2" xfId="5550"/>
    <cellStyle name="Normal 5 4 4 2 2" xfId="6862"/>
    <cellStyle name="Normal 5 4 4 2 2 2" xfId="21871"/>
    <cellStyle name="Normal 5 4 4 2 2 3" xfId="27646"/>
    <cellStyle name="Normal 5 4 4 2 3" xfId="21870"/>
    <cellStyle name="Normal 5 4 4 2 4" xfId="27645"/>
    <cellStyle name="Normal 5 4 4 3" xfId="5860"/>
    <cellStyle name="Normal 5 4 4 3 2" xfId="6863"/>
    <cellStyle name="Normal 5 4 4 3 2 2" xfId="21873"/>
    <cellStyle name="Normal 5 4 4 3 2 3" xfId="27648"/>
    <cellStyle name="Normal 5 4 4 3 3" xfId="21872"/>
    <cellStyle name="Normal 5 4 4 3 4" xfId="27647"/>
    <cellStyle name="Normal 5 4 4 4" xfId="4977"/>
    <cellStyle name="Normal 5 4 4 4 2" xfId="6864"/>
    <cellStyle name="Normal 5 4 4 4 2 2" xfId="27650"/>
    <cellStyle name="Normal 5 4 4 4 3" xfId="21874"/>
    <cellStyle name="Normal 5 4 4 4 4" xfId="27649"/>
    <cellStyle name="Normal 5 4 4 5" xfId="21869"/>
    <cellStyle name="Normal 5 4 5" xfId="1045"/>
    <cellStyle name="Normal 5 4 5 2" xfId="5543"/>
    <cellStyle name="Normal 5 4 5 2 2" xfId="6865"/>
    <cellStyle name="Normal 5 4 5 2 2 2" xfId="27652"/>
    <cellStyle name="Normal 5 4 5 2 3" xfId="21876"/>
    <cellStyle name="Normal 5 4 5 2 4" xfId="27651"/>
    <cellStyle name="Normal 5 4 5 3" xfId="21875"/>
    <cellStyle name="Normal 5 4 6" xfId="5853"/>
    <cellStyle name="Normal 5 4 6 2" xfId="6866"/>
    <cellStyle name="Normal 5 4 6 2 2" xfId="21878"/>
    <cellStyle name="Normal 5 4 6 2 3" xfId="27654"/>
    <cellStyle name="Normal 5 4 6 3" xfId="21877"/>
    <cellStyle name="Normal 5 4 6 4" xfId="27653"/>
    <cellStyle name="Normal 5 4 7" xfId="4970"/>
    <cellStyle name="Normal 5 4 7 2" xfId="6867"/>
    <cellStyle name="Normal 5 4 7 2 2" xfId="27656"/>
    <cellStyle name="Normal 5 4 7 3" xfId="21879"/>
    <cellStyle name="Normal 5 4 7 4" xfId="27655"/>
    <cellStyle name="Normal 5 4 8" xfId="21832"/>
    <cellStyle name="Normal 5 5" xfId="1052"/>
    <cellStyle name="Normal 5 5 2" xfId="3809"/>
    <cellStyle name="Normal 5 5 2 10" xfId="27657"/>
    <cellStyle name="Normal 5 5 2 2" xfId="4216"/>
    <cellStyle name="Normal 5 5 2 2 2" xfId="4980"/>
    <cellStyle name="Normal 5 5 2 2 2 2" xfId="5553"/>
    <cellStyle name="Normal 5 5 2 2 2 2 2" xfId="6871"/>
    <cellStyle name="Normal 5 5 2 2 2 2 2 2" xfId="21884"/>
    <cellStyle name="Normal 5 5 2 2 2 2 2 3" xfId="27661"/>
    <cellStyle name="Normal 5 5 2 2 2 2 3" xfId="21883"/>
    <cellStyle name="Normal 5 5 2 2 2 2 4" xfId="27660"/>
    <cellStyle name="Normal 5 5 2 2 2 3" xfId="5863"/>
    <cellStyle name="Normal 5 5 2 2 2 3 2" xfId="6872"/>
    <cellStyle name="Normal 5 5 2 2 2 3 2 2" xfId="21886"/>
    <cellStyle name="Normal 5 5 2 2 2 3 2 3" xfId="27663"/>
    <cellStyle name="Normal 5 5 2 2 2 3 3" xfId="21885"/>
    <cellStyle name="Normal 5 5 2 2 2 3 4" xfId="27662"/>
    <cellStyle name="Normal 5 5 2 2 2 4" xfId="6870"/>
    <cellStyle name="Normal 5 5 2 2 2 4 2" xfId="21887"/>
    <cellStyle name="Normal 5 5 2 2 2 4 3" xfId="27664"/>
    <cellStyle name="Normal 5 5 2 2 2 5" xfId="21882"/>
    <cellStyle name="Normal 5 5 2 2 2 6" xfId="27659"/>
    <cellStyle name="Normal 5 5 2 2 3" xfId="5552"/>
    <cellStyle name="Normal 5 5 2 2 3 2" xfId="6873"/>
    <cellStyle name="Normal 5 5 2 2 3 2 2" xfId="21889"/>
    <cellStyle name="Normal 5 5 2 2 3 2 3" xfId="27666"/>
    <cellStyle name="Normal 5 5 2 2 3 3" xfId="21888"/>
    <cellStyle name="Normal 5 5 2 2 3 4" xfId="27665"/>
    <cellStyle name="Normal 5 5 2 2 4" xfId="5862"/>
    <cellStyle name="Normal 5 5 2 2 4 2" xfId="6874"/>
    <cellStyle name="Normal 5 5 2 2 4 2 2" xfId="21891"/>
    <cellStyle name="Normal 5 5 2 2 4 2 3" xfId="27668"/>
    <cellStyle name="Normal 5 5 2 2 4 3" xfId="21890"/>
    <cellStyle name="Normal 5 5 2 2 4 4" xfId="27667"/>
    <cellStyle name="Normal 5 5 2 2 5" xfId="4979"/>
    <cellStyle name="Normal 5 5 2 2 5 2" xfId="6875"/>
    <cellStyle name="Normal 5 5 2 2 5 2 2" xfId="27670"/>
    <cellStyle name="Normal 5 5 2 2 5 3" xfId="21892"/>
    <cellStyle name="Normal 5 5 2 2 5 4" xfId="27669"/>
    <cellStyle name="Normal 5 5 2 2 6" xfId="6869"/>
    <cellStyle name="Normal 5 5 2 2 6 2" xfId="27671"/>
    <cellStyle name="Normal 5 5 2 2 7" xfId="21881"/>
    <cellStyle name="Normal 5 5 2 2 8" xfId="25068"/>
    <cellStyle name="Normal 5 5 2 2 9" xfId="27658"/>
    <cellStyle name="Normal 5 5 2 3" xfId="4981"/>
    <cellStyle name="Normal 5 5 2 3 2" xfId="5554"/>
    <cellStyle name="Normal 5 5 2 3 2 2" xfId="6877"/>
    <cellStyle name="Normal 5 5 2 3 2 2 2" xfId="21895"/>
    <cellStyle name="Normal 5 5 2 3 2 2 3" xfId="27674"/>
    <cellStyle name="Normal 5 5 2 3 2 3" xfId="21894"/>
    <cellStyle name="Normal 5 5 2 3 2 4" xfId="27673"/>
    <cellStyle name="Normal 5 5 2 3 3" xfId="5864"/>
    <cellStyle name="Normal 5 5 2 3 3 2" xfId="6878"/>
    <cellStyle name="Normal 5 5 2 3 3 2 2" xfId="21897"/>
    <cellStyle name="Normal 5 5 2 3 3 2 3" xfId="27676"/>
    <cellStyle name="Normal 5 5 2 3 3 3" xfId="21896"/>
    <cellStyle name="Normal 5 5 2 3 3 4" xfId="27675"/>
    <cellStyle name="Normal 5 5 2 3 4" xfId="6876"/>
    <cellStyle name="Normal 5 5 2 3 4 2" xfId="21898"/>
    <cellStyle name="Normal 5 5 2 3 4 3" xfId="27677"/>
    <cellStyle name="Normal 5 5 2 3 5" xfId="21893"/>
    <cellStyle name="Normal 5 5 2 3 6" xfId="27672"/>
    <cellStyle name="Normal 5 5 2 4" xfId="5551"/>
    <cellStyle name="Normal 5 5 2 4 2" xfId="6879"/>
    <cellStyle name="Normal 5 5 2 4 2 2" xfId="21900"/>
    <cellStyle name="Normal 5 5 2 4 2 3" xfId="27679"/>
    <cellStyle name="Normal 5 5 2 4 3" xfId="21899"/>
    <cellStyle name="Normal 5 5 2 4 4" xfId="27678"/>
    <cellStyle name="Normal 5 5 2 5" xfId="5861"/>
    <cellStyle name="Normal 5 5 2 5 2" xfId="6880"/>
    <cellStyle name="Normal 5 5 2 5 2 2" xfId="21902"/>
    <cellStyle name="Normal 5 5 2 5 2 3" xfId="27681"/>
    <cellStyle name="Normal 5 5 2 5 3" xfId="21901"/>
    <cellStyle name="Normal 5 5 2 5 4" xfId="27680"/>
    <cellStyle name="Normal 5 5 2 6" xfId="4978"/>
    <cellStyle name="Normal 5 5 2 6 2" xfId="6881"/>
    <cellStyle name="Normal 5 5 2 6 2 2" xfId="27683"/>
    <cellStyle name="Normal 5 5 2 6 3" xfId="21903"/>
    <cellStyle name="Normal 5 5 2 6 4" xfId="27682"/>
    <cellStyle name="Normal 5 5 2 7" xfId="6868"/>
    <cellStyle name="Normal 5 5 2 7 2" xfId="27684"/>
    <cellStyle name="Normal 5 5 2 8" xfId="21880"/>
    <cellStyle name="Normal 5 5 2 9" xfId="24948"/>
    <cellStyle name="Normal 5 5 3" xfId="1660"/>
    <cellStyle name="Normal 5 5 4" xfId="3922"/>
    <cellStyle name="Normal 5 6" xfId="1062"/>
    <cellStyle name="Normal 5 6 2" xfId="3814"/>
    <cellStyle name="Normal 5 6 2 10" xfId="27685"/>
    <cellStyle name="Normal 5 6 2 2" xfId="4219"/>
    <cellStyle name="Normal 5 6 2 2 2" xfId="4984"/>
    <cellStyle name="Normal 5 6 2 2 2 2" xfId="5557"/>
    <cellStyle name="Normal 5 6 2 2 2 2 2" xfId="6885"/>
    <cellStyle name="Normal 5 6 2 2 2 2 2 2" xfId="21908"/>
    <cellStyle name="Normal 5 6 2 2 2 2 2 3" xfId="27689"/>
    <cellStyle name="Normal 5 6 2 2 2 2 3" xfId="21907"/>
    <cellStyle name="Normal 5 6 2 2 2 2 4" xfId="27688"/>
    <cellStyle name="Normal 5 6 2 2 2 3" xfId="5867"/>
    <cellStyle name="Normal 5 6 2 2 2 3 2" xfId="6886"/>
    <cellStyle name="Normal 5 6 2 2 2 3 2 2" xfId="21910"/>
    <cellStyle name="Normal 5 6 2 2 2 3 2 3" xfId="27691"/>
    <cellStyle name="Normal 5 6 2 2 2 3 3" xfId="21909"/>
    <cellStyle name="Normal 5 6 2 2 2 3 4" xfId="27690"/>
    <cellStyle name="Normal 5 6 2 2 2 4" xfId="6884"/>
    <cellStyle name="Normal 5 6 2 2 2 4 2" xfId="21911"/>
    <cellStyle name="Normal 5 6 2 2 2 4 3" xfId="27692"/>
    <cellStyle name="Normal 5 6 2 2 2 5" xfId="21906"/>
    <cellStyle name="Normal 5 6 2 2 2 6" xfId="27687"/>
    <cellStyle name="Normal 5 6 2 2 3" xfId="5556"/>
    <cellStyle name="Normal 5 6 2 2 3 2" xfId="6887"/>
    <cellStyle name="Normal 5 6 2 2 3 2 2" xfId="21913"/>
    <cellStyle name="Normal 5 6 2 2 3 2 3" xfId="27694"/>
    <cellStyle name="Normal 5 6 2 2 3 3" xfId="21912"/>
    <cellStyle name="Normal 5 6 2 2 3 4" xfId="27693"/>
    <cellStyle name="Normal 5 6 2 2 4" xfId="5866"/>
    <cellStyle name="Normal 5 6 2 2 4 2" xfId="6888"/>
    <cellStyle name="Normal 5 6 2 2 4 2 2" xfId="21915"/>
    <cellStyle name="Normal 5 6 2 2 4 2 3" xfId="27696"/>
    <cellStyle name="Normal 5 6 2 2 4 3" xfId="21914"/>
    <cellStyle name="Normal 5 6 2 2 4 4" xfId="27695"/>
    <cellStyle name="Normal 5 6 2 2 5" xfId="4983"/>
    <cellStyle name="Normal 5 6 2 2 5 2" xfId="6889"/>
    <cellStyle name="Normal 5 6 2 2 5 2 2" xfId="27698"/>
    <cellStyle name="Normal 5 6 2 2 5 3" xfId="21916"/>
    <cellStyle name="Normal 5 6 2 2 5 4" xfId="27697"/>
    <cellStyle name="Normal 5 6 2 2 6" xfId="6883"/>
    <cellStyle name="Normal 5 6 2 2 6 2" xfId="27699"/>
    <cellStyle name="Normal 5 6 2 2 7" xfId="21905"/>
    <cellStyle name="Normal 5 6 2 2 8" xfId="25071"/>
    <cellStyle name="Normal 5 6 2 2 9" xfId="27686"/>
    <cellStyle name="Normal 5 6 2 3" xfId="4985"/>
    <cellStyle name="Normal 5 6 2 3 2" xfId="5558"/>
    <cellStyle name="Normal 5 6 2 3 2 2" xfId="6891"/>
    <cellStyle name="Normal 5 6 2 3 2 2 2" xfId="21919"/>
    <cellStyle name="Normal 5 6 2 3 2 2 3" xfId="27702"/>
    <cellStyle name="Normal 5 6 2 3 2 3" xfId="21918"/>
    <cellStyle name="Normal 5 6 2 3 2 4" xfId="27701"/>
    <cellStyle name="Normal 5 6 2 3 3" xfId="5868"/>
    <cellStyle name="Normal 5 6 2 3 3 2" xfId="6892"/>
    <cellStyle name="Normal 5 6 2 3 3 2 2" xfId="21921"/>
    <cellStyle name="Normal 5 6 2 3 3 2 3" xfId="27704"/>
    <cellStyle name="Normal 5 6 2 3 3 3" xfId="21920"/>
    <cellStyle name="Normal 5 6 2 3 3 4" xfId="27703"/>
    <cellStyle name="Normal 5 6 2 3 4" xfId="6890"/>
    <cellStyle name="Normal 5 6 2 3 4 2" xfId="21922"/>
    <cellStyle name="Normal 5 6 2 3 4 3" xfId="27705"/>
    <cellStyle name="Normal 5 6 2 3 5" xfId="21917"/>
    <cellStyle name="Normal 5 6 2 3 6" xfId="27700"/>
    <cellStyle name="Normal 5 6 2 4" xfId="5555"/>
    <cellStyle name="Normal 5 6 2 4 2" xfId="6893"/>
    <cellStyle name="Normal 5 6 2 4 2 2" xfId="21924"/>
    <cellStyle name="Normal 5 6 2 4 2 3" xfId="27707"/>
    <cellStyle name="Normal 5 6 2 4 3" xfId="21923"/>
    <cellStyle name="Normal 5 6 2 4 4" xfId="27706"/>
    <cellStyle name="Normal 5 6 2 5" xfId="5865"/>
    <cellStyle name="Normal 5 6 2 5 2" xfId="6894"/>
    <cellStyle name="Normal 5 6 2 5 2 2" xfId="21926"/>
    <cellStyle name="Normal 5 6 2 5 2 3" xfId="27709"/>
    <cellStyle name="Normal 5 6 2 5 3" xfId="21925"/>
    <cellStyle name="Normal 5 6 2 5 4" xfId="27708"/>
    <cellStyle name="Normal 5 6 2 6" xfId="4982"/>
    <cellStyle name="Normal 5 6 2 6 2" xfId="6895"/>
    <cellStyle name="Normal 5 6 2 6 2 2" xfId="27711"/>
    <cellStyle name="Normal 5 6 2 6 3" xfId="21927"/>
    <cellStyle name="Normal 5 6 2 6 4" xfId="27710"/>
    <cellStyle name="Normal 5 6 2 7" xfId="6882"/>
    <cellStyle name="Normal 5 6 2 7 2" xfId="27712"/>
    <cellStyle name="Normal 5 6 2 8" xfId="21904"/>
    <cellStyle name="Normal 5 6 2 9" xfId="24951"/>
    <cellStyle name="Normal 5 6 3" xfId="3628"/>
    <cellStyle name="Normal 5 6 4" xfId="3932"/>
    <cellStyle name="Normal 5 7" xfId="1072"/>
    <cellStyle name="Normal 5 7 2" xfId="3630"/>
    <cellStyle name="Normal 5 7 3" xfId="3942"/>
    <cellStyle name="Normal 5 8" xfId="1082"/>
    <cellStyle name="Normal 5 8 2" xfId="3673"/>
    <cellStyle name="Normal 5 8 2 2" xfId="4204"/>
    <cellStyle name="Normal 5 8 2 2 2" xfId="5561"/>
    <cellStyle name="Normal 5 8 2 2 2 2" xfId="6898"/>
    <cellStyle name="Normal 5 8 2 2 2 2 2" xfId="21932"/>
    <cellStyle name="Normal 5 8 2 2 2 2 3" xfId="27716"/>
    <cellStyle name="Normal 5 8 2 2 2 3" xfId="21931"/>
    <cellStyle name="Normal 5 8 2 2 2 4" xfId="27715"/>
    <cellStyle name="Normal 5 8 2 2 3" xfId="5871"/>
    <cellStyle name="Normal 5 8 2 2 3 2" xfId="6899"/>
    <cellStyle name="Normal 5 8 2 2 3 2 2" xfId="21934"/>
    <cellStyle name="Normal 5 8 2 2 3 2 3" xfId="27718"/>
    <cellStyle name="Normal 5 8 2 2 3 3" xfId="21933"/>
    <cellStyle name="Normal 5 8 2 2 3 4" xfId="27717"/>
    <cellStyle name="Normal 5 8 2 2 4" xfId="4988"/>
    <cellStyle name="Normal 5 8 2 2 4 2" xfId="6900"/>
    <cellStyle name="Normal 5 8 2 2 4 2 2" xfId="27720"/>
    <cellStyle name="Normal 5 8 2 2 4 3" xfId="21935"/>
    <cellStyle name="Normal 5 8 2 2 4 4" xfId="27719"/>
    <cellStyle name="Normal 5 8 2 2 5" xfId="6897"/>
    <cellStyle name="Normal 5 8 2 2 5 2" xfId="27721"/>
    <cellStyle name="Normal 5 8 2 2 6" xfId="21930"/>
    <cellStyle name="Normal 5 8 2 2 7" xfId="25056"/>
    <cellStyle name="Normal 5 8 2 2 8" xfId="27714"/>
    <cellStyle name="Normal 5 8 2 3" xfId="5560"/>
    <cellStyle name="Normal 5 8 2 3 2" xfId="6901"/>
    <cellStyle name="Normal 5 8 2 3 2 2" xfId="21937"/>
    <cellStyle name="Normal 5 8 2 3 2 3" xfId="27723"/>
    <cellStyle name="Normal 5 8 2 3 3" xfId="21936"/>
    <cellStyle name="Normal 5 8 2 3 4" xfId="27722"/>
    <cellStyle name="Normal 5 8 2 4" xfId="5870"/>
    <cellStyle name="Normal 5 8 2 4 2" xfId="6902"/>
    <cellStyle name="Normal 5 8 2 4 2 2" xfId="21939"/>
    <cellStyle name="Normal 5 8 2 4 2 3" xfId="27725"/>
    <cellStyle name="Normal 5 8 2 4 3" xfId="21938"/>
    <cellStyle name="Normal 5 8 2 4 4" xfId="27724"/>
    <cellStyle name="Normal 5 8 2 5" xfId="4987"/>
    <cellStyle name="Normal 5 8 2 5 2" xfId="6903"/>
    <cellStyle name="Normal 5 8 2 5 2 2" xfId="27727"/>
    <cellStyle name="Normal 5 8 2 5 3" xfId="21940"/>
    <cellStyle name="Normal 5 8 2 5 4" xfId="27726"/>
    <cellStyle name="Normal 5 8 2 6" xfId="6896"/>
    <cellStyle name="Normal 5 8 2 6 2" xfId="27728"/>
    <cellStyle name="Normal 5 8 2 7" xfId="21929"/>
    <cellStyle name="Normal 5 8 2 8" xfId="24936"/>
    <cellStyle name="Normal 5 8 2 9" xfId="27713"/>
    <cellStyle name="Normal 5 8 3" xfId="3952"/>
    <cellStyle name="Normal 5 8 3 2" xfId="5562"/>
    <cellStyle name="Normal 5 8 3 2 2" xfId="6904"/>
    <cellStyle name="Normal 5 8 3 2 2 2" xfId="21943"/>
    <cellStyle name="Normal 5 8 3 2 2 3" xfId="27730"/>
    <cellStyle name="Normal 5 8 3 2 3" xfId="21942"/>
    <cellStyle name="Normal 5 8 3 2 4" xfId="27729"/>
    <cellStyle name="Normal 5 8 3 3" xfId="5872"/>
    <cellStyle name="Normal 5 8 3 3 2" xfId="6905"/>
    <cellStyle name="Normal 5 8 3 3 2 2" xfId="21945"/>
    <cellStyle name="Normal 5 8 3 3 2 3" xfId="27732"/>
    <cellStyle name="Normal 5 8 3 3 3" xfId="21944"/>
    <cellStyle name="Normal 5 8 3 3 4" xfId="27731"/>
    <cellStyle name="Normal 5 8 3 4" xfId="4989"/>
    <cellStyle name="Normal 5 8 3 4 2" xfId="6906"/>
    <cellStyle name="Normal 5 8 3 4 2 2" xfId="27734"/>
    <cellStyle name="Normal 5 8 3 4 3" xfId="21946"/>
    <cellStyle name="Normal 5 8 3 4 4" xfId="27733"/>
    <cellStyle name="Normal 5 8 3 5" xfId="21941"/>
    <cellStyle name="Normal 5 8 4" xfId="5559"/>
    <cellStyle name="Normal 5 8 4 2" xfId="6907"/>
    <cellStyle name="Normal 5 8 4 2 2" xfId="21948"/>
    <cellStyle name="Normal 5 8 4 2 3" xfId="27736"/>
    <cellStyle name="Normal 5 8 4 3" xfId="21947"/>
    <cellStyle name="Normal 5 8 4 4" xfId="27735"/>
    <cellStyle name="Normal 5 8 5" xfId="5869"/>
    <cellStyle name="Normal 5 8 5 2" xfId="6908"/>
    <cellStyle name="Normal 5 8 5 2 2" xfId="21950"/>
    <cellStyle name="Normal 5 8 5 2 3" xfId="27738"/>
    <cellStyle name="Normal 5 8 5 3" xfId="21949"/>
    <cellStyle name="Normal 5 8 5 4" xfId="27737"/>
    <cellStyle name="Normal 5 8 6" xfId="4986"/>
    <cellStyle name="Normal 5 8 6 2" xfId="6909"/>
    <cellStyle name="Normal 5 8 6 2 2" xfId="27740"/>
    <cellStyle name="Normal 5 8 6 3" xfId="21951"/>
    <cellStyle name="Normal 5 8 6 4" xfId="27739"/>
    <cellStyle name="Normal 5 8 7" xfId="21928"/>
    <cellStyle name="Normal 5 9" xfId="1092"/>
    <cellStyle name="Normal 5 9 2" xfId="3962"/>
    <cellStyle name="Normal 5 9 2 2" xfId="21954"/>
    <cellStyle name="Normal 5 9 2 3" xfId="21953"/>
    <cellStyle name="Normal 5 9 3" xfId="4990"/>
    <cellStyle name="Normal 5 9 3 2" xfId="5563"/>
    <cellStyle name="Normal 5 9 3 2 2" xfId="6911"/>
    <cellStyle name="Normal 5 9 3 2 2 2" xfId="27743"/>
    <cellStyle name="Normal 5 9 3 2 3" xfId="21956"/>
    <cellStyle name="Normal 5 9 3 2 4" xfId="27742"/>
    <cellStyle name="Normal 5 9 3 3" xfId="5873"/>
    <cellStyle name="Normal 5 9 3 3 2" xfId="6912"/>
    <cellStyle name="Normal 5 9 3 3 2 2" xfId="27745"/>
    <cellStyle name="Normal 5 9 3 3 3" xfId="27744"/>
    <cellStyle name="Normal 5 9 3 4" xfId="6910"/>
    <cellStyle name="Normal 5 9 3 4 2" xfId="27746"/>
    <cellStyle name="Normal 5 9 3 5" xfId="21955"/>
    <cellStyle name="Normal 5 9 3 6" xfId="27741"/>
    <cellStyle name="Normal 5 9 4" xfId="21957"/>
    <cellStyle name="Normal 5 9 5" xfId="21952"/>
    <cellStyle name="Normal 6" xfId="30"/>
    <cellStyle name="Normal 6 10" xfId="1119"/>
    <cellStyle name="Normal 6 10 2" xfId="3989"/>
    <cellStyle name="Normal 6 10 2 2" xfId="21960"/>
    <cellStyle name="Normal 6 10 2 3" xfId="21959"/>
    <cellStyle name="Normal 6 10 3" xfId="21961"/>
    <cellStyle name="Normal 6 10 3 2" xfId="21962"/>
    <cellStyle name="Normal 6 10 4" xfId="21963"/>
    <cellStyle name="Normal 6 10 5" xfId="21958"/>
    <cellStyle name="Normal 6 11" xfId="1129"/>
    <cellStyle name="Normal 6 11 2" xfId="3999"/>
    <cellStyle name="Normal 6 11 2 2" xfId="21966"/>
    <cellStyle name="Normal 6 11 2 3" xfId="21965"/>
    <cellStyle name="Normal 6 11 3" xfId="21967"/>
    <cellStyle name="Normal 6 11 3 2" xfId="21968"/>
    <cellStyle name="Normal 6 11 4" xfId="21969"/>
    <cellStyle name="Normal 6 11 5" xfId="21964"/>
    <cellStyle name="Normal 6 12" xfId="1139"/>
    <cellStyle name="Normal 6 12 2" xfId="4009"/>
    <cellStyle name="Normal 6 12 2 2" xfId="21972"/>
    <cellStyle name="Normal 6 12 2 3" xfId="21971"/>
    <cellStyle name="Normal 6 12 3" xfId="21973"/>
    <cellStyle name="Normal 6 12 3 2" xfId="21974"/>
    <cellStyle name="Normal 6 12 4" xfId="21975"/>
    <cellStyle name="Normal 6 12 5" xfId="21970"/>
    <cellStyle name="Normal 6 13" xfId="1149"/>
    <cellStyle name="Normal 6 13 2" xfId="4019"/>
    <cellStyle name="Normal 6 13 2 2" xfId="21978"/>
    <cellStyle name="Normal 6 13 2 3" xfId="21977"/>
    <cellStyle name="Normal 6 13 3" xfId="21979"/>
    <cellStyle name="Normal 6 13 3 2" xfId="21980"/>
    <cellStyle name="Normal 6 13 4" xfId="21981"/>
    <cellStyle name="Normal 6 13 5" xfId="21976"/>
    <cellStyle name="Normal 6 14" xfId="1157"/>
    <cellStyle name="Normal 6 14 2" xfId="4027"/>
    <cellStyle name="Normal 6 14 2 2" xfId="21983"/>
    <cellStyle name="Normal 6 14 3" xfId="21982"/>
    <cellStyle name="Normal 6 15" xfId="1169"/>
    <cellStyle name="Normal 6 15 2" xfId="4039"/>
    <cellStyle name="Normal 6 15 2 2" xfId="21985"/>
    <cellStyle name="Normal 6 15 3" xfId="21984"/>
    <cellStyle name="Normal 6 16" xfId="1179"/>
    <cellStyle name="Normal 6 16 2" xfId="4049"/>
    <cellStyle name="Normal 6 16 2 2" xfId="21987"/>
    <cellStyle name="Normal 6 16 3" xfId="21986"/>
    <cellStyle name="Normal 6 17" xfId="1189"/>
    <cellStyle name="Normal 6 17 2" xfId="4059"/>
    <cellStyle name="Normal 6 17 3" xfId="28686"/>
    <cellStyle name="Normal 6 18" xfId="1199"/>
    <cellStyle name="Normal 6 18 2" xfId="4069"/>
    <cellStyle name="Normal 6 19" xfId="1209"/>
    <cellStyle name="Normal 6 19 2" xfId="4079"/>
    <cellStyle name="Normal 6 2" xfId="63"/>
    <cellStyle name="Normal 6 2 10" xfId="21988"/>
    <cellStyle name="Normal 6 2 10 2" xfId="21989"/>
    <cellStyle name="Normal 6 2 10 2 2" xfId="21990"/>
    <cellStyle name="Normal 6 2 10 3" xfId="21991"/>
    <cellStyle name="Normal 6 2 10 3 2" xfId="21992"/>
    <cellStyle name="Normal 6 2 10 4" xfId="21993"/>
    <cellStyle name="Normal 6 2 11" xfId="21994"/>
    <cellStyle name="Normal 6 2 11 2" xfId="21995"/>
    <cellStyle name="Normal 6 2 11 2 2" xfId="21996"/>
    <cellStyle name="Normal 6 2 11 3" xfId="21997"/>
    <cellStyle name="Normal 6 2 11 3 2" xfId="21998"/>
    <cellStyle name="Normal 6 2 11 4" xfId="21999"/>
    <cellStyle name="Normal 6 2 12" xfId="22000"/>
    <cellStyle name="Normal 6 2 12 2" xfId="22001"/>
    <cellStyle name="Normal 6 2 12 2 2" xfId="22002"/>
    <cellStyle name="Normal 6 2 12 3" xfId="22003"/>
    <cellStyle name="Normal 6 2 12 3 2" xfId="22004"/>
    <cellStyle name="Normal 6 2 12 4" xfId="22005"/>
    <cellStyle name="Normal 6 2 13" xfId="22006"/>
    <cellStyle name="Normal 6 2 13 2" xfId="22007"/>
    <cellStyle name="Normal 6 2 14" xfId="22008"/>
    <cellStyle name="Normal 6 2 14 2" xfId="22009"/>
    <cellStyle name="Normal 6 2 15" xfId="22010"/>
    <cellStyle name="Normal 6 2 15 2" xfId="22011"/>
    <cellStyle name="Normal 6 2 16" xfId="22012"/>
    <cellStyle name="Normal 6 2 16 2" xfId="22013"/>
    <cellStyle name="Normal 6 2 2" xfId="3904"/>
    <cellStyle name="Normal 6 2 2 2" xfId="22015"/>
    <cellStyle name="Normal 6 2 2 2 2" xfId="22016"/>
    <cellStyle name="Normal 6 2 2 3" xfId="22017"/>
    <cellStyle name="Normal 6 2 2 3 2" xfId="22018"/>
    <cellStyle name="Normal 6 2 2 4" xfId="22019"/>
    <cellStyle name="Normal 6 2 2 4 2" xfId="22020"/>
    <cellStyle name="Normal 6 2 2 5" xfId="22021"/>
    <cellStyle name="Normal 6 2 2 6" xfId="22014"/>
    <cellStyle name="Normal 6 2 3" xfId="4991"/>
    <cellStyle name="Normal 6 2 3 2" xfId="22022"/>
    <cellStyle name="Normal 6 2 3 2 2" xfId="22023"/>
    <cellStyle name="Normal 6 2 3 3" xfId="22024"/>
    <cellStyle name="Normal 6 2 3 3 2" xfId="22025"/>
    <cellStyle name="Normal 6 2 3 4" xfId="22026"/>
    <cellStyle name="Normal 6 2 3 4 2" xfId="22027"/>
    <cellStyle name="Normal 6 2 4" xfId="22028"/>
    <cellStyle name="Normal 6 2 4 2" xfId="22029"/>
    <cellStyle name="Normal 6 2 4 2 2" xfId="22030"/>
    <cellStyle name="Normal 6 2 4 3" xfId="22031"/>
    <cellStyle name="Normal 6 2 4 3 2" xfId="22032"/>
    <cellStyle name="Normal 6 2 4 4" xfId="22033"/>
    <cellStyle name="Normal 6 2 5" xfId="22034"/>
    <cellStyle name="Normal 6 2 5 2" xfId="22035"/>
    <cellStyle name="Normal 6 2 5 2 2" xfId="22036"/>
    <cellStyle name="Normal 6 2 5 3" xfId="22037"/>
    <cellStyle name="Normal 6 2 5 3 2" xfId="22038"/>
    <cellStyle name="Normal 6 2 5 4" xfId="22039"/>
    <cellStyle name="Normal 6 2 6" xfId="22040"/>
    <cellStyle name="Normal 6 2 6 2" xfId="22041"/>
    <cellStyle name="Normal 6 2 6 2 2" xfId="22042"/>
    <cellStyle name="Normal 6 2 6 3" xfId="22043"/>
    <cellStyle name="Normal 6 2 6 3 2" xfId="22044"/>
    <cellStyle name="Normal 6 2 6 4" xfId="22045"/>
    <cellStyle name="Normal 6 2 7" xfId="22046"/>
    <cellStyle name="Normal 6 2 7 2" xfId="22047"/>
    <cellStyle name="Normal 6 2 7 2 2" xfId="22048"/>
    <cellStyle name="Normal 6 2 7 3" xfId="22049"/>
    <cellStyle name="Normal 6 2 7 3 2" xfId="22050"/>
    <cellStyle name="Normal 6 2 7 4" xfId="22051"/>
    <cellStyle name="Normal 6 2 8" xfId="22052"/>
    <cellStyle name="Normal 6 2 8 2" xfId="22053"/>
    <cellStyle name="Normal 6 2 8 2 2" xfId="22054"/>
    <cellStyle name="Normal 6 2 8 3" xfId="22055"/>
    <cellStyle name="Normal 6 2 8 3 2" xfId="22056"/>
    <cellStyle name="Normal 6 2 8 4" xfId="22057"/>
    <cellStyle name="Normal 6 2 9" xfId="22058"/>
    <cellStyle name="Normal 6 2 9 2" xfId="22059"/>
    <cellStyle name="Normal 6 2 9 2 2" xfId="22060"/>
    <cellStyle name="Normal 6 2 9 3" xfId="22061"/>
    <cellStyle name="Normal 6 2 9 3 2" xfId="22062"/>
    <cellStyle name="Normal 6 2 9 4" xfId="22063"/>
    <cellStyle name="Normal 6 20" xfId="1219"/>
    <cellStyle name="Normal 6 20 2" xfId="4089"/>
    <cellStyle name="Normal 6 21" xfId="1229"/>
    <cellStyle name="Normal 6 21 2" xfId="4099"/>
    <cellStyle name="Normal 6 22" xfId="1239"/>
    <cellStyle name="Normal 6 22 2" xfId="4109"/>
    <cellStyle name="Normal 6 23" xfId="1249"/>
    <cellStyle name="Normal 6 23 2" xfId="4119"/>
    <cellStyle name="Normal 6 24" xfId="1259"/>
    <cellStyle name="Normal 6 24 2" xfId="4129"/>
    <cellStyle name="Normal 6 25" xfId="1267"/>
    <cellStyle name="Normal 6 25 2" xfId="4137"/>
    <cellStyle name="Normal 6 3" xfId="1049"/>
    <cellStyle name="Normal 6 3 2" xfId="3919"/>
    <cellStyle name="Normal 6 3 2 2" xfId="22065"/>
    <cellStyle name="Normal 6 3 2 3" xfId="22064"/>
    <cellStyle name="Normal 6 3 3" xfId="4992"/>
    <cellStyle name="Normal 6 3 3 2" xfId="22066"/>
    <cellStyle name="Normal 6 3 4" xfId="22067"/>
    <cellStyle name="Normal 6 3 4 2" xfId="22068"/>
    <cellStyle name="Normal 6 3 5" xfId="22069"/>
    <cellStyle name="Normal 6 3 5 2" xfId="22070"/>
    <cellStyle name="Normal 6 4" xfId="1059"/>
    <cellStyle name="Normal 6 4 2" xfId="3929"/>
    <cellStyle name="Normal 6 4 2 2" xfId="22073"/>
    <cellStyle name="Normal 6 4 2 3" xfId="22072"/>
    <cellStyle name="Normal 6 4 3" xfId="22074"/>
    <cellStyle name="Normal 6 4 3 2" xfId="22075"/>
    <cellStyle name="Normal 6 4 4" xfId="22076"/>
    <cellStyle name="Normal 6 4 5" xfId="22071"/>
    <cellStyle name="Normal 6 4 6" xfId="24545"/>
    <cellStyle name="Normal 6 5" xfId="1069"/>
    <cellStyle name="Normal 6 5 2" xfId="3939"/>
    <cellStyle name="Normal 6 5 2 2" xfId="22079"/>
    <cellStyle name="Normal 6 5 2 3" xfId="22078"/>
    <cellStyle name="Normal 6 5 3" xfId="22080"/>
    <cellStyle name="Normal 6 5 3 2" xfId="22081"/>
    <cellStyle name="Normal 6 5 4" xfId="22082"/>
    <cellStyle name="Normal 6 5 5" xfId="22077"/>
    <cellStyle name="Normal 6 6" xfId="1079"/>
    <cellStyle name="Normal 6 6 2" xfId="3949"/>
    <cellStyle name="Normal 6 6 2 2" xfId="22085"/>
    <cellStyle name="Normal 6 6 2 3" xfId="22084"/>
    <cellStyle name="Normal 6 6 3" xfId="22086"/>
    <cellStyle name="Normal 6 6 3 2" xfId="22087"/>
    <cellStyle name="Normal 6 6 4" xfId="22088"/>
    <cellStyle name="Normal 6 6 5" xfId="22083"/>
    <cellStyle name="Normal 6 7" xfId="1089"/>
    <cellStyle name="Normal 6 7 2" xfId="3959"/>
    <cellStyle name="Normal 6 7 2 2" xfId="22091"/>
    <cellStyle name="Normal 6 7 2 3" xfId="22090"/>
    <cellStyle name="Normal 6 7 3" xfId="22092"/>
    <cellStyle name="Normal 6 7 3 2" xfId="22093"/>
    <cellStyle name="Normal 6 7 4" xfId="22094"/>
    <cellStyle name="Normal 6 7 5" xfId="22089"/>
    <cellStyle name="Normal 6 8" xfId="1099"/>
    <cellStyle name="Normal 6 8 2" xfId="3969"/>
    <cellStyle name="Normal 6 8 2 2" xfId="22097"/>
    <cellStyle name="Normal 6 8 2 3" xfId="22096"/>
    <cellStyle name="Normal 6 8 3" xfId="22098"/>
    <cellStyle name="Normal 6 8 3 2" xfId="22099"/>
    <cellStyle name="Normal 6 8 4" xfId="22100"/>
    <cellStyle name="Normal 6 8 5" xfId="22095"/>
    <cellStyle name="Normal 6 9" xfId="1109"/>
    <cellStyle name="Normal 6 9 2" xfId="3979"/>
    <cellStyle name="Normal 6 9 2 2" xfId="22103"/>
    <cellStyle name="Normal 6 9 2 3" xfId="22102"/>
    <cellStyle name="Normal 6 9 3" xfId="22104"/>
    <cellStyle name="Normal 6 9 3 2" xfId="22105"/>
    <cellStyle name="Normal 6 9 4" xfId="22106"/>
    <cellStyle name="Normal 6 9 5" xfId="22101"/>
    <cellStyle name="Normal 7" xfId="64"/>
    <cellStyle name="Normal 7 10" xfId="1116"/>
    <cellStyle name="Normal 7 10 2" xfId="3986"/>
    <cellStyle name="Normal 7 10 2 2" xfId="5565"/>
    <cellStyle name="Normal 7 10 2 2 2" xfId="6914"/>
    <cellStyle name="Normal 7 10 2 2 2 2" xfId="27749"/>
    <cellStyle name="Normal 7 10 2 2 3" xfId="22109"/>
    <cellStyle name="Normal 7 10 2 2 4" xfId="27748"/>
    <cellStyle name="Normal 7 10 2 3" xfId="22108"/>
    <cellStyle name="Normal 7 10 3" xfId="5875"/>
    <cellStyle name="Normal 7 10 3 2" xfId="6915"/>
    <cellStyle name="Normal 7 10 3 2 2" xfId="22111"/>
    <cellStyle name="Normal 7 10 3 2 3" xfId="27751"/>
    <cellStyle name="Normal 7 10 3 3" xfId="22110"/>
    <cellStyle name="Normal 7 10 3 4" xfId="27750"/>
    <cellStyle name="Normal 7 10 4" xfId="4994"/>
    <cellStyle name="Normal 7 10 4 2" xfId="6916"/>
    <cellStyle name="Normal 7 10 4 2 2" xfId="27753"/>
    <cellStyle name="Normal 7 10 4 3" xfId="22112"/>
    <cellStyle name="Normal 7 10 4 4" xfId="27752"/>
    <cellStyle name="Normal 7 10 5" xfId="22107"/>
    <cellStyle name="Normal 7 11" xfId="1126"/>
    <cellStyle name="Normal 7 11 2" xfId="3996"/>
    <cellStyle name="Normal 7 11 2 2" xfId="22114"/>
    <cellStyle name="Normal 7 11 3" xfId="5564"/>
    <cellStyle name="Normal 7 11 3 2" xfId="6917"/>
    <cellStyle name="Normal 7 11 3 2 2" xfId="27755"/>
    <cellStyle name="Normal 7 11 3 3" xfId="27754"/>
    <cellStyle name="Normal 7 11 4" xfId="22113"/>
    <cellStyle name="Normal 7 12" xfId="1136"/>
    <cellStyle name="Normal 7 12 2" xfId="4006"/>
    <cellStyle name="Normal 7 12 3" xfId="5874"/>
    <cellStyle name="Normal 7 12 3 2" xfId="6918"/>
    <cellStyle name="Normal 7 12 3 2 2" xfId="27757"/>
    <cellStyle name="Normal 7 12 3 3" xfId="27756"/>
    <cellStyle name="Normal 7 12 4" xfId="22115"/>
    <cellStyle name="Normal 7 13" xfId="1146"/>
    <cellStyle name="Normal 7 13 2" xfId="4016"/>
    <cellStyle name="Normal 7 14" xfId="1161"/>
    <cellStyle name="Normal 7 14 2" xfId="4031"/>
    <cellStyle name="Normal 7 15" xfId="1166"/>
    <cellStyle name="Normal 7 15 2" xfId="4036"/>
    <cellStyle name="Normal 7 16" xfId="1176"/>
    <cellStyle name="Normal 7 16 2" xfId="4046"/>
    <cellStyle name="Normal 7 17" xfId="1186"/>
    <cellStyle name="Normal 7 17 2" xfId="4056"/>
    <cellStyle name="Normal 7 18" xfId="1196"/>
    <cellStyle name="Normal 7 18 2" xfId="4066"/>
    <cellStyle name="Normal 7 19" xfId="1206"/>
    <cellStyle name="Normal 7 19 2" xfId="4076"/>
    <cellStyle name="Normal 7 2" xfId="1039"/>
    <cellStyle name="Normal 7 2 10" xfId="24547"/>
    <cellStyle name="Normal 7 2 2" xfId="3718"/>
    <cellStyle name="Normal 7 2 2 10" xfId="24940"/>
    <cellStyle name="Normal 7 2 2 11" xfId="27758"/>
    <cellStyle name="Normal 7 2 2 2" xfId="4208"/>
    <cellStyle name="Normal 7 2 2 2 2" xfId="4998"/>
    <cellStyle name="Normal 7 2 2 2 2 2" xfId="5569"/>
    <cellStyle name="Normal 7 2 2 2 2 2 2" xfId="6922"/>
    <cellStyle name="Normal 7 2 2 2 2 2 2 2" xfId="22121"/>
    <cellStyle name="Normal 7 2 2 2 2 2 2 3" xfId="27762"/>
    <cellStyle name="Normal 7 2 2 2 2 2 3" xfId="22120"/>
    <cellStyle name="Normal 7 2 2 2 2 2 4" xfId="27761"/>
    <cellStyle name="Normal 7 2 2 2 2 3" xfId="5879"/>
    <cellStyle name="Normal 7 2 2 2 2 3 2" xfId="6923"/>
    <cellStyle name="Normal 7 2 2 2 2 3 2 2" xfId="22123"/>
    <cellStyle name="Normal 7 2 2 2 2 3 2 3" xfId="27764"/>
    <cellStyle name="Normal 7 2 2 2 2 3 3" xfId="22122"/>
    <cellStyle name="Normal 7 2 2 2 2 3 4" xfId="27763"/>
    <cellStyle name="Normal 7 2 2 2 2 4" xfId="6921"/>
    <cellStyle name="Normal 7 2 2 2 2 4 2" xfId="22124"/>
    <cellStyle name="Normal 7 2 2 2 2 4 3" xfId="27765"/>
    <cellStyle name="Normal 7 2 2 2 2 5" xfId="22119"/>
    <cellStyle name="Normal 7 2 2 2 2 6" xfId="27760"/>
    <cellStyle name="Normal 7 2 2 2 3" xfId="5568"/>
    <cellStyle name="Normal 7 2 2 2 3 2" xfId="6924"/>
    <cellStyle name="Normal 7 2 2 2 3 2 2" xfId="22126"/>
    <cellStyle name="Normal 7 2 2 2 3 2 3" xfId="27767"/>
    <cellStyle name="Normal 7 2 2 2 3 3" xfId="22125"/>
    <cellStyle name="Normal 7 2 2 2 3 4" xfId="27766"/>
    <cellStyle name="Normal 7 2 2 2 4" xfId="5878"/>
    <cellStyle name="Normal 7 2 2 2 4 2" xfId="6925"/>
    <cellStyle name="Normal 7 2 2 2 4 2 2" xfId="22128"/>
    <cellStyle name="Normal 7 2 2 2 4 2 3" xfId="27769"/>
    <cellStyle name="Normal 7 2 2 2 4 3" xfId="22127"/>
    <cellStyle name="Normal 7 2 2 2 4 4" xfId="27768"/>
    <cellStyle name="Normal 7 2 2 2 5" xfId="4997"/>
    <cellStyle name="Normal 7 2 2 2 5 2" xfId="6926"/>
    <cellStyle name="Normal 7 2 2 2 5 2 2" xfId="27771"/>
    <cellStyle name="Normal 7 2 2 2 5 3" xfId="22129"/>
    <cellStyle name="Normal 7 2 2 2 5 4" xfId="27770"/>
    <cellStyle name="Normal 7 2 2 2 6" xfId="6920"/>
    <cellStyle name="Normal 7 2 2 2 6 2" xfId="27772"/>
    <cellStyle name="Normal 7 2 2 2 7" xfId="22118"/>
    <cellStyle name="Normal 7 2 2 2 8" xfId="25060"/>
    <cellStyle name="Normal 7 2 2 2 9" xfId="27759"/>
    <cellStyle name="Normal 7 2 2 3" xfId="4999"/>
    <cellStyle name="Normal 7 2 2 3 2" xfId="5570"/>
    <cellStyle name="Normal 7 2 2 3 2 2" xfId="6928"/>
    <cellStyle name="Normal 7 2 2 3 2 2 2" xfId="22132"/>
    <cellStyle name="Normal 7 2 2 3 2 2 3" xfId="27775"/>
    <cellStyle name="Normal 7 2 2 3 2 3" xfId="22131"/>
    <cellStyle name="Normal 7 2 2 3 2 4" xfId="27774"/>
    <cellStyle name="Normal 7 2 2 3 3" xfId="5880"/>
    <cellStyle name="Normal 7 2 2 3 3 2" xfId="6929"/>
    <cellStyle name="Normal 7 2 2 3 3 2 2" xfId="22134"/>
    <cellStyle name="Normal 7 2 2 3 3 2 3" xfId="27777"/>
    <cellStyle name="Normal 7 2 2 3 3 3" xfId="22133"/>
    <cellStyle name="Normal 7 2 2 3 3 4" xfId="27776"/>
    <cellStyle name="Normal 7 2 2 3 4" xfId="6927"/>
    <cellStyle name="Normal 7 2 2 3 4 2" xfId="22135"/>
    <cellStyle name="Normal 7 2 2 3 4 3" xfId="27778"/>
    <cellStyle name="Normal 7 2 2 3 5" xfId="22130"/>
    <cellStyle name="Normal 7 2 2 3 6" xfId="27773"/>
    <cellStyle name="Normal 7 2 2 4" xfId="5567"/>
    <cellStyle name="Normal 7 2 2 4 2" xfId="6930"/>
    <cellStyle name="Normal 7 2 2 4 2 2" xfId="22137"/>
    <cellStyle name="Normal 7 2 2 4 2 3" xfId="27780"/>
    <cellStyle name="Normal 7 2 2 4 3" xfId="22136"/>
    <cellStyle name="Normal 7 2 2 4 4" xfId="27779"/>
    <cellStyle name="Normal 7 2 2 5" xfId="5877"/>
    <cellStyle name="Normal 7 2 2 5 2" xfId="6931"/>
    <cellStyle name="Normal 7 2 2 5 2 2" xfId="22139"/>
    <cellStyle name="Normal 7 2 2 5 2 3" xfId="27782"/>
    <cellStyle name="Normal 7 2 2 5 3" xfId="22138"/>
    <cellStyle name="Normal 7 2 2 5 4" xfId="27781"/>
    <cellStyle name="Normal 7 2 2 6" xfId="4996"/>
    <cellStyle name="Normal 7 2 2 6 2" xfId="6932"/>
    <cellStyle name="Normal 7 2 2 6 2 2" xfId="27784"/>
    <cellStyle name="Normal 7 2 2 6 3" xfId="22140"/>
    <cellStyle name="Normal 7 2 2 6 4" xfId="27783"/>
    <cellStyle name="Normal 7 2 2 7" xfId="6919"/>
    <cellStyle name="Normal 7 2 2 7 2" xfId="27785"/>
    <cellStyle name="Normal 7 2 2 8" xfId="22117"/>
    <cellStyle name="Normal 7 2 2 9" xfId="24805"/>
    <cellStyle name="Normal 7 2 2 9 2" xfId="27786"/>
    <cellStyle name="Normal 7 2 3" xfId="1443"/>
    <cellStyle name="Normal 7 2 3 10" xfId="27787"/>
    <cellStyle name="Normal 7 2 3 2" xfId="4185"/>
    <cellStyle name="Normal 7 2 3 2 2" xfId="5572"/>
    <cellStyle name="Normal 7 2 3 2 2 2" xfId="6935"/>
    <cellStyle name="Normal 7 2 3 2 2 2 2" xfId="22144"/>
    <cellStyle name="Normal 7 2 3 2 2 2 3" xfId="27790"/>
    <cellStyle name="Normal 7 2 3 2 2 3" xfId="22143"/>
    <cellStyle name="Normal 7 2 3 2 2 4" xfId="27789"/>
    <cellStyle name="Normal 7 2 3 2 3" xfId="5882"/>
    <cellStyle name="Normal 7 2 3 2 3 2" xfId="6936"/>
    <cellStyle name="Normal 7 2 3 2 3 2 2" xfId="22146"/>
    <cellStyle name="Normal 7 2 3 2 3 2 3" xfId="27792"/>
    <cellStyle name="Normal 7 2 3 2 3 3" xfId="22145"/>
    <cellStyle name="Normal 7 2 3 2 3 4" xfId="27791"/>
    <cellStyle name="Normal 7 2 3 2 4" xfId="5001"/>
    <cellStyle name="Normal 7 2 3 2 4 2" xfId="6937"/>
    <cellStyle name="Normal 7 2 3 2 4 2 2" xfId="27794"/>
    <cellStyle name="Normal 7 2 3 2 4 3" xfId="22147"/>
    <cellStyle name="Normal 7 2 3 2 4 4" xfId="27793"/>
    <cellStyle name="Normal 7 2 3 2 5" xfId="6934"/>
    <cellStyle name="Normal 7 2 3 2 5 2" xfId="27795"/>
    <cellStyle name="Normal 7 2 3 2 6" xfId="22142"/>
    <cellStyle name="Normal 7 2 3 2 7" xfId="25037"/>
    <cellStyle name="Normal 7 2 3 2 8" xfId="27788"/>
    <cellStyle name="Normal 7 2 3 3" xfId="5571"/>
    <cellStyle name="Normal 7 2 3 3 2" xfId="6938"/>
    <cellStyle name="Normal 7 2 3 3 2 2" xfId="22149"/>
    <cellStyle name="Normal 7 2 3 3 2 3" xfId="27797"/>
    <cellStyle name="Normal 7 2 3 3 3" xfId="22148"/>
    <cellStyle name="Normal 7 2 3 3 4" xfId="27796"/>
    <cellStyle name="Normal 7 2 3 4" xfId="5881"/>
    <cellStyle name="Normal 7 2 3 4 2" xfId="6939"/>
    <cellStyle name="Normal 7 2 3 4 2 2" xfId="22151"/>
    <cellStyle name="Normal 7 2 3 4 2 3" xfId="27799"/>
    <cellStyle name="Normal 7 2 3 4 3" xfId="22150"/>
    <cellStyle name="Normal 7 2 3 4 4" xfId="27798"/>
    <cellStyle name="Normal 7 2 3 5" xfId="5000"/>
    <cellStyle name="Normal 7 2 3 5 2" xfId="6940"/>
    <cellStyle name="Normal 7 2 3 5 2 2" xfId="27801"/>
    <cellStyle name="Normal 7 2 3 5 3" xfId="22152"/>
    <cellStyle name="Normal 7 2 3 5 4" xfId="27800"/>
    <cellStyle name="Normal 7 2 3 6" xfId="6933"/>
    <cellStyle name="Normal 7 2 3 6 2" xfId="27802"/>
    <cellStyle name="Normal 7 2 3 7" xfId="22141"/>
    <cellStyle name="Normal 7 2 3 8" xfId="24806"/>
    <cellStyle name="Normal 7 2 3 8 2" xfId="27803"/>
    <cellStyle name="Normal 7 2 3 9" xfId="24917"/>
    <cellStyle name="Normal 7 2 4" xfId="3906"/>
    <cellStyle name="Normal 7 2 4 2" xfId="5573"/>
    <cellStyle name="Normal 7 2 4 2 2" xfId="6941"/>
    <cellStyle name="Normal 7 2 4 2 2 2" xfId="22156"/>
    <cellStyle name="Normal 7 2 4 2 2 3" xfId="22155"/>
    <cellStyle name="Normal 7 2 4 2 2 4" xfId="27805"/>
    <cellStyle name="Normal 7 2 4 2 3" xfId="22157"/>
    <cellStyle name="Normal 7 2 4 2 3 2" xfId="22158"/>
    <cellStyle name="Normal 7 2 4 2 4" xfId="22159"/>
    <cellStyle name="Normal 7 2 4 2 5" xfId="22154"/>
    <cellStyle name="Normal 7 2 4 2 6" xfId="27804"/>
    <cellStyle name="Normal 7 2 4 3" xfId="5883"/>
    <cellStyle name="Normal 7 2 4 3 2" xfId="6942"/>
    <cellStyle name="Normal 7 2 4 3 2 2" xfId="22161"/>
    <cellStyle name="Normal 7 2 4 3 2 3" xfId="27807"/>
    <cellStyle name="Normal 7 2 4 3 3" xfId="22160"/>
    <cellStyle name="Normal 7 2 4 3 4" xfId="27806"/>
    <cellStyle name="Normal 7 2 4 4" xfId="5002"/>
    <cellStyle name="Normal 7 2 4 4 2" xfId="6943"/>
    <cellStyle name="Normal 7 2 4 4 2 2" xfId="22163"/>
    <cellStyle name="Normal 7 2 4 4 2 3" xfId="27809"/>
    <cellStyle name="Normal 7 2 4 4 3" xfId="22162"/>
    <cellStyle name="Normal 7 2 4 4 4" xfId="27808"/>
    <cellStyle name="Normal 7 2 4 5" xfId="22164"/>
    <cellStyle name="Normal 7 2 4 6" xfId="22153"/>
    <cellStyle name="Normal 7 2 4 7" xfId="24807"/>
    <cellStyle name="Normal 7 2 4 7 2" xfId="27810"/>
    <cellStyle name="Normal 7 2 5" xfId="5566"/>
    <cellStyle name="Normal 7 2 5 2" xfId="6944"/>
    <cellStyle name="Normal 7 2 5 2 2" xfId="22167"/>
    <cellStyle name="Normal 7 2 5 2 3" xfId="22166"/>
    <cellStyle name="Normal 7 2 5 2 4" xfId="27812"/>
    <cellStyle name="Normal 7 2 5 3" xfId="22168"/>
    <cellStyle name="Normal 7 2 5 3 2" xfId="22169"/>
    <cellStyle name="Normal 7 2 5 4" xfId="22170"/>
    <cellStyle name="Normal 7 2 5 5" xfId="22165"/>
    <cellStyle name="Normal 7 2 5 6" xfId="24808"/>
    <cellStyle name="Normal 7 2 5 7" xfId="27811"/>
    <cellStyle name="Normal 7 2 6" xfId="5876"/>
    <cellStyle name="Normal 7 2 6 2" xfId="6945"/>
    <cellStyle name="Normal 7 2 6 2 2" xfId="22172"/>
    <cellStyle name="Normal 7 2 6 2 3" xfId="27814"/>
    <cellStyle name="Normal 7 2 6 3" xfId="22171"/>
    <cellStyle name="Normal 7 2 6 4" xfId="24809"/>
    <cellStyle name="Normal 7 2 6 4 2" xfId="27815"/>
    <cellStyle name="Normal 7 2 6 5" xfId="27813"/>
    <cellStyle name="Normal 7 2 7" xfId="4995"/>
    <cellStyle name="Normal 7 2 7 2" xfId="6946"/>
    <cellStyle name="Normal 7 2 7 2 2" xfId="22174"/>
    <cellStyle name="Normal 7 2 7 2 3" xfId="27817"/>
    <cellStyle name="Normal 7 2 7 3" xfId="22173"/>
    <cellStyle name="Normal 7 2 7 4" xfId="27816"/>
    <cellStyle name="Normal 7 2 8" xfId="22175"/>
    <cellStyle name="Normal 7 2 9" xfId="22116"/>
    <cellStyle name="Normal 7 20" xfId="1216"/>
    <cellStyle name="Normal 7 20 2" xfId="4086"/>
    <cellStyle name="Normal 7 21" xfId="1226"/>
    <cellStyle name="Normal 7 21 2" xfId="4096"/>
    <cellStyle name="Normal 7 22" xfId="1236"/>
    <cellStyle name="Normal 7 22 2" xfId="4106"/>
    <cellStyle name="Normal 7 23" xfId="1246"/>
    <cellStyle name="Normal 7 23 2" xfId="4116"/>
    <cellStyle name="Normal 7 24" xfId="1256"/>
    <cellStyle name="Normal 7 24 2" xfId="4126"/>
    <cellStyle name="Normal 7 25" xfId="1265"/>
    <cellStyle name="Normal 7 25 2" xfId="4135"/>
    <cellStyle name="Normal 7 26" xfId="906"/>
    <cellStyle name="Normal 7 27" xfId="4993"/>
    <cellStyle name="Normal 7 27 2" xfId="6947"/>
    <cellStyle name="Normal 7 27 2 2" xfId="27819"/>
    <cellStyle name="Normal 7 27 3" xfId="27818"/>
    <cellStyle name="Normal 7 28" xfId="6913"/>
    <cellStyle name="Normal 7 28 2" xfId="27820"/>
    <cellStyle name="Normal 7 29" xfId="24546"/>
    <cellStyle name="Normal 7 3" xfId="1051"/>
    <cellStyle name="Normal 7 3 2" xfId="3762"/>
    <cellStyle name="Normal 7 3 2 10" xfId="27821"/>
    <cellStyle name="Normal 7 3 2 2" xfId="4211"/>
    <cellStyle name="Normal 7 3 2 2 2" xfId="5006"/>
    <cellStyle name="Normal 7 3 2 2 2 2" xfId="5577"/>
    <cellStyle name="Normal 7 3 2 2 2 2 2" xfId="6951"/>
    <cellStyle name="Normal 7 3 2 2 2 2 2 2" xfId="22181"/>
    <cellStyle name="Normal 7 3 2 2 2 2 2 3" xfId="27825"/>
    <cellStyle name="Normal 7 3 2 2 2 2 3" xfId="22180"/>
    <cellStyle name="Normal 7 3 2 2 2 2 4" xfId="27824"/>
    <cellStyle name="Normal 7 3 2 2 2 3" xfId="5887"/>
    <cellStyle name="Normal 7 3 2 2 2 3 2" xfId="6952"/>
    <cellStyle name="Normal 7 3 2 2 2 3 2 2" xfId="22183"/>
    <cellStyle name="Normal 7 3 2 2 2 3 2 3" xfId="27827"/>
    <cellStyle name="Normal 7 3 2 2 2 3 3" xfId="22182"/>
    <cellStyle name="Normal 7 3 2 2 2 3 4" xfId="27826"/>
    <cellStyle name="Normal 7 3 2 2 2 4" xfId="6950"/>
    <cellStyle name="Normal 7 3 2 2 2 4 2" xfId="22184"/>
    <cellStyle name="Normal 7 3 2 2 2 4 3" xfId="27828"/>
    <cellStyle name="Normal 7 3 2 2 2 5" xfId="22179"/>
    <cellStyle name="Normal 7 3 2 2 2 6" xfId="27823"/>
    <cellStyle name="Normal 7 3 2 2 3" xfId="5576"/>
    <cellStyle name="Normal 7 3 2 2 3 2" xfId="6953"/>
    <cellStyle name="Normal 7 3 2 2 3 2 2" xfId="22186"/>
    <cellStyle name="Normal 7 3 2 2 3 2 3" xfId="27830"/>
    <cellStyle name="Normal 7 3 2 2 3 3" xfId="22185"/>
    <cellStyle name="Normal 7 3 2 2 3 4" xfId="27829"/>
    <cellStyle name="Normal 7 3 2 2 4" xfId="5886"/>
    <cellStyle name="Normal 7 3 2 2 4 2" xfId="6954"/>
    <cellStyle name="Normal 7 3 2 2 4 2 2" xfId="22188"/>
    <cellStyle name="Normal 7 3 2 2 4 2 3" xfId="27832"/>
    <cellStyle name="Normal 7 3 2 2 4 3" xfId="22187"/>
    <cellStyle name="Normal 7 3 2 2 4 4" xfId="27831"/>
    <cellStyle name="Normal 7 3 2 2 5" xfId="5005"/>
    <cellStyle name="Normal 7 3 2 2 5 2" xfId="6955"/>
    <cellStyle name="Normal 7 3 2 2 5 2 2" xfId="27834"/>
    <cellStyle name="Normal 7 3 2 2 5 3" xfId="22189"/>
    <cellStyle name="Normal 7 3 2 2 5 4" xfId="27833"/>
    <cellStyle name="Normal 7 3 2 2 6" xfId="6949"/>
    <cellStyle name="Normal 7 3 2 2 6 2" xfId="27835"/>
    <cellStyle name="Normal 7 3 2 2 7" xfId="22178"/>
    <cellStyle name="Normal 7 3 2 2 8" xfId="25063"/>
    <cellStyle name="Normal 7 3 2 2 9" xfId="27822"/>
    <cellStyle name="Normal 7 3 2 3" xfId="5007"/>
    <cellStyle name="Normal 7 3 2 3 2" xfId="5578"/>
    <cellStyle name="Normal 7 3 2 3 2 2" xfId="6957"/>
    <cellStyle name="Normal 7 3 2 3 2 2 2" xfId="22192"/>
    <cellStyle name="Normal 7 3 2 3 2 2 3" xfId="27838"/>
    <cellStyle name="Normal 7 3 2 3 2 3" xfId="22191"/>
    <cellStyle name="Normal 7 3 2 3 2 4" xfId="27837"/>
    <cellStyle name="Normal 7 3 2 3 3" xfId="5888"/>
    <cellStyle name="Normal 7 3 2 3 3 2" xfId="6958"/>
    <cellStyle name="Normal 7 3 2 3 3 2 2" xfId="22194"/>
    <cellStyle name="Normal 7 3 2 3 3 2 3" xfId="27840"/>
    <cellStyle name="Normal 7 3 2 3 3 3" xfId="22193"/>
    <cellStyle name="Normal 7 3 2 3 3 4" xfId="27839"/>
    <cellStyle name="Normal 7 3 2 3 4" xfId="6956"/>
    <cellStyle name="Normal 7 3 2 3 4 2" xfId="22195"/>
    <cellStyle name="Normal 7 3 2 3 4 3" xfId="27841"/>
    <cellStyle name="Normal 7 3 2 3 5" xfId="22190"/>
    <cellStyle name="Normal 7 3 2 3 6" xfId="27836"/>
    <cellStyle name="Normal 7 3 2 4" xfId="5575"/>
    <cellStyle name="Normal 7 3 2 4 2" xfId="6959"/>
    <cellStyle name="Normal 7 3 2 4 2 2" xfId="22197"/>
    <cellStyle name="Normal 7 3 2 4 2 3" xfId="27843"/>
    <cellStyle name="Normal 7 3 2 4 3" xfId="22196"/>
    <cellStyle name="Normal 7 3 2 4 4" xfId="27842"/>
    <cellStyle name="Normal 7 3 2 5" xfId="5885"/>
    <cellStyle name="Normal 7 3 2 5 2" xfId="6960"/>
    <cellStyle name="Normal 7 3 2 5 2 2" xfId="22199"/>
    <cellStyle name="Normal 7 3 2 5 2 3" xfId="27845"/>
    <cellStyle name="Normal 7 3 2 5 3" xfId="22198"/>
    <cellStyle name="Normal 7 3 2 5 4" xfId="27844"/>
    <cellStyle name="Normal 7 3 2 6" xfId="5004"/>
    <cellStyle name="Normal 7 3 2 6 2" xfId="6961"/>
    <cellStyle name="Normal 7 3 2 6 2 2" xfId="27847"/>
    <cellStyle name="Normal 7 3 2 6 3" xfId="22200"/>
    <cellStyle name="Normal 7 3 2 6 4" xfId="27846"/>
    <cellStyle name="Normal 7 3 2 7" xfId="6948"/>
    <cellStyle name="Normal 7 3 2 7 2" xfId="27848"/>
    <cellStyle name="Normal 7 3 2 8" xfId="22177"/>
    <cellStyle name="Normal 7 3 2 9" xfId="24943"/>
    <cellStyle name="Normal 7 3 3" xfId="1536"/>
    <cellStyle name="Normal 7 3 3 10" xfId="27849"/>
    <cellStyle name="Normal 7 3 3 2" xfId="4189"/>
    <cellStyle name="Normal 7 3 3 2 2" xfId="5580"/>
    <cellStyle name="Normal 7 3 3 2 2 2" xfId="6964"/>
    <cellStyle name="Normal 7 3 3 2 2 2 2" xfId="22204"/>
    <cellStyle name="Normal 7 3 3 2 2 2 3" xfId="27852"/>
    <cellStyle name="Normal 7 3 3 2 2 3" xfId="22203"/>
    <cellStyle name="Normal 7 3 3 2 2 4" xfId="27851"/>
    <cellStyle name="Normal 7 3 3 2 3" xfId="5890"/>
    <cellStyle name="Normal 7 3 3 2 3 2" xfId="6965"/>
    <cellStyle name="Normal 7 3 3 2 3 2 2" xfId="22206"/>
    <cellStyle name="Normal 7 3 3 2 3 2 3" xfId="27854"/>
    <cellStyle name="Normal 7 3 3 2 3 3" xfId="22205"/>
    <cellStyle name="Normal 7 3 3 2 3 4" xfId="27853"/>
    <cellStyle name="Normal 7 3 3 2 4" xfId="5009"/>
    <cellStyle name="Normal 7 3 3 2 4 2" xfId="6966"/>
    <cellStyle name="Normal 7 3 3 2 4 2 2" xfId="27856"/>
    <cellStyle name="Normal 7 3 3 2 4 3" xfId="22207"/>
    <cellStyle name="Normal 7 3 3 2 4 4" xfId="27855"/>
    <cellStyle name="Normal 7 3 3 2 5" xfId="6963"/>
    <cellStyle name="Normal 7 3 3 2 5 2" xfId="27857"/>
    <cellStyle name="Normal 7 3 3 2 6" xfId="22202"/>
    <cellStyle name="Normal 7 3 3 2 7" xfId="25041"/>
    <cellStyle name="Normal 7 3 3 2 8" xfId="27850"/>
    <cellStyle name="Normal 7 3 3 3" xfId="5579"/>
    <cellStyle name="Normal 7 3 3 3 2" xfId="6967"/>
    <cellStyle name="Normal 7 3 3 3 2 2" xfId="22209"/>
    <cellStyle name="Normal 7 3 3 3 2 3" xfId="27859"/>
    <cellStyle name="Normal 7 3 3 3 3" xfId="22208"/>
    <cellStyle name="Normal 7 3 3 3 4" xfId="27858"/>
    <cellStyle name="Normal 7 3 3 4" xfId="5889"/>
    <cellStyle name="Normal 7 3 3 4 2" xfId="6968"/>
    <cellStyle name="Normal 7 3 3 4 2 2" xfId="22211"/>
    <cellStyle name="Normal 7 3 3 4 2 3" xfId="27861"/>
    <cellStyle name="Normal 7 3 3 4 3" xfId="22210"/>
    <cellStyle name="Normal 7 3 3 4 4" xfId="27860"/>
    <cellStyle name="Normal 7 3 3 5" xfId="5008"/>
    <cellStyle name="Normal 7 3 3 5 2" xfId="6969"/>
    <cellStyle name="Normal 7 3 3 5 2 2" xfId="27863"/>
    <cellStyle name="Normal 7 3 3 5 3" xfId="22212"/>
    <cellStyle name="Normal 7 3 3 5 4" xfId="27862"/>
    <cellStyle name="Normal 7 3 3 6" xfId="6962"/>
    <cellStyle name="Normal 7 3 3 6 2" xfId="27864"/>
    <cellStyle name="Normal 7 3 3 7" xfId="22201"/>
    <cellStyle name="Normal 7 3 3 8" xfId="24810"/>
    <cellStyle name="Normal 7 3 3 8 2" xfId="27865"/>
    <cellStyle name="Normal 7 3 3 9" xfId="24921"/>
    <cellStyle name="Normal 7 3 4" xfId="3921"/>
    <cellStyle name="Normal 7 3 4 2" xfId="5581"/>
    <cellStyle name="Normal 7 3 4 2 2" xfId="6970"/>
    <cellStyle name="Normal 7 3 4 2 2 2" xfId="22216"/>
    <cellStyle name="Normal 7 3 4 2 2 3" xfId="22215"/>
    <cellStyle name="Normal 7 3 4 2 2 4" xfId="27867"/>
    <cellStyle name="Normal 7 3 4 2 3" xfId="22217"/>
    <cellStyle name="Normal 7 3 4 2 3 2" xfId="22218"/>
    <cellStyle name="Normal 7 3 4 2 4" xfId="22219"/>
    <cellStyle name="Normal 7 3 4 2 5" xfId="22214"/>
    <cellStyle name="Normal 7 3 4 2 6" xfId="27866"/>
    <cellStyle name="Normal 7 3 4 3" xfId="5891"/>
    <cellStyle name="Normal 7 3 4 3 2" xfId="6971"/>
    <cellStyle name="Normal 7 3 4 3 2 2" xfId="22221"/>
    <cellStyle name="Normal 7 3 4 3 2 3" xfId="27869"/>
    <cellStyle name="Normal 7 3 4 3 3" xfId="22220"/>
    <cellStyle name="Normal 7 3 4 3 4" xfId="27868"/>
    <cellStyle name="Normal 7 3 4 4" xfId="5010"/>
    <cellStyle name="Normal 7 3 4 4 2" xfId="6972"/>
    <cellStyle name="Normal 7 3 4 4 2 2" xfId="22223"/>
    <cellStyle name="Normal 7 3 4 4 2 3" xfId="27871"/>
    <cellStyle name="Normal 7 3 4 4 3" xfId="22222"/>
    <cellStyle name="Normal 7 3 4 4 4" xfId="27870"/>
    <cellStyle name="Normal 7 3 4 5" xfId="22224"/>
    <cellStyle name="Normal 7 3 4 6" xfId="22213"/>
    <cellStyle name="Normal 7 3 5" xfId="5574"/>
    <cellStyle name="Normal 7 3 5 2" xfId="6973"/>
    <cellStyle name="Normal 7 3 5 2 2" xfId="22227"/>
    <cellStyle name="Normal 7 3 5 2 3" xfId="22226"/>
    <cellStyle name="Normal 7 3 5 2 4" xfId="27873"/>
    <cellStyle name="Normal 7 3 5 3" xfId="22228"/>
    <cellStyle name="Normal 7 3 5 3 2" xfId="22229"/>
    <cellStyle name="Normal 7 3 5 4" xfId="22230"/>
    <cellStyle name="Normal 7 3 5 5" xfId="22225"/>
    <cellStyle name="Normal 7 3 5 6" xfId="27872"/>
    <cellStyle name="Normal 7 3 6" xfId="5884"/>
    <cellStyle name="Normal 7 3 6 2" xfId="6974"/>
    <cellStyle name="Normal 7 3 6 2 2" xfId="22232"/>
    <cellStyle name="Normal 7 3 6 2 3" xfId="27875"/>
    <cellStyle name="Normal 7 3 6 3" xfId="22231"/>
    <cellStyle name="Normal 7 3 6 4" xfId="27874"/>
    <cellStyle name="Normal 7 3 7" xfId="5003"/>
    <cellStyle name="Normal 7 3 7 2" xfId="6975"/>
    <cellStyle name="Normal 7 3 7 2 2" xfId="22234"/>
    <cellStyle name="Normal 7 3 7 2 3" xfId="27877"/>
    <cellStyle name="Normal 7 3 7 3" xfId="22233"/>
    <cellStyle name="Normal 7 3 7 4" xfId="27876"/>
    <cellStyle name="Normal 7 3 8" xfId="22235"/>
    <cellStyle name="Normal 7 3 9" xfId="22176"/>
    <cellStyle name="Normal 7 30" xfId="27747"/>
    <cellStyle name="Normal 7 4" xfId="1056"/>
    <cellStyle name="Normal 7 4 2" xfId="3766"/>
    <cellStyle name="Normal 7 4 2 10" xfId="27878"/>
    <cellStyle name="Normal 7 4 2 2" xfId="4214"/>
    <cellStyle name="Normal 7 4 2 2 2" xfId="5014"/>
    <cellStyle name="Normal 7 4 2 2 2 2" xfId="5585"/>
    <cellStyle name="Normal 7 4 2 2 2 2 2" xfId="6979"/>
    <cellStyle name="Normal 7 4 2 2 2 2 2 2" xfId="22241"/>
    <cellStyle name="Normal 7 4 2 2 2 2 2 3" xfId="27882"/>
    <cellStyle name="Normal 7 4 2 2 2 2 3" xfId="22240"/>
    <cellStyle name="Normal 7 4 2 2 2 2 4" xfId="27881"/>
    <cellStyle name="Normal 7 4 2 2 2 3" xfId="5895"/>
    <cellStyle name="Normal 7 4 2 2 2 3 2" xfId="6980"/>
    <cellStyle name="Normal 7 4 2 2 2 3 2 2" xfId="22243"/>
    <cellStyle name="Normal 7 4 2 2 2 3 2 3" xfId="27884"/>
    <cellStyle name="Normal 7 4 2 2 2 3 3" xfId="22242"/>
    <cellStyle name="Normal 7 4 2 2 2 3 4" xfId="27883"/>
    <cellStyle name="Normal 7 4 2 2 2 4" xfId="6978"/>
    <cellStyle name="Normal 7 4 2 2 2 4 2" xfId="22244"/>
    <cellStyle name="Normal 7 4 2 2 2 4 3" xfId="27885"/>
    <cellStyle name="Normal 7 4 2 2 2 5" xfId="22239"/>
    <cellStyle name="Normal 7 4 2 2 2 6" xfId="27880"/>
    <cellStyle name="Normal 7 4 2 2 3" xfId="5584"/>
    <cellStyle name="Normal 7 4 2 2 3 2" xfId="6981"/>
    <cellStyle name="Normal 7 4 2 2 3 2 2" xfId="22246"/>
    <cellStyle name="Normal 7 4 2 2 3 2 3" xfId="27887"/>
    <cellStyle name="Normal 7 4 2 2 3 3" xfId="22245"/>
    <cellStyle name="Normal 7 4 2 2 3 4" xfId="27886"/>
    <cellStyle name="Normal 7 4 2 2 4" xfId="5894"/>
    <cellStyle name="Normal 7 4 2 2 4 2" xfId="6982"/>
    <cellStyle name="Normal 7 4 2 2 4 2 2" xfId="22248"/>
    <cellStyle name="Normal 7 4 2 2 4 2 3" xfId="27889"/>
    <cellStyle name="Normal 7 4 2 2 4 3" xfId="22247"/>
    <cellStyle name="Normal 7 4 2 2 4 4" xfId="27888"/>
    <cellStyle name="Normal 7 4 2 2 5" xfId="5013"/>
    <cellStyle name="Normal 7 4 2 2 5 2" xfId="6983"/>
    <cellStyle name="Normal 7 4 2 2 5 2 2" xfId="27891"/>
    <cellStyle name="Normal 7 4 2 2 5 3" xfId="22249"/>
    <cellStyle name="Normal 7 4 2 2 5 4" xfId="27890"/>
    <cellStyle name="Normal 7 4 2 2 6" xfId="6977"/>
    <cellStyle name="Normal 7 4 2 2 6 2" xfId="27892"/>
    <cellStyle name="Normal 7 4 2 2 7" xfId="22238"/>
    <cellStyle name="Normal 7 4 2 2 8" xfId="25066"/>
    <cellStyle name="Normal 7 4 2 2 9" xfId="27879"/>
    <cellStyle name="Normal 7 4 2 3" xfId="5015"/>
    <cellStyle name="Normal 7 4 2 3 2" xfId="5586"/>
    <cellStyle name="Normal 7 4 2 3 2 2" xfId="6985"/>
    <cellStyle name="Normal 7 4 2 3 2 2 2" xfId="22252"/>
    <cellStyle name="Normal 7 4 2 3 2 2 3" xfId="27895"/>
    <cellStyle name="Normal 7 4 2 3 2 3" xfId="22251"/>
    <cellStyle name="Normal 7 4 2 3 2 4" xfId="27894"/>
    <cellStyle name="Normal 7 4 2 3 3" xfId="5896"/>
    <cellStyle name="Normal 7 4 2 3 3 2" xfId="6986"/>
    <cellStyle name="Normal 7 4 2 3 3 2 2" xfId="22254"/>
    <cellStyle name="Normal 7 4 2 3 3 2 3" xfId="27897"/>
    <cellStyle name="Normal 7 4 2 3 3 3" xfId="22253"/>
    <cellStyle name="Normal 7 4 2 3 3 4" xfId="27896"/>
    <cellStyle name="Normal 7 4 2 3 4" xfId="6984"/>
    <cellStyle name="Normal 7 4 2 3 4 2" xfId="22255"/>
    <cellStyle name="Normal 7 4 2 3 4 3" xfId="27898"/>
    <cellStyle name="Normal 7 4 2 3 5" xfId="22250"/>
    <cellStyle name="Normal 7 4 2 3 6" xfId="27893"/>
    <cellStyle name="Normal 7 4 2 4" xfId="5583"/>
    <cellStyle name="Normal 7 4 2 4 2" xfId="6987"/>
    <cellStyle name="Normal 7 4 2 4 2 2" xfId="22257"/>
    <cellStyle name="Normal 7 4 2 4 2 3" xfId="27900"/>
    <cellStyle name="Normal 7 4 2 4 3" xfId="22256"/>
    <cellStyle name="Normal 7 4 2 4 4" xfId="27899"/>
    <cellStyle name="Normal 7 4 2 5" xfId="5893"/>
    <cellStyle name="Normal 7 4 2 5 2" xfId="6988"/>
    <cellStyle name="Normal 7 4 2 5 2 2" xfId="22259"/>
    <cellStyle name="Normal 7 4 2 5 2 3" xfId="27902"/>
    <cellStyle name="Normal 7 4 2 5 3" xfId="22258"/>
    <cellStyle name="Normal 7 4 2 5 4" xfId="27901"/>
    <cellStyle name="Normal 7 4 2 6" xfId="5012"/>
    <cellStyle name="Normal 7 4 2 6 2" xfId="6989"/>
    <cellStyle name="Normal 7 4 2 6 2 2" xfId="27904"/>
    <cellStyle name="Normal 7 4 2 6 3" xfId="22260"/>
    <cellStyle name="Normal 7 4 2 6 4" xfId="27903"/>
    <cellStyle name="Normal 7 4 2 7" xfId="6976"/>
    <cellStyle name="Normal 7 4 2 7 2" xfId="27905"/>
    <cellStyle name="Normal 7 4 2 8" xfId="22237"/>
    <cellStyle name="Normal 7 4 2 9" xfId="24946"/>
    <cellStyle name="Normal 7 4 3" xfId="1572"/>
    <cellStyle name="Normal 7 4 3 2" xfId="4193"/>
    <cellStyle name="Normal 7 4 3 2 2" xfId="5588"/>
    <cellStyle name="Normal 7 4 3 2 2 2" xfId="6992"/>
    <cellStyle name="Normal 7 4 3 2 2 2 2" xfId="22264"/>
    <cellStyle name="Normal 7 4 3 2 2 2 3" xfId="27909"/>
    <cellStyle name="Normal 7 4 3 2 2 3" xfId="22263"/>
    <cellStyle name="Normal 7 4 3 2 2 4" xfId="27908"/>
    <cellStyle name="Normal 7 4 3 2 3" xfId="5898"/>
    <cellStyle name="Normal 7 4 3 2 3 2" xfId="6993"/>
    <cellStyle name="Normal 7 4 3 2 3 2 2" xfId="22266"/>
    <cellStyle name="Normal 7 4 3 2 3 2 3" xfId="27911"/>
    <cellStyle name="Normal 7 4 3 2 3 3" xfId="22265"/>
    <cellStyle name="Normal 7 4 3 2 3 4" xfId="27910"/>
    <cellStyle name="Normal 7 4 3 2 4" xfId="5017"/>
    <cellStyle name="Normal 7 4 3 2 4 2" xfId="6994"/>
    <cellStyle name="Normal 7 4 3 2 4 2 2" xfId="27913"/>
    <cellStyle name="Normal 7 4 3 2 4 3" xfId="22267"/>
    <cellStyle name="Normal 7 4 3 2 4 4" xfId="27912"/>
    <cellStyle name="Normal 7 4 3 2 5" xfId="6991"/>
    <cellStyle name="Normal 7 4 3 2 5 2" xfId="27914"/>
    <cellStyle name="Normal 7 4 3 2 6" xfId="22262"/>
    <cellStyle name="Normal 7 4 3 2 7" xfId="25045"/>
    <cellStyle name="Normal 7 4 3 2 8" xfId="27907"/>
    <cellStyle name="Normal 7 4 3 3" xfId="5587"/>
    <cellStyle name="Normal 7 4 3 3 2" xfId="6995"/>
    <cellStyle name="Normal 7 4 3 3 2 2" xfId="22269"/>
    <cellStyle name="Normal 7 4 3 3 2 3" xfId="27916"/>
    <cellStyle name="Normal 7 4 3 3 3" xfId="22268"/>
    <cellStyle name="Normal 7 4 3 3 4" xfId="27915"/>
    <cellStyle name="Normal 7 4 3 4" xfId="5897"/>
    <cellStyle name="Normal 7 4 3 4 2" xfId="6996"/>
    <cellStyle name="Normal 7 4 3 4 2 2" xfId="22271"/>
    <cellStyle name="Normal 7 4 3 4 2 3" xfId="27918"/>
    <cellStyle name="Normal 7 4 3 4 3" xfId="22270"/>
    <cellStyle name="Normal 7 4 3 4 4" xfId="27917"/>
    <cellStyle name="Normal 7 4 3 5" xfId="5016"/>
    <cellStyle name="Normal 7 4 3 5 2" xfId="6997"/>
    <cellStyle name="Normal 7 4 3 5 2 2" xfId="27920"/>
    <cellStyle name="Normal 7 4 3 5 3" xfId="22272"/>
    <cellStyle name="Normal 7 4 3 5 4" xfId="27919"/>
    <cellStyle name="Normal 7 4 3 6" xfId="6990"/>
    <cellStyle name="Normal 7 4 3 6 2" xfId="27921"/>
    <cellStyle name="Normal 7 4 3 7" xfId="22261"/>
    <cellStyle name="Normal 7 4 3 8" xfId="24925"/>
    <cellStyle name="Normal 7 4 3 9" xfId="27906"/>
    <cellStyle name="Normal 7 4 4" xfId="3926"/>
    <cellStyle name="Normal 7 4 4 2" xfId="5589"/>
    <cellStyle name="Normal 7 4 4 2 2" xfId="6998"/>
    <cellStyle name="Normal 7 4 4 2 2 2" xfId="22275"/>
    <cellStyle name="Normal 7 4 4 2 2 3" xfId="27923"/>
    <cellStyle name="Normal 7 4 4 2 3" xfId="22274"/>
    <cellStyle name="Normal 7 4 4 2 4" xfId="27922"/>
    <cellStyle name="Normal 7 4 4 3" xfId="5899"/>
    <cellStyle name="Normal 7 4 4 3 2" xfId="6999"/>
    <cellStyle name="Normal 7 4 4 3 2 2" xfId="22277"/>
    <cellStyle name="Normal 7 4 4 3 2 3" xfId="27925"/>
    <cellStyle name="Normal 7 4 4 3 3" xfId="22276"/>
    <cellStyle name="Normal 7 4 4 3 4" xfId="27924"/>
    <cellStyle name="Normal 7 4 4 4" xfId="5018"/>
    <cellStyle name="Normal 7 4 4 4 2" xfId="7000"/>
    <cellStyle name="Normal 7 4 4 4 2 2" xfId="27927"/>
    <cellStyle name="Normal 7 4 4 4 3" xfId="22278"/>
    <cellStyle name="Normal 7 4 4 4 4" xfId="27926"/>
    <cellStyle name="Normal 7 4 4 5" xfId="22273"/>
    <cellStyle name="Normal 7 4 5" xfId="5582"/>
    <cellStyle name="Normal 7 4 5 2" xfId="7001"/>
    <cellStyle name="Normal 7 4 5 2 2" xfId="22280"/>
    <cellStyle name="Normal 7 4 5 2 3" xfId="27929"/>
    <cellStyle name="Normal 7 4 5 3" xfId="22279"/>
    <cellStyle name="Normal 7 4 5 4" xfId="27928"/>
    <cellStyle name="Normal 7 4 6" xfId="5892"/>
    <cellStyle name="Normal 7 4 6 2" xfId="7002"/>
    <cellStyle name="Normal 7 4 6 2 2" xfId="22282"/>
    <cellStyle name="Normal 7 4 6 2 3" xfId="27931"/>
    <cellStyle name="Normal 7 4 6 3" xfId="22281"/>
    <cellStyle name="Normal 7 4 6 4" xfId="27930"/>
    <cellStyle name="Normal 7 4 7" xfId="5011"/>
    <cellStyle name="Normal 7 4 7 2" xfId="7003"/>
    <cellStyle name="Normal 7 4 7 2 2" xfId="27933"/>
    <cellStyle name="Normal 7 4 7 3" xfId="22283"/>
    <cellStyle name="Normal 7 4 7 4" xfId="27932"/>
    <cellStyle name="Normal 7 4 8" xfId="22236"/>
    <cellStyle name="Normal 7 4 9" xfId="24811"/>
    <cellStyle name="Normal 7 4 9 2" xfId="27934"/>
    <cellStyle name="Normal 7 5" xfId="1066"/>
    <cellStyle name="Normal 7 5 2" xfId="3810"/>
    <cellStyle name="Normal 7 5 2 10" xfId="27935"/>
    <cellStyle name="Normal 7 5 2 2" xfId="4217"/>
    <cellStyle name="Normal 7 5 2 2 2" xfId="5022"/>
    <cellStyle name="Normal 7 5 2 2 2 2" xfId="5593"/>
    <cellStyle name="Normal 7 5 2 2 2 2 2" xfId="7007"/>
    <cellStyle name="Normal 7 5 2 2 2 2 2 2" xfId="22289"/>
    <cellStyle name="Normal 7 5 2 2 2 2 2 3" xfId="27939"/>
    <cellStyle name="Normal 7 5 2 2 2 2 3" xfId="22288"/>
    <cellStyle name="Normal 7 5 2 2 2 2 4" xfId="27938"/>
    <cellStyle name="Normal 7 5 2 2 2 3" xfId="5903"/>
    <cellStyle name="Normal 7 5 2 2 2 3 2" xfId="7008"/>
    <cellStyle name="Normal 7 5 2 2 2 3 2 2" xfId="22291"/>
    <cellStyle name="Normal 7 5 2 2 2 3 2 3" xfId="27941"/>
    <cellStyle name="Normal 7 5 2 2 2 3 3" xfId="22290"/>
    <cellStyle name="Normal 7 5 2 2 2 3 4" xfId="27940"/>
    <cellStyle name="Normal 7 5 2 2 2 4" xfId="7006"/>
    <cellStyle name="Normal 7 5 2 2 2 4 2" xfId="22292"/>
    <cellStyle name="Normal 7 5 2 2 2 4 3" xfId="27942"/>
    <cellStyle name="Normal 7 5 2 2 2 5" xfId="22287"/>
    <cellStyle name="Normal 7 5 2 2 2 6" xfId="27937"/>
    <cellStyle name="Normal 7 5 2 2 3" xfId="5592"/>
    <cellStyle name="Normal 7 5 2 2 3 2" xfId="7009"/>
    <cellStyle name="Normal 7 5 2 2 3 2 2" xfId="22294"/>
    <cellStyle name="Normal 7 5 2 2 3 2 3" xfId="27944"/>
    <cellStyle name="Normal 7 5 2 2 3 3" xfId="22293"/>
    <cellStyle name="Normal 7 5 2 2 3 4" xfId="27943"/>
    <cellStyle name="Normal 7 5 2 2 4" xfId="5902"/>
    <cellStyle name="Normal 7 5 2 2 4 2" xfId="7010"/>
    <cellStyle name="Normal 7 5 2 2 4 2 2" xfId="22296"/>
    <cellStyle name="Normal 7 5 2 2 4 2 3" xfId="27946"/>
    <cellStyle name="Normal 7 5 2 2 4 3" xfId="22295"/>
    <cellStyle name="Normal 7 5 2 2 4 4" xfId="27945"/>
    <cellStyle name="Normal 7 5 2 2 5" xfId="5021"/>
    <cellStyle name="Normal 7 5 2 2 5 2" xfId="7011"/>
    <cellStyle name="Normal 7 5 2 2 5 2 2" xfId="27948"/>
    <cellStyle name="Normal 7 5 2 2 5 3" xfId="22297"/>
    <cellStyle name="Normal 7 5 2 2 5 4" xfId="27947"/>
    <cellStyle name="Normal 7 5 2 2 6" xfId="7005"/>
    <cellStyle name="Normal 7 5 2 2 6 2" xfId="27949"/>
    <cellStyle name="Normal 7 5 2 2 7" xfId="22286"/>
    <cellStyle name="Normal 7 5 2 2 8" xfId="25069"/>
    <cellStyle name="Normal 7 5 2 2 9" xfId="27936"/>
    <cellStyle name="Normal 7 5 2 3" xfId="5023"/>
    <cellStyle name="Normal 7 5 2 3 2" xfId="5594"/>
    <cellStyle name="Normal 7 5 2 3 2 2" xfId="7013"/>
    <cellStyle name="Normal 7 5 2 3 2 2 2" xfId="22300"/>
    <cellStyle name="Normal 7 5 2 3 2 2 3" xfId="27952"/>
    <cellStyle name="Normal 7 5 2 3 2 3" xfId="22299"/>
    <cellStyle name="Normal 7 5 2 3 2 4" xfId="27951"/>
    <cellStyle name="Normal 7 5 2 3 3" xfId="5904"/>
    <cellStyle name="Normal 7 5 2 3 3 2" xfId="7014"/>
    <cellStyle name="Normal 7 5 2 3 3 2 2" xfId="22302"/>
    <cellStyle name="Normal 7 5 2 3 3 2 3" xfId="27954"/>
    <cellStyle name="Normal 7 5 2 3 3 3" xfId="22301"/>
    <cellStyle name="Normal 7 5 2 3 3 4" xfId="27953"/>
    <cellStyle name="Normal 7 5 2 3 4" xfId="7012"/>
    <cellStyle name="Normal 7 5 2 3 4 2" xfId="22303"/>
    <cellStyle name="Normal 7 5 2 3 4 3" xfId="27955"/>
    <cellStyle name="Normal 7 5 2 3 5" xfId="22298"/>
    <cellStyle name="Normal 7 5 2 3 6" xfId="27950"/>
    <cellStyle name="Normal 7 5 2 4" xfId="5591"/>
    <cellStyle name="Normal 7 5 2 4 2" xfId="7015"/>
    <cellStyle name="Normal 7 5 2 4 2 2" xfId="22305"/>
    <cellStyle name="Normal 7 5 2 4 2 3" xfId="27957"/>
    <cellStyle name="Normal 7 5 2 4 3" xfId="22304"/>
    <cellStyle name="Normal 7 5 2 4 4" xfId="27956"/>
    <cellStyle name="Normal 7 5 2 5" xfId="5901"/>
    <cellStyle name="Normal 7 5 2 5 2" xfId="7016"/>
    <cellStyle name="Normal 7 5 2 5 2 2" xfId="22307"/>
    <cellStyle name="Normal 7 5 2 5 2 3" xfId="27959"/>
    <cellStyle name="Normal 7 5 2 5 3" xfId="22306"/>
    <cellStyle name="Normal 7 5 2 5 4" xfId="27958"/>
    <cellStyle name="Normal 7 5 2 6" xfId="5020"/>
    <cellStyle name="Normal 7 5 2 6 2" xfId="7017"/>
    <cellStyle name="Normal 7 5 2 6 2 2" xfId="27961"/>
    <cellStyle name="Normal 7 5 2 6 3" xfId="22308"/>
    <cellStyle name="Normal 7 5 2 6 4" xfId="27960"/>
    <cellStyle name="Normal 7 5 2 7" xfId="7004"/>
    <cellStyle name="Normal 7 5 2 7 2" xfId="27962"/>
    <cellStyle name="Normal 7 5 2 8" xfId="22285"/>
    <cellStyle name="Normal 7 5 2 9" xfId="24949"/>
    <cellStyle name="Normal 7 5 3" xfId="1573"/>
    <cellStyle name="Normal 7 5 3 2" xfId="4194"/>
    <cellStyle name="Normal 7 5 3 2 2" xfId="5596"/>
    <cellStyle name="Normal 7 5 3 2 2 2" xfId="7020"/>
    <cellStyle name="Normal 7 5 3 2 2 2 2" xfId="22312"/>
    <cellStyle name="Normal 7 5 3 2 2 2 3" xfId="27966"/>
    <cellStyle name="Normal 7 5 3 2 2 3" xfId="22311"/>
    <cellStyle name="Normal 7 5 3 2 2 4" xfId="27965"/>
    <cellStyle name="Normal 7 5 3 2 3" xfId="5906"/>
    <cellStyle name="Normal 7 5 3 2 3 2" xfId="7021"/>
    <cellStyle name="Normal 7 5 3 2 3 2 2" xfId="22314"/>
    <cellStyle name="Normal 7 5 3 2 3 2 3" xfId="27968"/>
    <cellStyle name="Normal 7 5 3 2 3 3" xfId="22313"/>
    <cellStyle name="Normal 7 5 3 2 3 4" xfId="27967"/>
    <cellStyle name="Normal 7 5 3 2 4" xfId="5025"/>
    <cellStyle name="Normal 7 5 3 2 4 2" xfId="7022"/>
    <cellStyle name="Normal 7 5 3 2 4 2 2" xfId="27970"/>
    <cellStyle name="Normal 7 5 3 2 4 3" xfId="22315"/>
    <cellStyle name="Normal 7 5 3 2 4 4" xfId="27969"/>
    <cellStyle name="Normal 7 5 3 2 5" xfId="7019"/>
    <cellStyle name="Normal 7 5 3 2 5 2" xfId="27971"/>
    <cellStyle name="Normal 7 5 3 2 6" xfId="22310"/>
    <cellStyle name="Normal 7 5 3 2 7" xfId="25046"/>
    <cellStyle name="Normal 7 5 3 2 8" xfId="27964"/>
    <cellStyle name="Normal 7 5 3 3" xfId="5595"/>
    <cellStyle name="Normal 7 5 3 3 2" xfId="7023"/>
    <cellStyle name="Normal 7 5 3 3 2 2" xfId="22317"/>
    <cellStyle name="Normal 7 5 3 3 2 3" xfId="27973"/>
    <cellStyle name="Normal 7 5 3 3 3" xfId="22316"/>
    <cellStyle name="Normal 7 5 3 3 4" xfId="27972"/>
    <cellStyle name="Normal 7 5 3 4" xfId="5905"/>
    <cellStyle name="Normal 7 5 3 4 2" xfId="7024"/>
    <cellStyle name="Normal 7 5 3 4 2 2" xfId="22319"/>
    <cellStyle name="Normal 7 5 3 4 2 3" xfId="27975"/>
    <cellStyle name="Normal 7 5 3 4 3" xfId="22318"/>
    <cellStyle name="Normal 7 5 3 4 4" xfId="27974"/>
    <cellStyle name="Normal 7 5 3 5" xfId="5024"/>
    <cellStyle name="Normal 7 5 3 5 2" xfId="7025"/>
    <cellStyle name="Normal 7 5 3 5 2 2" xfId="27977"/>
    <cellStyle name="Normal 7 5 3 5 3" xfId="22320"/>
    <cellStyle name="Normal 7 5 3 5 4" xfId="27976"/>
    <cellStyle name="Normal 7 5 3 6" xfId="7018"/>
    <cellStyle name="Normal 7 5 3 6 2" xfId="27978"/>
    <cellStyle name="Normal 7 5 3 7" xfId="22309"/>
    <cellStyle name="Normal 7 5 3 8" xfId="24926"/>
    <cellStyle name="Normal 7 5 3 9" xfId="27963"/>
    <cellStyle name="Normal 7 5 4" xfId="3936"/>
    <cellStyle name="Normal 7 5 4 2" xfId="5597"/>
    <cellStyle name="Normal 7 5 4 2 2" xfId="7026"/>
    <cellStyle name="Normal 7 5 4 2 2 2" xfId="22323"/>
    <cellStyle name="Normal 7 5 4 2 2 3" xfId="27980"/>
    <cellStyle name="Normal 7 5 4 2 3" xfId="22322"/>
    <cellStyle name="Normal 7 5 4 2 4" xfId="27979"/>
    <cellStyle name="Normal 7 5 4 3" xfId="5907"/>
    <cellStyle name="Normal 7 5 4 3 2" xfId="7027"/>
    <cellStyle name="Normal 7 5 4 3 2 2" xfId="22325"/>
    <cellStyle name="Normal 7 5 4 3 2 3" xfId="27982"/>
    <cellStyle name="Normal 7 5 4 3 3" xfId="22324"/>
    <cellStyle name="Normal 7 5 4 3 4" xfId="27981"/>
    <cellStyle name="Normal 7 5 4 4" xfId="5026"/>
    <cellStyle name="Normal 7 5 4 4 2" xfId="7028"/>
    <cellStyle name="Normal 7 5 4 4 2 2" xfId="27984"/>
    <cellStyle name="Normal 7 5 4 4 3" xfId="22326"/>
    <cellStyle name="Normal 7 5 4 4 4" xfId="27983"/>
    <cellStyle name="Normal 7 5 4 5" xfId="22321"/>
    <cellStyle name="Normal 7 5 5" xfId="5590"/>
    <cellStyle name="Normal 7 5 5 2" xfId="7029"/>
    <cellStyle name="Normal 7 5 5 2 2" xfId="22328"/>
    <cellStyle name="Normal 7 5 5 2 3" xfId="27986"/>
    <cellStyle name="Normal 7 5 5 3" xfId="22327"/>
    <cellStyle name="Normal 7 5 5 4" xfId="27985"/>
    <cellStyle name="Normal 7 5 6" xfId="5900"/>
    <cellStyle name="Normal 7 5 6 2" xfId="7030"/>
    <cellStyle name="Normal 7 5 6 2 2" xfId="22330"/>
    <cellStyle name="Normal 7 5 6 2 3" xfId="27988"/>
    <cellStyle name="Normal 7 5 6 3" xfId="22329"/>
    <cellStyle name="Normal 7 5 6 4" xfId="27987"/>
    <cellStyle name="Normal 7 5 7" xfId="5019"/>
    <cellStyle name="Normal 7 5 7 2" xfId="7031"/>
    <cellStyle name="Normal 7 5 7 2 2" xfId="27990"/>
    <cellStyle name="Normal 7 5 7 3" xfId="22331"/>
    <cellStyle name="Normal 7 5 7 4" xfId="27989"/>
    <cellStyle name="Normal 7 5 8" xfId="22284"/>
    <cellStyle name="Normal 7 5 9" xfId="24812"/>
    <cellStyle name="Normal 7 5 9 2" xfId="27991"/>
    <cellStyle name="Normal 7 6" xfId="1076"/>
    <cellStyle name="Normal 7 6 2" xfId="3815"/>
    <cellStyle name="Normal 7 6 2 10" xfId="27992"/>
    <cellStyle name="Normal 7 6 2 2" xfId="4220"/>
    <cellStyle name="Normal 7 6 2 2 2" xfId="5030"/>
    <cellStyle name="Normal 7 6 2 2 2 2" xfId="5601"/>
    <cellStyle name="Normal 7 6 2 2 2 2 2" xfId="7035"/>
    <cellStyle name="Normal 7 6 2 2 2 2 2 2" xfId="22337"/>
    <cellStyle name="Normal 7 6 2 2 2 2 2 3" xfId="27996"/>
    <cellStyle name="Normal 7 6 2 2 2 2 3" xfId="22336"/>
    <cellStyle name="Normal 7 6 2 2 2 2 4" xfId="27995"/>
    <cellStyle name="Normal 7 6 2 2 2 3" xfId="5911"/>
    <cellStyle name="Normal 7 6 2 2 2 3 2" xfId="7036"/>
    <cellStyle name="Normal 7 6 2 2 2 3 2 2" xfId="22339"/>
    <cellStyle name="Normal 7 6 2 2 2 3 2 3" xfId="27998"/>
    <cellStyle name="Normal 7 6 2 2 2 3 3" xfId="22338"/>
    <cellStyle name="Normal 7 6 2 2 2 3 4" xfId="27997"/>
    <cellStyle name="Normal 7 6 2 2 2 4" xfId="7034"/>
    <cellStyle name="Normal 7 6 2 2 2 4 2" xfId="22340"/>
    <cellStyle name="Normal 7 6 2 2 2 4 3" xfId="27999"/>
    <cellStyle name="Normal 7 6 2 2 2 5" xfId="22335"/>
    <cellStyle name="Normal 7 6 2 2 2 6" xfId="27994"/>
    <cellStyle name="Normal 7 6 2 2 3" xfId="5600"/>
    <cellStyle name="Normal 7 6 2 2 3 2" xfId="7037"/>
    <cellStyle name="Normal 7 6 2 2 3 2 2" xfId="22342"/>
    <cellStyle name="Normal 7 6 2 2 3 2 3" xfId="28001"/>
    <cellStyle name="Normal 7 6 2 2 3 3" xfId="22341"/>
    <cellStyle name="Normal 7 6 2 2 3 4" xfId="28000"/>
    <cellStyle name="Normal 7 6 2 2 4" xfId="5910"/>
    <cellStyle name="Normal 7 6 2 2 4 2" xfId="7038"/>
    <cellStyle name="Normal 7 6 2 2 4 2 2" xfId="22344"/>
    <cellStyle name="Normal 7 6 2 2 4 2 3" xfId="28003"/>
    <cellStyle name="Normal 7 6 2 2 4 3" xfId="22343"/>
    <cellStyle name="Normal 7 6 2 2 4 4" xfId="28002"/>
    <cellStyle name="Normal 7 6 2 2 5" xfId="5029"/>
    <cellStyle name="Normal 7 6 2 2 5 2" xfId="7039"/>
    <cellStyle name="Normal 7 6 2 2 5 2 2" xfId="28005"/>
    <cellStyle name="Normal 7 6 2 2 5 3" xfId="22345"/>
    <cellStyle name="Normal 7 6 2 2 5 4" xfId="28004"/>
    <cellStyle name="Normal 7 6 2 2 6" xfId="7033"/>
    <cellStyle name="Normal 7 6 2 2 6 2" xfId="28006"/>
    <cellStyle name="Normal 7 6 2 2 7" xfId="22334"/>
    <cellStyle name="Normal 7 6 2 2 8" xfId="25072"/>
    <cellStyle name="Normal 7 6 2 2 9" xfId="27993"/>
    <cellStyle name="Normal 7 6 2 3" xfId="5031"/>
    <cellStyle name="Normal 7 6 2 3 2" xfId="5602"/>
    <cellStyle name="Normal 7 6 2 3 2 2" xfId="7041"/>
    <cellStyle name="Normal 7 6 2 3 2 2 2" xfId="22348"/>
    <cellStyle name="Normal 7 6 2 3 2 2 3" xfId="28009"/>
    <cellStyle name="Normal 7 6 2 3 2 3" xfId="22347"/>
    <cellStyle name="Normal 7 6 2 3 2 4" xfId="28008"/>
    <cellStyle name="Normal 7 6 2 3 3" xfId="5912"/>
    <cellStyle name="Normal 7 6 2 3 3 2" xfId="7042"/>
    <cellStyle name="Normal 7 6 2 3 3 2 2" xfId="22350"/>
    <cellStyle name="Normal 7 6 2 3 3 2 3" xfId="28011"/>
    <cellStyle name="Normal 7 6 2 3 3 3" xfId="22349"/>
    <cellStyle name="Normal 7 6 2 3 3 4" xfId="28010"/>
    <cellStyle name="Normal 7 6 2 3 4" xfId="7040"/>
    <cellStyle name="Normal 7 6 2 3 4 2" xfId="22351"/>
    <cellStyle name="Normal 7 6 2 3 4 3" xfId="28012"/>
    <cellStyle name="Normal 7 6 2 3 5" xfId="22346"/>
    <cellStyle name="Normal 7 6 2 3 6" xfId="28007"/>
    <cellStyle name="Normal 7 6 2 4" xfId="5599"/>
    <cellStyle name="Normal 7 6 2 4 2" xfId="7043"/>
    <cellStyle name="Normal 7 6 2 4 2 2" xfId="22353"/>
    <cellStyle name="Normal 7 6 2 4 2 3" xfId="28014"/>
    <cellStyle name="Normal 7 6 2 4 3" xfId="22352"/>
    <cellStyle name="Normal 7 6 2 4 4" xfId="28013"/>
    <cellStyle name="Normal 7 6 2 5" xfId="5909"/>
    <cellStyle name="Normal 7 6 2 5 2" xfId="7044"/>
    <cellStyle name="Normal 7 6 2 5 2 2" xfId="22355"/>
    <cellStyle name="Normal 7 6 2 5 2 3" xfId="28016"/>
    <cellStyle name="Normal 7 6 2 5 3" xfId="22354"/>
    <cellStyle name="Normal 7 6 2 5 4" xfId="28015"/>
    <cellStyle name="Normal 7 6 2 6" xfId="5028"/>
    <cellStyle name="Normal 7 6 2 6 2" xfId="7045"/>
    <cellStyle name="Normal 7 6 2 6 2 2" xfId="28018"/>
    <cellStyle name="Normal 7 6 2 6 3" xfId="22356"/>
    <cellStyle name="Normal 7 6 2 6 4" xfId="28017"/>
    <cellStyle name="Normal 7 6 2 7" xfId="7032"/>
    <cellStyle name="Normal 7 6 2 7 2" xfId="28019"/>
    <cellStyle name="Normal 7 6 2 8" xfId="22333"/>
    <cellStyle name="Normal 7 6 2 9" xfId="24952"/>
    <cellStyle name="Normal 7 6 3" xfId="3537"/>
    <cellStyle name="Normal 7 6 3 2" xfId="4199"/>
    <cellStyle name="Normal 7 6 3 2 2" xfId="5604"/>
    <cellStyle name="Normal 7 6 3 2 2 2" xfId="7048"/>
    <cellStyle name="Normal 7 6 3 2 2 2 2" xfId="22360"/>
    <cellStyle name="Normal 7 6 3 2 2 2 3" xfId="28023"/>
    <cellStyle name="Normal 7 6 3 2 2 3" xfId="22359"/>
    <cellStyle name="Normal 7 6 3 2 2 4" xfId="28022"/>
    <cellStyle name="Normal 7 6 3 2 3" xfId="5914"/>
    <cellStyle name="Normal 7 6 3 2 3 2" xfId="7049"/>
    <cellStyle name="Normal 7 6 3 2 3 2 2" xfId="22362"/>
    <cellStyle name="Normal 7 6 3 2 3 2 3" xfId="28025"/>
    <cellStyle name="Normal 7 6 3 2 3 3" xfId="22361"/>
    <cellStyle name="Normal 7 6 3 2 3 4" xfId="28024"/>
    <cellStyle name="Normal 7 6 3 2 4" xfId="5033"/>
    <cellStyle name="Normal 7 6 3 2 4 2" xfId="7050"/>
    <cellStyle name="Normal 7 6 3 2 4 2 2" xfId="28027"/>
    <cellStyle name="Normal 7 6 3 2 4 3" xfId="22363"/>
    <cellStyle name="Normal 7 6 3 2 4 4" xfId="28026"/>
    <cellStyle name="Normal 7 6 3 2 5" xfId="7047"/>
    <cellStyle name="Normal 7 6 3 2 5 2" xfId="28028"/>
    <cellStyle name="Normal 7 6 3 2 6" xfId="22358"/>
    <cellStyle name="Normal 7 6 3 2 7" xfId="25051"/>
    <cellStyle name="Normal 7 6 3 2 8" xfId="28021"/>
    <cellStyle name="Normal 7 6 3 3" xfId="5603"/>
    <cellStyle name="Normal 7 6 3 3 2" xfId="7051"/>
    <cellStyle name="Normal 7 6 3 3 2 2" xfId="22365"/>
    <cellStyle name="Normal 7 6 3 3 2 3" xfId="28030"/>
    <cellStyle name="Normal 7 6 3 3 3" xfId="22364"/>
    <cellStyle name="Normal 7 6 3 3 4" xfId="28029"/>
    <cellStyle name="Normal 7 6 3 4" xfId="5913"/>
    <cellStyle name="Normal 7 6 3 4 2" xfId="7052"/>
    <cellStyle name="Normal 7 6 3 4 2 2" xfId="22367"/>
    <cellStyle name="Normal 7 6 3 4 2 3" xfId="28032"/>
    <cellStyle name="Normal 7 6 3 4 3" xfId="22366"/>
    <cellStyle name="Normal 7 6 3 4 4" xfId="28031"/>
    <cellStyle name="Normal 7 6 3 5" xfId="5032"/>
    <cellStyle name="Normal 7 6 3 5 2" xfId="7053"/>
    <cellStyle name="Normal 7 6 3 5 2 2" xfId="28034"/>
    <cellStyle name="Normal 7 6 3 5 3" xfId="22368"/>
    <cellStyle name="Normal 7 6 3 5 4" xfId="28033"/>
    <cellStyle name="Normal 7 6 3 6" xfId="7046"/>
    <cellStyle name="Normal 7 6 3 6 2" xfId="28035"/>
    <cellStyle name="Normal 7 6 3 7" xfId="22357"/>
    <cellStyle name="Normal 7 6 3 8" xfId="24931"/>
    <cellStyle name="Normal 7 6 3 9" xfId="28020"/>
    <cellStyle name="Normal 7 6 4" xfId="3946"/>
    <cellStyle name="Normal 7 6 4 2" xfId="5605"/>
    <cellStyle name="Normal 7 6 4 2 2" xfId="7054"/>
    <cellStyle name="Normal 7 6 4 2 2 2" xfId="22371"/>
    <cellStyle name="Normal 7 6 4 2 2 3" xfId="28037"/>
    <cellStyle name="Normal 7 6 4 2 3" xfId="22370"/>
    <cellStyle name="Normal 7 6 4 2 4" xfId="28036"/>
    <cellStyle name="Normal 7 6 4 3" xfId="5915"/>
    <cellStyle name="Normal 7 6 4 3 2" xfId="7055"/>
    <cellStyle name="Normal 7 6 4 3 2 2" xfId="22373"/>
    <cellStyle name="Normal 7 6 4 3 2 3" xfId="28039"/>
    <cellStyle name="Normal 7 6 4 3 3" xfId="22372"/>
    <cellStyle name="Normal 7 6 4 3 4" xfId="28038"/>
    <cellStyle name="Normal 7 6 4 4" xfId="5034"/>
    <cellStyle name="Normal 7 6 4 4 2" xfId="7056"/>
    <cellStyle name="Normal 7 6 4 4 2 2" xfId="28041"/>
    <cellStyle name="Normal 7 6 4 4 3" xfId="22374"/>
    <cellStyle name="Normal 7 6 4 4 4" xfId="28040"/>
    <cellStyle name="Normal 7 6 4 5" xfId="22369"/>
    <cellStyle name="Normal 7 6 5" xfId="5598"/>
    <cellStyle name="Normal 7 6 5 2" xfId="7057"/>
    <cellStyle name="Normal 7 6 5 2 2" xfId="22376"/>
    <cellStyle name="Normal 7 6 5 2 3" xfId="28043"/>
    <cellStyle name="Normal 7 6 5 3" xfId="22375"/>
    <cellStyle name="Normal 7 6 5 4" xfId="28042"/>
    <cellStyle name="Normal 7 6 6" xfId="5908"/>
    <cellStyle name="Normal 7 6 6 2" xfId="7058"/>
    <cellStyle name="Normal 7 6 6 2 2" xfId="22378"/>
    <cellStyle name="Normal 7 6 6 2 3" xfId="28045"/>
    <cellStyle name="Normal 7 6 6 3" xfId="22377"/>
    <cellStyle name="Normal 7 6 6 4" xfId="28044"/>
    <cellStyle name="Normal 7 6 7" xfId="5027"/>
    <cellStyle name="Normal 7 6 7 2" xfId="7059"/>
    <cellStyle name="Normal 7 6 7 2 2" xfId="28047"/>
    <cellStyle name="Normal 7 6 7 3" xfId="22379"/>
    <cellStyle name="Normal 7 6 7 4" xfId="28046"/>
    <cellStyle name="Normal 7 6 8" xfId="22332"/>
    <cellStyle name="Normal 7 6 9" xfId="24813"/>
    <cellStyle name="Normal 7 7" xfId="1086"/>
    <cellStyle name="Normal 7 7 2" xfId="3674"/>
    <cellStyle name="Normal 7 7 2 2" xfId="4205"/>
    <cellStyle name="Normal 7 7 2 2 2" xfId="5608"/>
    <cellStyle name="Normal 7 7 2 2 2 2" xfId="7062"/>
    <cellStyle name="Normal 7 7 2 2 2 2 2" xfId="22384"/>
    <cellStyle name="Normal 7 7 2 2 2 2 3" xfId="28051"/>
    <cellStyle name="Normal 7 7 2 2 2 3" xfId="22383"/>
    <cellStyle name="Normal 7 7 2 2 2 4" xfId="28050"/>
    <cellStyle name="Normal 7 7 2 2 3" xfId="5918"/>
    <cellStyle name="Normal 7 7 2 2 3 2" xfId="7063"/>
    <cellStyle name="Normal 7 7 2 2 3 2 2" xfId="22386"/>
    <cellStyle name="Normal 7 7 2 2 3 2 3" xfId="28053"/>
    <cellStyle name="Normal 7 7 2 2 3 3" xfId="22385"/>
    <cellStyle name="Normal 7 7 2 2 3 4" xfId="28052"/>
    <cellStyle name="Normal 7 7 2 2 4" xfId="5037"/>
    <cellStyle name="Normal 7 7 2 2 4 2" xfId="7064"/>
    <cellStyle name="Normal 7 7 2 2 4 2 2" xfId="28055"/>
    <cellStyle name="Normal 7 7 2 2 4 3" xfId="22387"/>
    <cellStyle name="Normal 7 7 2 2 4 4" xfId="28054"/>
    <cellStyle name="Normal 7 7 2 2 5" xfId="7061"/>
    <cellStyle name="Normal 7 7 2 2 5 2" xfId="28056"/>
    <cellStyle name="Normal 7 7 2 2 6" xfId="22382"/>
    <cellStyle name="Normal 7 7 2 2 7" xfId="25057"/>
    <cellStyle name="Normal 7 7 2 2 8" xfId="28049"/>
    <cellStyle name="Normal 7 7 2 3" xfId="5607"/>
    <cellStyle name="Normal 7 7 2 3 2" xfId="7065"/>
    <cellStyle name="Normal 7 7 2 3 2 2" xfId="22389"/>
    <cellStyle name="Normal 7 7 2 3 2 3" xfId="28058"/>
    <cellStyle name="Normal 7 7 2 3 3" xfId="22388"/>
    <cellStyle name="Normal 7 7 2 3 4" xfId="28057"/>
    <cellStyle name="Normal 7 7 2 4" xfId="5917"/>
    <cellStyle name="Normal 7 7 2 4 2" xfId="7066"/>
    <cellStyle name="Normal 7 7 2 4 2 2" xfId="22391"/>
    <cellStyle name="Normal 7 7 2 4 2 3" xfId="28060"/>
    <cellStyle name="Normal 7 7 2 4 3" xfId="22390"/>
    <cellStyle name="Normal 7 7 2 4 4" xfId="28059"/>
    <cellStyle name="Normal 7 7 2 5" xfId="5036"/>
    <cellStyle name="Normal 7 7 2 5 2" xfId="7067"/>
    <cellStyle name="Normal 7 7 2 5 2 2" xfId="28062"/>
    <cellStyle name="Normal 7 7 2 5 3" xfId="22392"/>
    <cellStyle name="Normal 7 7 2 5 4" xfId="28061"/>
    <cellStyle name="Normal 7 7 2 6" xfId="7060"/>
    <cellStyle name="Normal 7 7 2 6 2" xfId="28063"/>
    <cellStyle name="Normal 7 7 2 7" xfId="22381"/>
    <cellStyle name="Normal 7 7 2 8" xfId="24937"/>
    <cellStyle name="Normal 7 7 2 9" xfId="28048"/>
    <cellStyle name="Normal 7 7 3" xfId="3956"/>
    <cellStyle name="Normal 7 7 3 2" xfId="5609"/>
    <cellStyle name="Normal 7 7 3 2 2" xfId="7068"/>
    <cellStyle name="Normal 7 7 3 2 2 2" xfId="22395"/>
    <cellStyle name="Normal 7 7 3 2 2 3" xfId="28065"/>
    <cellStyle name="Normal 7 7 3 2 3" xfId="22394"/>
    <cellStyle name="Normal 7 7 3 2 4" xfId="28064"/>
    <cellStyle name="Normal 7 7 3 3" xfId="5919"/>
    <cellStyle name="Normal 7 7 3 3 2" xfId="7069"/>
    <cellStyle name="Normal 7 7 3 3 2 2" xfId="22397"/>
    <cellStyle name="Normal 7 7 3 3 2 3" xfId="28067"/>
    <cellStyle name="Normal 7 7 3 3 3" xfId="22396"/>
    <cellStyle name="Normal 7 7 3 3 4" xfId="28066"/>
    <cellStyle name="Normal 7 7 3 4" xfId="5038"/>
    <cellStyle name="Normal 7 7 3 4 2" xfId="7070"/>
    <cellStyle name="Normal 7 7 3 4 2 2" xfId="28069"/>
    <cellStyle name="Normal 7 7 3 4 3" xfId="22398"/>
    <cellStyle name="Normal 7 7 3 4 4" xfId="28068"/>
    <cellStyle name="Normal 7 7 3 5" xfId="22393"/>
    <cellStyle name="Normal 7 7 4" xfId="5606"/>
    <cellStyle name="Normal 7 7 4 2" xfId="7071"/>
    <cellStyle name="Normal 7 7 4 2 2" xfId="22400"/>
    <cellStyle name="Normal 7 7 4 2 3" xfId="28071"/>
    <cellStyle name="Normal 7 7 4 3" xfId="22399"/>
    <cellStyle name="Normal 7 7 4 4" xfId="28070"/>
    <cellStyle name="Normal 7 7 5" xfId="5916"/>
    <cellStyle name="Normal 7 7 5 2" xfId="7072"/>
    <cellStyle name="Normal 7 7 5 2 2" xfId="22402"/>
    <cellStyle name="Normal 7 7 5 2 3" xfId="28073"/>
    <cellStyle name="Normal 7 7 5 3" xfId="22401"/>
    <cellStyle name="Normal 7 7 5 4" xfId="28072"/>
    <cellStyle name="Normal 7 7 6" xfId="5035"/>
    <cellStyle name="Normal 7 7 6 2" xfId="7073"/>
    <cellStyle name="Normal 7 7 6 2 2" xfId="28075"/>
    <cellStyle name="Normal 7 7 6 3" xfId="22403"/>
    <cellStyle name="Normal 7 7 6 4" xfId="28074"/>
    <cellStyle name="Normal 7 7 7" xfId="22380"/>
    <cellStyle name="Normal 7 7 8" xfId="24814"/>
    <cellStyle name="Normal 7 7 8 2" xfId="28076"/>
    <cellStyle name="Normal 7 8" xfId="1096"/>
    <cellStyle name="Normal 7 8 2" xfId="3966"/>
    <cellStyle name="Normal 7 8 2 2" xfId="5611"/>
    <cellStyle name="Normal 7 8 2 2 2" xfId="7074"/>
    <cellStyle name="Normal 7 8 2 2 2 2" xfId="22407"/>
    <cellStyle name="Normal 7 8 2 2 2 3" xfId="28078"/>
    <cellStyle name="Normal 7 8 2 2 3" xfId="22406"/>
    <cellStyle name="Normal 7 8 2 2 4" xfId="28077"/>
    <cellStyle name="Normal 7 8 2 3" xfId="5921"/>
    <cellStyle name="Normal 7 8 2 3 2" xfId="7075"/>
    <cellStyle name="Normal 7 8 2 3 2 2" xfId="22409"/>
    <cellStyle name="Normal 7 8 2 3 2 3" xfId="28080"/>
    <cellStyle name="Normal 7 8 2 3 3" xfId="22408"/>
    <cellStyle name="Normal 7 8 2 3 4" xfId="28079"/>
    <cellStyle name="Normal 7 8 2 4" xfId="5040"/>
    <cellStyle name="Normal 7 8 2 4 2" xfId="7076"/>
    <cellStyle name="Normal 7 8 2 4 2 2" xfId="28082"/>
    <cellStyle name="Normal 7 8 2 4 3" xfId="22410"/>
    <cellStyle name="Normal 7 8 2 4 4" xfId="28081"/>
    <cellStyle name="Normal 7 8 2 5" xfId="22405"/>
    <cellStyle name="Normal 7 8 3" xfId="5041"/>
    <cellStyle name="Normal 7 8 3 2" xfId="5612"/>
    <cellStyle name="Normal 7 8 3 2 2" xfId="7078"/>
    <cellStyle name="Normal 7 8 3 2 2 2" xfId="28085"/>
    <cellStyle name="Normal 7 8 3 2 3" xfId="22412"/>
    <cellStyle name="Normal 7 8 3 2 4" xfId="28084"/>
    <cellStyle name="Normal 7 8 3 3" xfId="5922"/>
    <cellStyle name="Normal 7 8 3 3 2" xfId="7079"/>
    <cellStyle name="Normal 7 8 3 3 2 2" xfId="28087"/>
    <cellStyle name="Normal 7 8 3 3 3" xfId="28086"/>
    <cellStyle name="Normal 7 8 3 4" xfId="7077"/>
    <cellStyle name="Normal 7 8 3 4 2" xfId="28088"/>
    <cellStyle name="Normal 7 8 3 5" xfId="22411"/>
    <cellStyle name="Normal 7 8 3 6" xfId="28083"/>
    <cellStyle name="Normal 7 8 4" xfId="5610"/>
    <cellStyle name="Normal 7 8 4 2" xfId="7080"/>
    <cellStyle name="Normal 7 8 4 2 2" xfId="22414"/>
    <cellStyle name="Normal 7 8 4 2 3" xfId="28090"/>
    <cellStyle name="Normal 7 8 4 3" xfId="22413"/>
    <cellStyle name="Normal 7 8 4 4" xfId="28089"/>
    <cellStyle name="Normal 7 8 5" xfId="5920"/>
    <cellStyle name="Normal 7 8 5 2" xfId="7081"/>
    <cellStyle name="Normal 7 8 5 2 2" xfId="28092"/>
    <cellStyle name="Normal 7 8 5 3" xfId="22415"/>
    <cellStyle name="Normal 7 8 5 4" xfId="28091"/>
    <cellStyle name="Normal 7 8 6" xfId="5039"/>
    <cellStyle name="Normal 7 8 6 2" xfId="7082"/>
    <cellStyle name="Normal 7 8 6 2 2" xfId="28094"/>
    <cellStyle name="Normal 7 8 6 3" xfId="28093"/>
    <cellStyle name="Normal 7 8 7" xfId="22404"/>
    <cellStyle name="Normal 7 9" xfId="1106"/>
    <cellStyle name="Normal 7 9 2" xfId="3976"/>
    <cellStyle name="Normal 7 9 2 2" xfId="5613"/>
    <cellStyle name="Normal 7 9 2 2 2" xfId="7083"/>
    <cellStyle name="Normal 7 9 2 2 2 2" xfId="22419"/>
    <cellStyle name="Normal 7 9 2 2 2 3" xfId="28096"/>
    <cellStyle name="Normal 7 9 2 2 3" xfId="22418"/>
    <cellStyle name="Normal 7 9 2 2 4" xfId="28095"/>
    <cellStyle name="Normal 7 9 2 3" xfId="22420"/>
    <cellStyle name="Normal 7 9 2 3 2" xfId="22421"/>
    <cellStyle name="Normal 7 9 2 4" xfId="22422"/>
    <cellStyle name="Normal 7 9 2 5" xfId="22417"/>
    <cellStyle name="Normal 7 9 3" xfId="5923"/>
    <cellStyle name="Normal 7 9 3 2" xfId="7084"/>
    <cellStyle name="Normal 7 9 3 2 2" xfId="22424"/>
    <cellStyle name="Normal 7 9 3 2 3" xfId="28098"/>
    <cellStyle name="Normal 7 9 3 3" xfId="22423"/>
    <cellStyle name="Normal 7 9 3 4" xfId="28097"/>
    <cellStyle name="Normal 7 9 4" xfId="5042"/>
    <cellStyle name="Normal 7 9 4 2" xfId="7085"/>
    <cellStyle name="Normal 7 9 4 2 2" xfId="22426"/>
    <cellStyle name="Normal 7 9 4 2 3" xfId="28100"/>
    <cellStyle name="Normal 7 9 4 3" xfId="22425"/>
    <cellStyle name="Normal 7 9 4 4" xfId="28099"/>
    <cellStyle name="Normal 7 9 5" xfId="22427"/>
    <cellStyle name="Normal 7 9 6" xfId="22416"/>
    <cellStyle name="Normal 8" xfId="907"/>
    <cellStyle name="Normal 8 10" xfId="1123"/>
    <cellStyle name="Normal 8 10 2" xfId="3993"/>
    <cellStyle name="Normal 8 11" xfId="1133"/>
    <cellStyle name="Normal 8 11 2" xfId="4003"/>
    <cellStyle name="Normal 8 12" xfId="1143"/>
    <cellStyle name="Normal 8 12 2" xfId="4013"/>
    <cellStyle name="Normal 8 13" xfId="1153"/>
    <cellStyle name="Normal 8 13 2" xfId="4023"/>
    <cellStyle name="Normal 8 14" xfId="1163"/>
    <cellStyle name="Normal 8 14 2" xfId="4033"/>
    <cellStyle name="Normal 8 15" xfId="1173"/>
    <cellStyle name="Normal 8 15 2" xfId="4043"/>
    <cellStyle name="Normal 8 16" xfId="1183"/>
    <cellStyle name="Normal 8 16 2" xfId="4053"/>
    <cellStyle name="Normal 8 17" xfId="1193"/>
    <cellStyle name="Normal 8 17 2" xfId="4063"/>
    <cellStyle name="Normal 8 18" xfId="1203"/>
    <cellStyle name="Normal 8 18 2" xfId="4073"/>
    <cellStyle name="Normal 8 19" xfId="1213"/>
    <cellStyle name="Normal 8 19 2" xfId="4083"/>
    <cellStyle name="Normal 8 2" xfId="1041"/>
    <cellStyle name="Normal 8 2 2" xfId="1447"/>
    <cellStyle name="Normal 8 2 2 2" xfId="24815"/>
    <cellStyle name="Normal 8 2 2 2 2" xfId="28101"/>
    <cellStyle name="Normal 8 2 3" xfId="3908"/>
    <cellStyle name="Normal 8 2 3 2" xfId="24816"/>
    <cellStyle name="Normal 8 2 3 2 2" xfId="28102"/>
    <cellStyle name="Normal 8 2 4" xfId="24817"/>
    <cellStyle name="Normal 8 2 4 2" xfId="28103"/>
    <cellStyle name="Normal 8 2 5" xfId="24818"/>
    <cellStyle name="Normal 8 2 6" xfId="24819"/>
    <cellStyle name="Normal 8 2 6 2" xfId="28104"/>
    <cellStyle name="Normal 8 2 7" xfId="24549"/>
    <cellStyle name="Normal 8 20" xfId="1223"/>
    <cellStyle name="Normal 8 20 2" xfId="4093"/>
    <cellStyle name="Normal 8 21" xfId="1233"/>
    <cellStyle name="Normal 8 21 2" xfId="4103"/>
    <cellStyle name="Normal 8 22" xfId="1243"/>
    <cellStyle name="Normal 8 22 2" xfId="4113"/>
    <cellStyle name="Normal 8 23" xfId="1253"/>
    <cellStyle name="Normal 8 23 2" xfId="4123"/>
    <cellStyle name="Normal 8 24" xfId="1262"/>
    <cellStyle name="Normal 8 24 2" xfId="4132"/>
    <cellStyle name="Normal 8 25" xfId="1269"/>
    <cellStyle name="Normal 8 25 2" xfId="4139"/>
    <cellStyle name="Normal 8 26" xfId="24548"/>
    <cellStyle name="Normal 8 3" xfId="1053"/>
    <cellStyle name="Normal 8 3 2" xfId="1574"/>
    <cellStyle name="Normal 8 3 3" xfId="3923"/>
    <cellStyle name="Normal 8 3 4" xfId="24820"/>
    <cellStyle name="Normal 8 3 4 2" xfId="28105"/>
    <cellStyle name="Normal 8 4" xfId="1063"/>
    <cellStyle name="Normal 8 4 2" xfId="3538"/>
    <cellStyle name="Normal 8 4 3" xfId="3933"/>
    <cellStyle name="Normal 8 4 4" xfId="24821"/>
    <cellStyle name="Normal 8 4 4 2" xfId="28106"/>
    <cellStyle name="Normal 8 5" xfId="1073"/>
    <cellStyle name="Normal 8 5 2" xfId="3943"/>
    <cellStyle name="Normal 8 5 2 2" xfId="22429"/>
    <cellStyle name="Normal 8 5 2 3" xfId="22428"/>
    <cellStyle name="Normal 8 5 3" xfId="5043"/>
    <cellStyle name="Normal 8 5 4" xfId="24822"/>
    <cellStyle name="Normal 8 5 4 2" xfId="28107"/>
    <cellStyle name="Normal 8 6" xfId="1083"/>
    <cellStyle name="Normal 8 6 2" xfId="3953"/>
    <cellStyle name="Normal 8 6 2 2" xfId="22432"/>
    <cellStyle name="Normal 8 6 2 2 2" xfId="22433"/>
    <cellStyle name="Normal 8 6 2 3" xfId="22434"/>
    <cellStyle name="Normal 8 6 2 3 2" xfId="22435"/>
    <cellStyle name="Normal 8 6 2 4" xfId="22436"/>
    <cellStyle name="Normal 8 6 2 5" xfId="22431"/>
    <cellStyle name="Normal 8 6 3" xfId="22437"/>
    <cellStyle name="Normal 8 6 3 2" xfId="22438"/>
    <cellStyle name="Normal 8 6 4" xfId="22439"/>
    <cellStyle name="Normal 8 6 4 2" xfId="22440"/>
    <cellStyle name="Normal 8 6 5" xfId="22441"/>
    <cellStyle name="Normal 8 6 6" xfId="22430"/>
    <cellStyle name="Normal 8 6 7" xfId="24823"/>
    <cellStyle name="Normal 8 7" xfId="1093"/>
    <cellStyle name="Normal 8 7 2" xfId="3963"/>
    <cellStyle name="Normal 8 7 3" xfId="24824"/>
    <cellStyle name="Normal 8 7 3 2" xfId="28108"/>
    <cellStyle name="Normal 8 8" xfId="1103"/>
    <cellStyle name="Normal 8 8 2" xfId="3973"/>
    <cellStyle name="Normal 8 9" xfId="1113"/>
    <cellStyle name="Normal 8 9 2" xfId="3983"/>
    <cellStyle name="Normal 9" xfId="908"/>
    <cellStyle name="Normal 9 10" xfId="1125"/>
    <cellStyle name="Normal 9 10 2" xfId="3995"/>
    <cellStyle name="Normal 9 11" xfId="1135"/>
    <cellStyle name="Normal 9 11 2" xfId="4005"/>
    <cellStyle name="Normal 9 12" xfId="1145"/>
    <cellStyle name="Normal 9 12 2" xfId="4015"/>
    <cellStyle name="Normal 9 13" xfId="1154"/>
    <cellStyle name="Normal 9 13 2" xfId="4024"/>
    <cellStyle name="Normal 9 14" xfId="1165"/>
    <cellStyle name="Normal 9 14 2" xfId="4035"/>
    <cellStyle name="Normal 9 15" xfId="1175"/>
    <cellStyle name="Normal 9 15 2" xfId="4045"/>
    <cellStyle name="Normal 9 16" xfId="1185"/>
    <cellStyle name="Normal 9 16 2" xfId="4055"/>
    <cellStyle name="Normal 9 17" xfId="1195"/>
    <cellStyle name="Normal 9 17 2" xfId="4065"/>
    <cellStyle name="Normal 9 18" xfId="1205"/>
    <cellStyle name="Normal 9 18 2" xfId="4075"/>
    <cellStyle name="Normal 9 19" xfId="1215"/>
    <cellStyle name="Normal 9 19 2" xfId="4085"/>
    <cellStyle name="Normal 9 2" xfId="1042"/>
    <cellStyle name="Normal 9 2 2" xfId="1492"/>
    <cellStyle name="Normal 9 2 2 2" xfId="22442"/>
    <cellStyle name="Normal 9 2 3" xfId="3910"/>
    <cellStyle name="Normal 9 2 4" xfId="24825"/>
    <cellStyle name="Normal 9 2 4 2" xfId="28109"/>
    <cellStyle name="Normal 9 20" xfId="1225"/>
    <cellStyle name="Normal 9 20 2" xfId="4095"/>
    <cellStyle name="Normal 9 21" xfId="1235"/>
    <cellStyle name="Normal 9 21 2" xfId="4105"/>
    <cellStyle name="Normal 9 22" xfId="1245"/>
    <cellStyle name="Normal 9 22 2" xfId="4115"/>
    <cellStyle name="Normal 9 23" xfId="1255"/>
    <cellStyle name="Normal 9 23 2" xfId="4125"/>
    <cellStyle name="Normal 9 24" xfId="1264"/>
    <cellStyle name="Normal 9 24 2" xfId="4134"/>
    <cellStyle name="Normal 9 25" xfId="1270"/>
    <cellStyle name="Normal 9 25 2" xfId="4140"/>
    <cellStyle name="Normal 9 26" xfId="24550"/>
    <cellStyle name="Normal 9 26 2" xfId="28110"/>
    <cellStyle name="Normal 9 3" xfId="1055"/>
    <cellStyle name="Normal 9 3 2" xfId="1617"/>
    <cellStyle name="Normal 9 3 2 2" xfId="22443"/>
    <cellStyle name="Normal 9 3 3" xfId="3925"/>
    <cellStyle name="Normal 9 3 4" xfId="24826"/>
    <cellStyle name="Normal 9 3 4 2" xfId="28111"/>
    <cellStyle name="Normal 9 4" xfId="1065"/>
    <cellStyle name="Normal 9 4 2" xfId="3581"/>
    <cellStyle name="Normal 9 4 2 2" xfId="22444"/>
    <cellStyle name="Normal 9 4 3" xfId="3935"/>
    <cellStyle name="Normal 9 4 4" xfId="24827"/>
    <cellStyle name="Normal 9 4 4 2" xfId="28112"/>
    <cellStyle name="Normal 9 5" xfId="1075"/>
    <cellStyle name="Normal 9 5 2" xfId="3945"/>
    <cellStyle name="Normal 9 5 2 2" xfId="22446"/>
    <cellStyle name="Normal 9 5 2 3" xfId="22445"/>
    <cellStyle name="Normal 9 5 3" xfId="5044"/>
    <cellStyle name="Normal 9 6" xfId="1085"/>
    <cellStyle name="Normal 9 6 2" xfId="3955"/>
    <cellStyle name="Normal 9 6 2 2" xfId="22448"/>
    <cellStyle name="Normal 9 6 3" xfId="22447"/>
    <cellStyle name="Normal 9 7" xfId="1095"/>
    <cellStyle name="Normal 9 7 2" xfId="3965"/>
    <cellStyle name="Normal 9 8" xfId="1105"/>
    <cellStyle name="Normal 9 8 2" xfId="3975"/>
    <cellStyle name="Normal 9 9" xfId="1115"/>
    <cellStyle name="Normal 9 9 2" xfId="3985"/>
    <cellStyle name="Normal_ELTD1200" xfId="13"/>
    <cellStyle name="Normal_GSUs" xfId="14"/>
    <cellStyle name="Normal_Schedule 10" xfId="15"/>
    <cellStyle name="Normal_Schedule 7" xfId="16"/>
    <cellStyle name="Note 10" xfId="784"/>
    <cellStyle name="Note 10 2" xfId="22450"/>
    <cellStyle name="Note 10 2 2" xfId="22451"/>
    <cellStyle name="Note 10 2 2 2" xfId="22452"/>
    <cellStyle name="Note 10 2 2 2 2" xfId="22453"/>
    <cellStyle name="Note 10 2 2 3" xfId="22454"/>
    <cellStyle name="Note 10 2 2 3 2" xfId="22455"/>
    <cellStyle name="Note 10 2 2 4" xfId="22456"/>
    <cellStyle name="Note 10 2 3" xfId="22457"/>
    <cellStyle name="Note 10 2 3 2" xfId="22458"/>
    <cellStyle name="Note 10 2 4" xfId="22459"/>
    <cellStyle name="Note 10 2 4 2" xfId="22460"/>
    <cellStyle name="Note 10 2 5" xfId="22461"/>
    <cellStyle name="Note 10 3" xfId="22462"/>
    <cellStyle name="Note 10 4" xfId="22449"/>
    <cellStyle name="Note 11" xfId="785"/>
    <cellStyle name="Note 11 2" xfId="22464"/>
    <cellStyle name="Note 11 2 2" xfId="22465"/>
    <cellStyle name="Note 11 3" xfId="22466"/>
    <cellStyle name="Note 11 4" xfId="22463"/>
    <cellStyle name="Note 12" xfId="909"/>
    <cellStyle name="Note 12 2" xfId="22468"/>
    <cellStyle name="Note 12 2 2" xfId="22469"/>
    <cellStyle name="Note 12 2 2 2" xfId="22470"/>
    <cellStyle name="Note 12 2 3" xfId="22471"/>
    <cellStyle name="Note 12 2 3 2" xfId="22472"/>
    <cellStyle name="Note 12 2 4" xfId="22473"/>
    <cellStyle name="Note 12 3" xfId="22474"/>
    <cellStyle name="Note 12 3 2" xfId="22475"/>
    <cellStyle name="Note 12 4" xfId="22476"/>
    <cellStyle name="Note 12 4 2" xfId="22477"/>
    <cellStyle name="Note 12 5" xfId="22478"/>
    <cellStyle name="Note 12 6" xfId="22467"/>
    <cellStyle name="Note 13" xfId="910"/>
    <cellStyle name="Note 13 2" xfId="3857"/>
    <cellStyle name="Note 13 2 2" xfId="7087"/>
    <cellStyle name="Note 13 2 2 2" xfId="22482"/>
    <cellStyle name="Note 13 2 2 3" xfId="22481"/>
    <cellStyle name="Note 13 2 2 4" xfId="28115"/>
    <cellStyle name="Note 13 2 3" xfId="22483"/>
    <cellStyle name="Note 13 2 3 2" xfId="22484"/>
    <cellStyle name="Note 13 2 4" xfId="22485"/>
    <cellStyle name="Note 13 2 5" xfId="22480"/>
    <cellStyle name="Note 13 2 6" xfId="24993"/>
    <cellStyle name="Note 13 2 7" xfId="28114"/>
    <cellStyle name="Note 13 3" xfId="7086"/>
    <cellStyle name="Note 13 3 2" xfId="22487"/>
    <cellStyle name="Note 13 3 3" xfId="22486"/>
    <cellStyle name="Note 13 3 4" xfId="28116"/>
    <cellStyle name="Note 13 4" xfId="22488"/>
    <cellStyle name="Note 13 4 2" xfId="22489"/>
    <cellStyle name="Note 13 5" xfId="22490"/>
    <cellStyle name="Note 13 6" xfId="22479"/>
    <cellStyle name="Note 13 7" xfId="24872"/>
    <cellStyle name="Note 13 8" xfId="28113"/>
    <cellStyle name="Note 14" xfId="994"/>
    <cellStyle name="Note 2" xfId="105"/>
    <cellStyle name="Note 2 10" xfId="3530"/>
    <cellStyle name="Note 2 10 2" xfId="22493"/>
    <cellStyle name="Note 2 10 2 2" xfId="22494"/>
    <cellStyle name="Note 2 10 3" xfId="22495"/>
    <cellStyle name="Note 2 10 3 2" xfId="22496"/>
    <cellStyle name="Note 2 10 4" xfId="22497"/>
    <cellStyle name="Note 2 10 4 2" xfId="22498"/>
    <cellStyle name="Note 2 10 5" xfId="22499"/>
    <cellStyle name="Note 2 10 6" xfId="22492"/>
    <cellStyle name="Note 2 11" xfId="22500"/>
    <cellStyle name="Note 2 11 2" xfId="22501"/>
    <cellStyle name="Note 2 11 2 2" xfId="22502"/>
    <cellStyle name="Note 2 11 3" xfId="22503"/>
    <cellStyle name="Note 2 11 3 2" xfId="22504"/>
    <cellStyle name="Note 2 11 4" xfId="22505"/>
    <cellStyle name="Note 2 12" xfId="22506"/>
    <cellStyle name="Note 2 12 2" xfId="22507"/>
    <cellStyle name="Note 2 12 2 2" xfId="22508"/>
    <cellStyle name="Note 2 12 3" xfId="22509"/>
    <cellStyle name="Note 2 12 3 2" xfId="22510"/>
    <cellStyle name="Note 2 12 4" xfId="22511"/>
    <cellStyle name="Note 2 13" xfId="22512"/>
    <cellStyle name="Note 2 13 2" xfId="22513"/>
    <cellStyle name="Note 2 13 2 2" xfId="22514"/>
    <cellStyle name="Note 2 13 3" xfId="22515"/>
    <cellStyle name="Note 2 13 3 2" xfId="22516"/>
    <cellStyle name="Note 2 13 4" xfId="22517"/>
    <cellStyle name="Note 2 14" xfId="22518"/>
    <cellStyle name="Note 2 14 2" xfId="22519"/>
    <cellStyle name="Note 2 14 2 2" xfId="22520"/>
    <cellStyle name="Note 2 14 3" xfId="22521"/>
    <cellStyle name="Note 2 14 3 2" xfId="22522"/>
    <cellStyle name="Note 2 14 4" xfId="22523"/>
    <cellStyle name="Note 2 15" xfId="22524"/>
    <cellStyle name="Note 2 15 2" xfId="22525"/>
    <cellStyle name="Note 2 16" xfId="22526"/>
    <cellStyle name="Note 2 16 2" xfId="22527"/>
    <cellStyle name="Note 2 17" xfId="22528"/>
    <cellStyle name="Note 2 17 2" xfId="22529"/>
    <cellStyle name="Note 2 17 2 2" xfId="22530"/>
    <cellStyle name="Note 2 17 2 2 2" xfId="22531"/>
    <cellStyle name="Note 2 17 2 3" xfId="22532"/>
    <cellStyle name="Note 2 17 2 3 2" xfId="22533"/>
    <cellStyle name="Note 2 17 2 4" xfId="22534"/>
    <cellStyle name="Note 2 17 3" xfId="22535"/>
    <cellStyle name="Note 2 17 3 2" xfId="22536"/>
    <cellStyle name="Note 2 17 4" xfId="22537"/>
    <cellStyle name="Note 2 17 4 2" xfId="22538"/>
    <cellStyle name="Note 2 17 5" xfId="22539"/>
    <cellStyle name="Note 2 18" xfId="22540"/>
    <cellStyle name="Note 2 18 2" xfId="22541"/>
    <cellStyle name="Note 2 19" xfId="22542"/>
    <cellStyle name="Note 2 19 2" xfId="22543"/>
    <cellStyle name="Note 2 19 2 2" xfId="22544"/>
    <cellStyle name="Note 2 19 2 2 2" xfId="22545"/>
    <cellStyle name="Note 2 19 2 3" xfId="22546"/>
    <cellStyle name="Note 2 19 2 3 2" xfId="22547"/>
    <cellStyle name="Note 2 19 2 4" xfId="22548"/>
    <cellStyle name="Note 2 19 3" xfId="22549"/>
    <cellStyle name="Note 2 19 3 2" xfId="22550"/>
    <cellStyle name="Note 2 19 4" xfId="22551"/>
    <cellStyle name="Note 2 19 4 2" xfId="22552"/>
    <cellStyle name="Note 2 19 5" xfId="22553"/>
    <cellStyle name="Note 2 2" xfId="167"/>
    <cellStyle name="Note 2 2 10" xfId="22555"/>
    <cellStyle name="Note 2 2 10 2" xfId="22556"/>
    <cellStyle name="Note 2 2 10 2 2" xfId="22557"/>
    <cellStyle name="Note 2 2 10 3" xfId="22558"/>
    <cellStyle name="Note 2 2 10 3 2" xfId="22559"/>
    <cellStyle name="Note 2 2 10 4" xfId="22560"/>
    <cellStyle name="Note 2 2 11" xfId="22561"/>
    <cellStyle name="Note 2 2 11 2" xfId="22562"/>
    <cellStyle name="Note 2 2 11 2 2" xfId="22563"/>
    <cellStyle name="Note 2 2 11 3" xfId="22564"/>
    <cellStyle name="Note 2 2 11 3 2" xfId="22565"/>
    <cellStyle name="Note 2 2 11 4" xfId="22566"/>
    <cellStyle name="Note 2 2 12" xfId="22567"/>
    <cellStyle name="Note 2 2 12 2" xfId="22568"/>
    <cellStyle name="Note 2 2 12 2 2" xfId="22569"/>
    <cellStyle name="Note 2 2 12 3" xfId="22570"/>
    <cellStyle name="Note 2 2 12 3 2" xfId="22571"/>
    <cellStyle name="Note 2 2 12 4" xfId="22572"/>
    <cellStyle name="Note 2 2 13" xfId="22573"/>
    <cellStyle name="Note 2 2 13 2" xfId="22574"/>
    <cellStyle name="Note 2 2 14" xfId="22575"/>
    <cellStyle name="Note 2 2 14 2" xfId="22576"/>
    <cellStyle name="Note 2 2 15" xfId="22577"/>
    <cellStyle name="Note 2 2 15 2" xfId="22578"/>
    <cellStyle name="Note 2 2 16" xfId="22579"/>
    <cellStyle name="Note 2 2 17" xfId="22554"/>
    <cellStyle name="Note 2 2 18" xfId="24551"/>
    <cellStyle name="Note 2 2 2" xfId="5046"/>
    <cellStyle name="Note 2 2 2 2" xfId="22581"/>
    <cellStyle name="Note 2 2 2 2 2" xfId="22582"/>
    <cellStyle name="Note 2 2 2 3" xfId="22583"/>
    <cellStyle name="Note 2 2 2 3 2" xfId="22584"/>
    <cellStyle name="Note 2 2 2 4" xfId="22585"/>
    <cellStyle name="Note 2 2 2 5" xfId="22580"/>
    <cellStyle name="Note 2 2 2 6" xfId="24552"/>
    <cellStyle name="Note 2 2 3" xfId="5045"/>
    <cellStyle name="Note 2 2 3 2" xfId="22587"/>
    <cellStyle name="Note 2 2 3 2 2" xfId="22588"/>
    <cellStyle name="Note 2 2 3 3" xfId="22589"/>
    <cellStyle name="Note 2 2 3 3 2" xfId="22590"/>
    <cellStyle name="Note 2 2 3 4" xfId="22591"/>
    <cellStyle name="Note 2 2 3 5" xfId="22586"/>
    <cellStyle name="Note 2 2 4" xfId="22592"/>
    <cellStyle name="Note 2 2 4 2" xfId="22593"/>
    <cellStyle name="Note 2 2 4 2 2" xfId="22594"/>
    <cellStyle name="Note 2 2 4 3" xfId="22595"/>
    <cellStyle name="Note 2 2 4 3 2" xfId="22596"/>
    <cellStyle name="Note 2 2 4 4" xfId="22597"/>
    <cellStyle name="Note 2 2 5" xfId="22598"/>
    <cellStyle name="Note 2 2 5 2" xfId="22599"/>
    <cellStyle name="Note 2 2 5 2 2" xfId="22600"/>
    <cellStyle name="Note 2 2 5 3" xfId="22601"/>
    <cellStyle name="Note 2 2 5 3 2" xfId="22602"/>
    <cellStyle name="Note 2 2 5 4" xfId="22603"/>
    <cellStyle name="Note 2 2 6" xfId="22604"/>
    <cellStyle name="Note 2 2 6 2" xfId="22605"/>
    <cellStyle name="Note 2 2 6 2 2" xfId="22606"/>
    <cellStyle name="Note 2 2 6 3" xfId="22607"/>
    <cellStyle name="Note 2 2 6 3 2" xfId="22608"/>
    <cellStyle name="Note 2 2 6 4" xfId="22609"/>
    <cellStyle name="Note 2 2 7" xfId="22610"/>
    <cellStyle name="Note 2 2 7 2" xfId="22611"/>
    <cellStyle name="Note 2 2 7 2 2" xfId="22612"/>
    <cellStyle name="Note 2 2 7 3" xfId="22613"/>
    <cellStyle name="Note 2 2 7 3 2" xfId="22614"/>
    <cellStyle name="Note 2 2 7 4" xfId="22615"/>
    <cellStyle name="Note 2 2 8" xfId="22616"/>
    <cellStyle name="Note 2 2 8 2" xfId="22617"/>
    <cellStyle name="Note 2 2 8 2 2" xfId="22618"/>
    <cellStyle name="Note 2 2 8 3" xfId="22619"/>
    <cellStyle name="Note 2 2 8 3 2" xfId="22620"/>
    <cellStyle name="Note 2 2 8 4" xfId="22621"/>
    <cellStyle name="Note 2 2 9" xfId="22622"/>
    <cellStyle name="Note 2 2 9 2" xfId="22623"/>
    <cellStyle name="Note 2 2 9 2 2" xfId="22624"/>
    <cellStyle name="Note 2 2 9 3" xfId="22625"/>
    <cellStyle name="Note 2 2 9 3 2" xfId="22626"/>
    <cellStyle name="Note 2 2 9 4" xfId="22627"/>
    <cellStyle name="Note 2 20" xfId="22628"/>
    <cellStyle name="Note 2 21" xfId="22491"/>
    <cellStyle name="Note 2 3" xfId="331"/>
    <cellStyle name="Note 2 3 2" xfId="1878"/>
    <cellStyle name="Note 2 3 2 2" xfId="5048"/>
    <cellStyle name="Note 2 3 2 2 2" xfId="22632"/>
    <cellStyle name="Note 2 3 2 2 3" xfId="22631"/>
    <cellStyle name="Note 2 3 2 3" xfId="5047"/>
    <cellStyle name="Note 2 3 2 3 2" xfId="22634"/>
    <cellStyle name="Note 2 3 2 3 3" xfId="22633"/>
    <cellStyle name="Note 2 3 2 4" xfId="22635"/>
    <cellStyle name="Note 2 3 2 4 2" xfId="22636"/>
    <cellStyle name="Note 2 3 2 5" xfId="22637"/>
    <cellStyle name="Note 2 3 2 6" xfId="22630"/>
    <cellStyle name="Note 2 3 2 7" xfId="24553"/>
    <cellStyle name="Note 2 3 3" xfId="2253"/>
    <cellStyle name="Note 2 3 3 2" xfId="5050"/>
    <cellStyle name="Note 2 3 3 2 2" xfId="22640"/>
    <cellStyle name="Note 2 3 3 2 3" xfId="22639"/>
    <cellStyle name="Note 2 3 3 3" xfId="5049"/>
    <cellStyle name="Note 2 3 3 3 2" xfId="22641"/>
    <cellStyle name="Note 2 3 3 4" xfId="22638"/>
    <cellStyle name="Note 2 3 4" xfId="2626"/>
    <cellStyle name="Note 2 3 4 2" xfId="5052"/>
    <cellStyle name="Note 2 3 4 2 2" xfId="22644"/>
    <cellStyle name="Note 2 3 4 2 3" xfId="22643"/>
    <cellStyle name="Note 2 3 4 3" xfId="5051"/>
    <cellStyle name="Note 2 3 4 3 2" xfId="22645"/>
    <cellStyle name="Note 2 3 4 4" xfId="22642"/>
    <cellStyle name="Note 2 3 5" xfId="2999"/>
    <cellStyle name="Note 2 3 5 2" xfId="5054"/>
    <cellStyle name="Note 2 3 5 2 2" xfId="22648"/>
    <cellStyle name="Note 2 3 5 2 3" xfId="22647"/>
    <cellStyle name="Note 2 3 5 3" xfId="5053"/>
    <cellStyle name="Note 2 3 5 3 2" xfId="22649"/>
    <cellStyle name="Note 2 3 5 4" xfId="22646"/>
    <cellStyle name="Note 2 3 6" xfId="3370"/>
    <cellStyle name="Note 2 3 6 2" xfId="5056"/>
    <cellStyle name="Note 2 3 6 2 2" xfId="22652"/>
    <cellStyle name="Note 2 3 6 2 3" xfId="22651"/>
    <cellStyle name="Note 2 3 6 3" xfId="5055"/>
    <cellStyle name="Note 2 3 6 3 2" xfId="22653"/>
    <cellStyle name="Note 2 3 6 4" xfId="22650"/>
    <cellStyle name="Note 2 3 7" xfId="1432"/>
    <cellStyle name="Note 2 3 7 2" xfId="22654"/>
    <cellStyle name="Note 2 3 8" xfId="22629"/>
    <cellStyle name="Note 2 4" xfId="1545"/>
    <cellStyle name="Note 2 4 2" xfId="1925"/>
    <cellStyle name="Note 2 4 2 2" xfId="5058"/>
    <cellStyle name="Note 2 4 2 2 2" xfId="22658"/>
    <cellStyle name="Note 2 4 2 2 3" xfId="22657"/>
    <cellStyle name="Note 2 4 2 3" xfId="5057"/>
    <cellStyle name="Note 2 4 2 3 2" xfId="22660"/>
    <cellStyle name="Note 2 4 2 3 3" xfId="22659"/>
    <cellStyle name="Note 2 4 2 4" xfId="22661"/>
    <cellStyle name="Note 2 4 2 4 2" xfId="22662"/>
    <cellStyle name="Note 2 4 2 5" xfId="22663"/>
    <cellStyle name="Note 2 4 2 6" xfId="22656"/>
    <cellStyle name="Note 2 4 3" xfId="2300"/>
    <cellStyle name="Note 2 4 3 2" xfId="5060"/>
    <cellStyle name="Note 2 4 3 2 2" xfId="22666"/>
    <cellStyle name="Note 2 4 3 2 3" xfId="22665"/>
    <cellStyle name="Note 2 4 3 3" xfId="5059"/>
    <cellStyle name="Note 2 4 3 3 2" xfId="22667"/>
    <cellStyle name="Note 2 4 3 4" xfId="22664"/>
    <cellStyle name="Note 2 4 4" xfId="2673"/>
    <cellStyle name="Note 2 4 4 2" xfId="5062"/>
    <cellStyle name="Note 2 4 4 2 2" xfId="22670"/>
    <cellStyle name="Note 2 4 4 2 3" xfId="22669"/>
    <cellStyle name="Note 2 4 4 3" xfId="5061"/>
    <cellStyle name="Note 2 4 4 3 2" xfId="22671"/>
    <cellStyle name="Note 2 4 4 4" xfId="22668"/>
    <cellStyle name="Note 2 4 5" xfId="3046"/>
    <cellStyle name="Note 2 4 5 2" xfId="5064"/>
    <cellStyle name="Note 2 4 5 2 2" xfId="22674"/>
    <cellStyle name="Note 2 4 5 2 3" xfId="22673"/>
    <cellStyle name="Note 2 4 5 3" xfId="5063"/>
    <cellStyle name="Note 2 4 5 3 2" xfId="22675"/>
    <cellStyle name="Note 2 4 5 4" xfId="22672"/>
    <cellStyle name="Note 2 4 6" xfId="3417"/>
    <cellStyle name="Note 2 4 6 2" xfId="5066"/>
    <cellStyle name="Note 2 4 6 2 2" xfId="22678"/>
    <cellStyle name="Note 2 4 6 2 3" xfId="22677"/>
    <cellStyle name="Note 2 4 6 3" xfId="5065"/>
    <cellStyle name="Note 2 4 6 3 2" xfId="22679"/>
    <cellStyle name="Note 2 4 6 4" xfId="22676"/>
    <cellStyle name="Note 2 4 7" xfId="22680"/>
    <cellStyle name="Note 2 4 8" xfId="22655"/>
    <cellStyle name="Note 2 5" xfId="1703"/>
    <cellStyle name="Note 2 5 2" xfId="22682"/>
    <cellStyle name="Note 2 5 2 2" xfId="22683"/>
    <cellStyle name="Note 2 5 3" xfId="22684"/>
    <cellStyle name="Note 2 5 3 2" xfId="22685"/>
    <cellStyle name="Note 2 5 4" xfId="22686"/>
    <cellStyle name="Note 2 5 4 2" xfId="22687"/>
    <cellStyle name="Note 2 5 5" xfId="22688"/>
    <cellStyle name="Note 2 5 6" xfId="22681"/>
    <cellStyle name="Note 2 6" xfId="2038"/>
    <cellStyle name="Note 2 6 2" xfId="22690"/>
    <cellStyle name="Note 2 6 2 2" xfId="22691"/>
    <cellStyle name="Note 2 6 3" xfId="22692"/>
    <cellStyle name="Note 2 6 3 2" xfId="22693"/>
    <cellStyle name="Note 2 6 4" xfId="22694"/>
    <cellStyle name="Note 2 6 4 2" xfId="22695"/>
    <cellStyle name="Note 2 6 5" xfId="22696"/>
    <cellStyle name="Note 2 6 6" xfId="22689"/>
    <cellStyle name="Note 2 7" xfId="2412"/>
    <cellStyle name="Note 2 7 2" xfId="22698"/>
    <cellStyle name="Note 2 7 2 2" xfId="22699"/>
    <cellStyle name="Note 2 7 3" xfId="22700"/>
    <cellStyle name="Note 2 7 3 2" xfId="22701"/>
    <cellStyle name="Note 2 7 4" xfId="22702"/>
    <cellStyle name="Note 2 7 4 2" xfId="22703"/>
    <cellStyle name="Note 2 7 5" xfId="22704"/>
    <cellStyle name="Note 2 7 6" xfId="22697"/>
    <cellStyle name="Note 2 8" xfId="2785"/>
    <cellStyle name="Note 2 8 2" xfId="22706"/>
    <cellStyle name="Note 2 8 2 2" xfId="22707"/>
    <cellStyle name="Note 2 8 3" xfId="22708"/>
    <cellStyle name="Note 2 8 3 2" xfId="22709"/>
    <cellStyle name="Note 2 8 4" xfId="22710"/>
    <cellStyle name="Note 2 8 4 2" xfId="22711"/>
    <cellStyle name="Note 2 8 5" xfId="22712"/>
    <cellStyle name="Note 2 8 6" xfId="22705"/>
    <cellStyle name="Note 2 9" xfId="3159"/>
    <cellStyle name="Note 2 9 2" xfId="22714"/>
    <cellStyle name="Note 2 9 2 2" xfId="22715"/>
    <cellStyle name="Note 2 9 3" xfId="22716"/>
    <cellStyle name="Note 2 9 3 2" xfId="22717"/>
    <cellStyle name="Note 2 9 4" xfId="22718"/>
    <cellStyle name="Note 2 9 4 2" xfId="22719"/>
    <cellStyle name="Note 2 9 5" xfId="22720"/>
    <cellStyle name="Note 2 9 6" xfId="22713"/>
    <cellStyle name="Note 3" xfId="208"/>
    <cellStyle name="Note 3 10" xfId="3711"/>
    <cellStyle name="Note 3 10 2" xfId="22723"/>
    <cellStyle name="Note 3 10 2 2" xfId="22724"/>
    <cellStyle name="Note 3 10 3" xfId="22725"/>
    <cellStyle name="Note 3 10 3 2" xfId="22726"/>
    <cellStyle name="Note 3 10 4" xfId="22727"/>
    <cellStyle name="Note 3 10 4 2" xfId="22728"/>
    <cellStyle name="Note 3 10 5" xfId="22729"/>
    <cellStyle name="Note 3 10 6" xfId="22722"/>
    <cellStyle name="Note 3 11" xfId="5068"/>
    <cellStyle name="Note 3 11 2" xfId="22731"/>
    <cellStyle name="Note 3 11 2 2" xfId="22732"/>
    <cellStyle name="Note 3 11 3" xfId="22733"/>
    <cellStyle name="Note 3 11 3 2" xfId="22734"/>
    <cellStyle name="Note 3 11 4" xfId="22735"/>
    <cellStyle name="Note 3 11 5" xfId="22730"/>
    <cellStyle name="Note 3 12" xfId="5067"/>
    <cellStyle name="Note 3 12 2" xfId="22737"/>
    <cellStyle name="Note 3 12 2 2" xfId="22738"/>
    <cellStyle name="Note 3 12 3" xfId="22739"/>
    <cellStyle name="Note 3 12 3 2" xfId="22740"/>
    <cellStyle name="Note 3 12 4" xfId="22741"/>
    <cellStyle name="Note 3 12 5" xfId="22736"/>
    <cellStyle name="Note 3 13" xfId="22742"/>
    <cellStyle name="Note 3 13 2" xfId="22743"/>
    <cellStyle name="Note 3 13 2 2" xfId="22744"/>
    <cellStyle name="Note 3 13 3" xfId="22745"/>
    <cellStyle name="Note 3 13 3 2" xfId="22746"/>
    <cellStyle name="Note 3 13 4" xfId="22747"/>
    <cellStyle name="Note 3 14" xfId="22748"/>
    <cellStyle name="Note 3 14 2" xfId="22749"/>
    <cellStyle name="Note 3 14 2 2" xfId="22750"/>
    <cellStyle name="Note 3 14 3" xfId="22751"/>
    <cellStyle name="Note 3 14 3 2" xfId="22752"/>
    <cellStyle name="Note 3 14 4" xfId="22753"/>
    <cellStyle name="Note 3 15" xfId="22754"/>
    <cellStyle name="Note 3 15 2" xfId="22755"/>
    <cellStyle name="Note 3 16" xfId="22756"/>
    <cellStyle name="Note 3 16 2" xfId="22757"/>
    <cellStyle name="Note 3 17" xfId="22758"/>
    <cellStyle name="Note 3 17 2" xfId="22759"/>
    <cellStyle name="Note 3 18" xfId="22760"/>
    <cellStyle name="Note 3 19" xfId="22721"/>
    <cellStyle name="Note 3 2" xfId="1484"/>
    <cellStyle name="Note 3 2 10" xfId="22762"/>
    <cellStyle name="Note 3 2 10 2" xfId="22763"/>
    <cellStyle name="Note 3 2 10 2 2" xfId="22764"/>
    <cellStyle name="Note 3 2 10 3" xfId="22765"/>
    <cellStyle name="Note 3 2 10 3 2" xfId="22766"/>
    <cellStyle name="Note 3 2 10 4" xfId="22767"/>
    <cellStyle name="Note 3 2 11" xfId="22768"/>
    <cellStyle name="Note 3 2 11 2" xfId="22769"/>
    <cellStyle name="Note 3 2 11 2 2" xfId="22770"/>
    <cellStyle name="Note 3 2 11 3" xfId="22771"/>
    <cellStyle name="Note 3 2 11 3 2" xfId="22772"/>
    <cellStyle name="Note 3 2 11 4" xfId="22773"/>
    <cellStyle name="Note 3 2 12" xfId="22774"/>
    <cellStyle name="Note 3 2 12 2" xfId="22775"/>
    <cellStyle name="Note 3 2 12 2 2" xfId="22776"/>
    <cellStyle name="Note 3 2 12 3" xfId="22777"/>
    <cellStyle name="Note 3 2 12 3 2" xfId="22778"/>
    <cellStyle name="Note 3 2 12 4" xfId="22779"/>
    <cellStyle name="Note 3 2 13" xfId="22780"/>
    <cellStyle name="Note 3 2 13 2" xfId="22781"/>
    <cellStyle name="Note 3 2 14" xfId="22782"/>
    <cellStyle name="Note 3 2 14 2" xfId="22783"/>
    <cellStyle name="Note 3 2 15" xfId="22784"/>
    <cellStyle name="Note 3 2 16" xfId="22761"/>
    <cellStyle name="Note 3 2 2" xfId="1819"/>
    <cellStyle name="Note 3 2 2 2" xfId="5070"/>
    <cellStyle name="Note 3 2 2 2 2" xfId="22787"/>
    <cellStyle name="Note 3 2 2 2 3" xfId="22786"/>
    <cellStyle name="Note 3 2 2 3" xfId="5069"/>
    <cellStyle name="Note 3 2 2 3 2" xfId="22789"/>
    <cellStyle name="Note 3 2 2 3 3" xfId="22788"/>
    <cellStyle name="Note 3 2 2 4" xfId="22790"/>
    <cellStyle name="Note 3 2 2 4 2" xfId="22791"/>
    <cellStyle name="Note 3 2 2 5" xfId="22792"/>
    <cellStyle name="Note 3 2 2 6" xfId="22785"/>
    <cellStyle name="Note 3 2 2 7" xfId="24554"/>
    <cellStyle name="Note 3 2 3" xfId="2194"/>
    <cellStyle name="Note 3 2 3 2" xfId="5072"/>
    <cellStyle name="Note 3 2 3 2 2" xfId="22795"/>
    <cellStyle name="Note 3 2 3 2 3" xfId="22794"/>
    <cellStyle name="Note 3 2 3 3" xfId="5071"/>
    <cellStyle name="Note 3 2 3 3 2" xfId="22797"/>
    <cellStyle name="Note 3 2 3 3 3" xfId="22796"/>
    <cellStyle name="Note 3 2 3 4" xfId="22798"/>
    <cellStyle name="Note 3 2 3 4 2" xfId="22799"/>
    <cellStyle name="Note 3 2 3 5" xfId="22800"/>
    <cellStyle name="Note 3 2 3 6" xfId="22793"/>
    <cellStyle name="Note 3 2 4" xfId="2568"/>
    <cellStyle name="Note 3 2 4 2" xfId="5074"/>
    <cellStyle name="Note 3 2 4 2 2" xfId="22803"/>
    <cellStyle name="Note 3 2 4 2 3" xfId="22802"/>
    <cellStyle name="Note 3 2 4 3" xfId="5073"/>
    <cellStyle name="Note 3 2 4 3 2" xfId="22805"/>
    <cellStyle name="Note 3 2 4 3 3" xfId="22804"/>
    <cellStyle name="Note 3 2 4 4" xfId="22806"/>
    <cellStyle name="Note 3 2 4 4 2" xfId="22807"/>
    <cellStyle name="Note 3 2 4 5" xfId="22808"/>
    <cellStyle name="Note 3 2 4 6" xfId="22801"/>
    <cellStyle name="Note 3 2 5" xfId="2940"/>
    <cellStyle name="Note 3 2 5 2" xfId="5076"/>
    <cellStyle name="Note 3 2 5 2 2" xfId="22811"/>
    <cellStyle name="Note 3 2 5 2 3" xfId="22810"/>
    <cellStyle name="Note 3 2 5 3" xfId="5075"/>
    <cellStyle name="Note 3 2 5 3 2" xfId="22813"/>
    <cellStyle name="Note 3 2 5 3 3" xfId="22812"/>
    <cellStyle name="Note 3 2 5 4" xfId="22814"/>
    <cellStyle name="Note 3 2 5 4 2" xfId="22815"/>
    <cellStyle name="Note 3 2 5 5" xfId="22816"/>
    <cellStyle name="Note 3 2 5 6" xfId="22809"/>
    <cellStyle name="Note 3 2 6" xfId="3312"/>
    <cellStyle name="Note 3 2 6 2" xfId="5078"/>
    <cellStyle name="Note 3 2 6 2 2" xfId="22819"/>
    <cellStyle name="Note 3 2 6 2 3" xfId="22818"/>
    <cellStyle name="Note 3 2 6 3" xfId="5077"/>
    <cellStyle name="Note 3 2 6 3 2" xfId="22821"/>
    <cellStyle name="Note 3 2 6 3 3" xfId="22820"/>
    <cellStyle name="Note 3 2 6 4" xfId="22822"/>
    <cellStyle name="Note 3 2 6 4 2" xfId="22823"/>
    <cellStyle name="Note 3 2 6 5" xfId="22824"/>
    <cellStyle name="Note 3 2 6 6" xfId="22817"/>
    <cellStyle name="Note 3 2 7" xfId="22825"/>
    <cellStyle name="Note 3 2 7 2" xfId="22826"/>
    <cellStyle name="Note 3 2 7 2 2" xfId="22827"/>
    <cellStyle name="Note 3 2 7 3" xfId="22828"/>
    <cellStyle name="Note 3 2 7 3 2" xfId="22829"/>
    <cellStyle name="Note 3 2 7 4" xfId="22830"/>
    <cellStyle name="Note 3 2 8" xfId="22831"/>
    <cellStyle name="Note 3 2 8 2" xfId="22832"/>
    <cellStyle name="Note 3 2 8 2 2" xfId="22833"/>
    <cellStyle name="Note 3 2 8 3" xfId="22834"/>
    <cellStyle name="Note 3 2 8 3 2" xfId="22835"/>
    <cellStyle name="Note 3 2 8 4" xfId="22836"/>
    <cellStyle name="Note 3 2 9" xfId="22837"/>
    <cellStyle name="Note 3 2 9 2" xfId="22838"/>
    <cellStyle name="Note 3 2 9 2 2" xfId="22839"/>
    <cellStyle name="Note 3 2 9 3" xfId="22840"/>
    <cellStyle name="Note 3 2 9 3 2" xfId="22841"/>
    <cellStyle name="Note 3 2 9 4" xfId="22842"/>
    <cellStyle name="Note 3 3" xfId="1611"/>
    <cellStyle name="Note 3 3 2" xfId="1896"/>
    <cellStyle name="Note 3 3 2 2" xfId="5080"/>
    <cellStyle name="Note 3 3 2 2 2" xfId="22846"/>
    <cellStyle name="Note 3 3 2 2 3" xfId="22845"/>
    <cellStyle name="Note 3 3 2 3" xfId="5079"/>
    <cellStyle name="Note 3 3 2 3 2" xfId="22848"/>
    <cellStyle name="Note 3 3 2 3 3" xfId="22847"/>
    <cellStyle name="Note 3 3 2 4" xfId="22849"/>
    <cellStyle name="Note 3 3 2 4 2" xfId="22850"/>
    <cellStyle name="Note 3 3 2 5" xfId="22851"/>
    <cellStyle name="Note 3 3 2 6" xfId="22844"/>
    <cellStyle name="Note 3 3 3" xfId="2271"/>
    <cellStyle name="Note 3 3 3 2" xfId="5082"/>
    <cellStyle name="Note 3 3 3 2 2" xfId="22854"/>
    <cellStyle name="Note 3 3 3 2 3" xfId="22853"/>
    <cellStyle name="Note 3 3 3 3" xfId="5081"/>
    <cellStyle name="Note 3 3 3 3 2" xfId="22855"/>
    <cellStyle name="Note 3 3 3 4" xfId="22852"/>
    <cellStyle name="Note 3 3 4" xfId="2644"/>
    <cellStyle name="Note 3 3 4 2" xfId="5084"/>
    <cellStyle name="Note 3 3 4 2 2" xfId="22858"/>
    <cellStyle name="Note 3 3 4 2 3" xfId="22857"/>
    <cellStyle name="Note 3 3 4 3" xfId="5083"/>
    <cellStyle name="Note 3 3 4 3 2" xfId="22859"/>
    <cellStyle name="Note 3 3 4 4" xfId="22856"/>
    <cellStyle name="Note 3 3 5" xfId="3017"/>
    <cellStyle name="Note 3 3 5 2" xfId="5086"/>
    <cellStyle name="Note 3 3 5 2 2" xfId="22862"/>
    <cellStyle name="Note 3 3 5 2 3" xfId="22861"/>
    <cellStyle name="Note 3 3 5 3" xfId="5085"/>
    <cellStyle name="Note 3 3 5 3 2" xfId="22863"/>
    <cellStyle name="Note 3 3 5 4" xfId="22860"/>
    <cellStyle name="Note 3 3 6" xfId="3388"/>
    <cellStyle name="Note 3 3 6 2" xfId="5088"/>
    <cellStyle name="Note 3 3 6 2 2" xfId="22866"/>
    <cellStyle name="Note 3 3 6 2 3" xfId="22865"/>
    <cellStyle name="Note 3 3 6 3" xfId="5087"/>
    <cellStyle name="Note 3 3 6 3 2" xfId="22867"/>
    <cellStyle name="Note 3 3 6 4" xfId="22864"/>
    <cellStyle name="Note 3 3 7" xfId="22868"/>
    <cellStyle name="Note 3 3 8" xfId="22843"/>
    <cellStyle name="Note 3 4" xfId="1753"/>
    <cellStyle name="Note 3 4 2" xfId="1940"/>
    <cellStyle name="Note 3 4 2 2" xfId="5090"/>
    <cellStyle name="Note 3 4 2 2 2" xfId="22872"/>
    <cellStyle name="Note 3 4 2 2 3" xfId="22871"/>
    <cellStyle name="Note 3 4 2 3" xfId="5089"/>
    <cellStyle name="Note 3 4 2 3 2" xfId="22874"/>
    <cellStyle name="Note 3 4 2 3 3" xfId="22873"/>
    <cellStyle name="Note 3 4 2 4" xfId="22875"/>
    <cellStyle name="Note 3 4 2 4 2" xfId="22876"/>
    <cellStyle name="Note 3 4 2 5" xfId="22877"/>
    <cellStyle name="Note 3 4 2 6" xfId="22870"/>
    <cellStyle name="Note 3 4 3" xfId="2315"/>
    <cellStyle name="Note 3 4 3 2" xfId="5092"/>
    <cellStyle name="Note 3 4 3 2 2" xfId="22880"/>
    <cellStyle name="Note 3 4 3 2 3" xfId="22879"/>
    <cellStyle name="Note 3 4 3 3" xfId="5091"/>
    <cellStyle name="Note 3 4 3 3 2" xfId="22881"/>
    <cellStyle name="Note 3 4 3 4" xfId="22878"/>
    <cellStyle name="Note 3 4 4" xfId="2688"/>
    <cellStyle name="Note 3 4 4 2" xfId="5094"/>
    <cellStyle name="Note 3 4 4 2 2" xfId="22884"/>
    <cellStyle name="Note 3 4 4 2 3" xfId="22883"/>
    <cellStyle name="Note 3 4 4 3" xfId="5093"/>
    <cellStyle name="Note 3 4 4 3 2" xfId="22885"/>
    <cellStyle name="Note 3 4 4 4" xfId="22882"/>
    <cellStyle name="Note 3 4 5" xfId="3061"/>
    <cellStyle name="Note 3 4 5 2" xfId="5096"/>
    <cellStyle name="Note 3 4 5 2 2" xfId="22888"/>
    <cellStyle name="Note 3 4 5 2 3" xfId="22887"/>
    <cellStyle name="Note 3 4 5 3" xfId="5095"/>
    <cellStyle name="Note 3 4 5 3 2" xfId="22889"/>
    <cellStyle name="Note 3 4 5 4" xfId="22886"/>
    <cellStyle name="Note 3 4 6" xfId="3432"/>
    <cellStyle name="Note 3 4 6 2" xfId="5098"/>
    <cellStyle name="Note 3 4 6 2 2" xfId="22892"/>
    <cellStyle name="Note 3 4 6 2 3" xfId="22891"/>
    <cellStyle name="Note 3 4 6 3" xfId="5097"/>
    <cellStyle name="Note 3 4 6 3 2" xfId="22893"/>
    <cellStyle name="Note 3 4 6 4" xfId="22890"/>
    <cellStyle name="Note 3 4 7" xfId="22894"/>
    <cellStyle name="Note 3 4 8" xfId="22869"/>
    <cellStyle name="Note 3 5" xfId="2088"/>
    <cellStyle name="Note 3 5 2" xfId="22896"/>
    <cellStyle name="Note 3 5 2 2" xfId="22897"/>
    <cellStyle name="Note 3 5 3" xfId="22898"/>
    <cellStyle name="Note 3 5 3 2" xfId="22899"/>
    <cellStyle name="Note 3 5 4" xfId="22900"/>
    <cellStyle name="Note 3 5 4 2" xfId="22901"/>
    <cellStyle name="Note 3 5 5" xfId="22902"/>
    <cellStyle name="Note 3 5 6" xfId="22895"/>
    <cellStyle name="Note 3 6" xfId="2462"/>
    <cellStyle name="Note 3 6 2" xfId="22904"/>
    <cellStyle name="Note 3 6 2 2" xfId="22905"/>
    <cellStyle name="Note 3 6 3" xfId="22906"/>
    <cellStyle name="Note 3 6 3 2" xfId="22907"/>
    <cellStyle name="Note 3 6 4" xfId="22908"/>
    <cellStyle name="Note 3 6 4 2" xfId="22909"/>
    <cellStyle name="Note 3 6 5" xfId="22910"/>
    <cellStyle name="Note 3 6 6" xfId="22903"/>
    <cellStyle name="Note 3 7" xfId="2834"/>
    <cellStyle name="Note 3 7 2" xfId="22912"/>
    <cellStyle name="Note 3 7 2 2" xfId="22913"/>
    <cellStyle name="Note 3 7 3" xfId="22914"/>
    <cellStyle name="Note 3 7 3 2" xfId="22915"/>
    <cellStyle name="Note 3 7 4" xfId="22916"/>
    <cellStyle name="Note 3 7 4 2" xfId="22917"/>
    <cellStyle name="Note 3 7 5" xfId="22918"/>
    <cellStyle name="Note 3 7 6" xfId="22911"/>
    <cellStyle name="Note 3 8" xfId="3205"/>
    <cellStyle name="Note 3 8 2" xfId="22920"/>
    <cellStyle name="Note 3 8 2 2" xfId="22921"/>
    <cellStyle name="Note 3 8 3" xfId="22922"/>
    <cellStyle name="Note 3 8 3 2" xfId="22923"/>
    <cellStyle name="Note 3 8 4" xfId="22924"/>
    <cellStyle name="Note 3 8 4 2" xfId="22925"/>
    <cellStyle name="Note 3 8 5" xfId="22926"/>
    <cellStyle name="Note 3 8 6" xfId="22919"/>
    <cellStyle name="Note 3 9" xfId="3575"/>
    <cellStyle name="Note 3 9 2" xfId="22928"/>
    <cellStyle name="Note 3 9 2 2" xfId="22929"/>
    <cellStyle name="Note 3 9 3" xfId="22930"/>
    <cellStyle name="Note 3 9 3 2" xfId="22931"/>
    <cellStyle name="Note 3 9 4" xfId="22932"/>
    <cellStyle name="Note 3 9 4 2" xfId="22933"/>
    <cellStyle name="Note 3 9 5" xfId="22934"/>
    <cellStyle name="Note 3 9 6" xfId="22927"/>
    <cellStyle name="Note 4" xfId="271"/>
    <cellStyle name="Note 4 10" xfId="3755"/>
    <cellStyle name="Note 4 10 2" xfId="22937"/>
    <cellStyle name="Note 4 10 2 2" xfId="22938"/>
    <cellStyle name="Note 4 10 3" xfId="22939"/>
    <cellStyle name="Note 4 10 3 2" xfId="22940"/>
    <cellStyle name="Note 4 10 4" xfId="22941"/>
    <cellStyle name="Note 4 10 4 2" xfId="22942"/>
    <cellStyle name="Note 4 10 5" xfId="22943"/>
    <cellStyle name="Note 4 10 6" xfId="22936"/>
    <cellStyle name="Note 4 11" xfId="1290"/>
    <cellStyle name="Note 4 11 10" xfId="22944"/>
    <cellStyle name="Note 4 11 11" xfId="24875"/>
    <cellStyle name="Note 4 11 12" xfId="28117"/>
    <cellStyle name="Note 4 11 2" xfId="4143"/>
    <cellStyle name="Note 4 11 2 2" xfId="5102"/>
    <cellStyle name="Note 4 11 2 2 2" xfId="22947"/>
    <cellStyle name="Note 4 11 2 2 3" xfId="22946"/>
    <cellStyle name="Note 4 11 2 3" xfId="5101"/>
    <cellStyle name="Note 4 11 2 3 2" xfId="22948"/>
    <cellStyle name="Note 4 11 2 4" xfId="7089"/>
    <cellStyle name="Note 4 11 2 4 2" xfId="28119"/>
    <cellStyle name="Note 4 11 2 5" xfId="22945"/>
    <cellStyle name="Note 4 11 2 6" xfId="24995"/>
    <cellStyle name="Note 4 11 2 7" xfId="28118"/>
    <cellStyle name="Note 4 11 3" xfId="5103"/>
    <cellStyle name="Note 4 11 3 2" xfId="22950"/>
    <cellStyle name="Note 4 11 3 3" xfId="22949"/>
    <cellStyle name="Note 4 11 4" xfId="5100"/>
    <cellStyle name="Note 4 11 4 2" xfId="22952"/>
    <cellStyle name="Note 4 11 4 3" xfId="22951"/>
    <cellStyle name="Note 4 11 5" xfId="7088"/>
    <cellStyle name="Note 4 11 5 2" xfId="22954"/>
    <cellStyle name="Note 4 11 5 2 2" xfId="22955"/>
    <cellStyle name="Note 4 11 5 3" xfId="22956"/>
    <cellStyle name="Note 4 11 5 3 2" xfId="22957"/>
    <cellStyle name="Note 4 11 5 4" xfId="22958"/>
    <cellStyle name="Note 4 11 5 5" xfId="22953"/>
    <cellStyle name="Note 4 11 5 6" xfId="28120"/>
    <cellStyle name="Note 4 11 6" xfId="22959"/>
    <cellStyle name="Note 4 11 6 2" xfId="22960"/>
    <cellStyle name="Note 4 11 7" xfId="22961"/>
    <cellStyle name="Note 4 11 7 2" xfId="22962"/>
    <cellStyle name="Note 4 11 8" xfId="22963"/>
    <cellStyle name="Note 4 11 8 2" xfId="22964"/>
    <cellStyle name="Note 4 11 9" xfId="22965"/>
    <cellStyle name="Note 4 12" xfId="5104"/>
    <cellStyle name="Note 4 12 2" xfId="5105"/>
    <cellStyle name="Note 4 12 2 2" xfId="22968"/>
    <cellStyle name="Note 4 12 2 3" xfId="22967"/>
    <cellStyle name="Note 4 12 3" xfId="22969"/>
    <cellStyle name="Note 4 12 3 2" xfId="22970"/>
    <cellStyle name="Note 4 12 4" xfId="22971"/>
    <cellStyle name="Note 4 12 4 2" xfId="22972"/>
    <cellStyle name="Note 4 12 5" xfId="22973"/>
    <cellStyle name="Note 4 12 6" xfId="22966"/>
    <cellStyle name="Note 4 13" xfId="5106"/>
    <cellStyle name="Note 4 13 2" xfId="22975"/>
    <cellStyle name="Note 4 13 2 2" xfId="22976"/>
    <cellStyle name="Note 4 13 3" xfId="22977"/>
    <cellStyle name="Note 4 13 3 2" xfId="22978"/>
    <cellStyle name="Note 4 13 4" xfId="22979"/>
    <cellStyle name="Note 4 13 5" xfId="22974"/>
    <cellStyle name="Note 4 14" xfId="5099"/>
    <cellStyle name="Note 4 14 2" xfId="22981"/>
    <cellStyle name="Note 4 14 2 2" xfId="22982"/>
    <cellStyle name="Note 4 14 3" xfId="22983"/>
    <cellStyle name="Note 4 14 3 2" xfId="22984"/>
    <cellStyle name="Note 4 14 4" xfId="22985"/>
    <cellStyle name="Note 4 14 5" xfId="22980"/>
    <cellStyle name="Note 4 15" xfId="22986"/>
    <cellStyle name="Note 4 15 2" xfId="22987"/>
    <cellStyle name="Note 4 16" xfId="22988"/>
    <cellStyle name="Note 4 16 2" xfId="22989"/>
    <cellStyle name="Note 4 17" xfId="22990"/>
    <cellStyle name="Note 4 17 2" xfId="22991"/>
    <cellStyle name="Note 4 18" xfId="22992"/>
    <cellStyle name="Note 4 18 2" xfId="22993"/>
    <cellStyle name="Note 4 18 2 2" xfId="22994"/>
    <cellStyle name="Note 4 18 3" xfId="22995"/>
    <cellStyle name="Note 4 18 3 2" xfId="22996"/>
    <cellStyle name="Note 4 18 4" xfId="22997"/>
    <cellStyle name="Note 4 19" xfId="22998"/>
    <cellStyle name="Note 4 19 2" xfId="22999"/>
    <cellStyle name="Note 4 2" xfId="1529"/>
    <cellStyle name="Note 4 2 10" xfId="23001"/>
    <cellStyle name="Note 4 2 10 2" xfId="23002"/>
    <cellStyle name="Note 4 2 10 2 2" xfId="23003"/>
    <cellStyle name="Note 4 2 10 3" xfId="23004"/>
    <cellStyle name="Note 4 2 10 3 2" xfId="23005"/>
    <cellStyle name="Note 4 2 10 4" xfId="23006"/>
    <cellStyle name="Note 4 2 11" xfId="23007"/>
    <cellStyle name="Note 4 2 11 2" xfId="23008"/>
    <cellStyle name="Note 4 2 11 2 2" xfId="23009"/>
    <cellStyle name="Note 4 2 11 3" xfId="23010"/>
    <cellStyle name="Note 4 2 11 3 2" xfId="23011"/>
    <cellStyle name="Note 4 2 11 4" xfId="23012"/>
    <cellStyle name="Note 4 2 12" xfId="23013"/>
    <cellStyle name="Note 4 2 12 2" xfId="23014"/>
    <cellStyle name="Note 4 2 12 2 2" xfId="23015"/>
    <cellStyle name="Note 4 2 12 3" xfId="23016"/>
    <cellStyle name="Note 4 2 12 3 2" xfId="23017"/>
    <cellStyle name="Note 4 2 12 4" xfId="23018"/>
    <cellStyle name="Note 4 2 13" xfId="23019"/>
    <cellStyle name="Note 4 2 13 2" xfId="23020"/>
    <cellStyle name="Note 4 2 14" xfId="23021"/>
    <cellStyle name="Note 4 2 14 2" xfId="23022"/>
    <cellStyle name="Note 4 2 15" xfId="23023"/>
    <cellStyle name="Note 4 2 15 2" xfId="23024"/>
    <cellStyle name="Note 4 2 16" xfId="23025"/>
    <cellStyle name="Note 4 2 17" xfId="23000"/>
    <cellStyle name="Note 4 2 2" xfId="23026"/>
    <cellStyle name="Note 4 2 2 2" xfId="23027"/>
    <cellStyle name="Note 4 2 2 2 2" xfId="23028"/>
    <cellStyle name="Note 4 2 2 3" xfId="23029"/>
    <cellStyle name="Note 4 2 2 3 2" xfId="23030"/>
    <cellStyle name="Note 4 2 2 4" xfId="23031"/>
    <cellStyle name="Note 4 2 3" xfId="23032"/>
    <cellStyle name="Note 4 2 3 2" xfId="23033"/>
    <cellStyle name="Note 4 2 3 2 2" xfId="23034"/>
    <cellStyle name="Note 4 2 3 3" xfId="23035"/>
    <cellStyle name="Note 4 2 3 3 2" xfId="23036"/>
    <cellStyle name="Note 4 2 3 4" xfId="23037"/>
    <cellStyle name="Note 4 2 4" xfId="23038"/>
    <cellStyle name="Note 4 2 4 2" xfId="23039"/>
    <cellStyle name="Note 4 2 4 2 2" xfId="23040"/>
    <cellStyle name="Note 4 2 4 3" xfId="23041"/>
    <cellStyle name="Note 4 2 4 3 2" xfId="23042"/>
    <cellStyle name="Note 4 2 4 4" xfId="23043"/>
    <cellStyle name="Note 4 2 5" xfId="23044"/>
    <cellStyle name="Note 4 2 5 2" xfId="23045"/>
    <cellStyle name="Note 4 2 5 2 2" xfId="23046"/>
    <cellStyle name="Note 4 2 5 3" xfId="23047"/>
    <cellStyle name="Note 4 2 5 3 2" xfId="23048"/>
    <cellStyle name="Note 4 2 5 4" xfId="23049"/>
    <cellStyle name="Note 4 2 6" xfId="23050"/>
    <cellStyle name="Note 4 2 6 2" xfId="23051"/>
    <cellStyle name="Note 4 2 6 2 2" xfId="23052"/>
    <cellStyle name="Note 4 2 6 3" xfId="23053"/>
    <cellStyle name="Note 4 2 6 3 2" xfId="23054"/>
    <cellStyle name="Note 4 2 6 4" xfId="23055"/>
    <cellStyle name="Note 4 2 7" xfId="23056"/>
    <cellStyle name="Note 4 2 7 2" xfId="23057"/>
    <cellStyle name="Note 4 2 7 2 2" xfId="23058"/>
    <cellStyle name="Note 4 2 7 3" xfId="23059"/>
    <cellStyle name="Note 4 2 7 3 2" xfId="23060"/>
    <cellStyle name="Note 4 2 7 4" xfId="23061"/>
    <cellStyle name="Note 4 2 8" xfId="23062"/>
    <cellStyle name="Note 4 2 8 2" xfId="23063"/>
    <cellStyle name="Note 4 2 8 2 2" xfId="23064"/>
    <cellStyle name="Note 4 2 8 3" xfId="23065"/>
    <cellStyle name="Note 4 2 8 3 2" xfId="23066"/>
    <cellStyle name="Note 4 2 8 4" xfId="23067"/>
    <cellStyle name="Note 4 2 9" xfId="23068"/>
    <cellStyle name="Note 4 2 9 2" xfId="23069"/>
    <cellStyle name="Note 4 2 9 2 2" xfId="23070"/>
    <cellStyle name="Note 4 2 9 3" xfId="23071"/>
    <cellStyle name="Note 4 2 9 3 2" xfId="23072"/>
    <cellStyle name="Note 4 2 9 4" xfId="23073"/>
    <cellStyle name="Note 4 20" xfId="23074"/>
    <cellStyle name="Note 4 20 2" xfId="23075"/>
    <cellStyle name="Note 4 21" xfId="23076"/>
    <cellStyle name="Note 4 21 2" xfId="23077"/>
    <cellStyle name="Note 4 22" xfId="23078"/>
    <cellStyle name="Note 4 23" xfId="22935"/>
    <cellStyle name="Note 4 3" xfId="1654"/>
    <cellStyle name="Note 4 3 2" xfId="23080"/>
    <cellStyle name="Note 4 3 2 2" xfId="23081"/>
    <cellStyle name="Note 4 3 2 2 2" xfId="23082"/>
    <cellStyle name="Note 4 3 2 3" xfId="23083"/>
    <cellStyle name="Note 4 3 2 3 2" xfId="23084"/>
    <cellStyle name="Note 4 3 2 4" xfId="23085"/>
    <cellStyle name="Note 4 3 3" xfId="23086"/>
    <cellStyle name="Note 4 3 3 2" xfId="23087"/>
    <cellStyle name="Note 4 3 4" xfId="23088"/>
    <cellStyle name="Note 4 3 4 2" xfId="23089"/>
    <cellStyle name="Note 4 3 5" xfId="23090"/>
    <cellStyle name="Note 4 3 5 2" xfId="23091"/>
    <cellStyle name="Note 4 3 6" xfId="23092"/>
    <cellStyle name="Note 4 3 7" xfId="23079"/>
    <cellStyle name="Note 4 4" xfId="1768"/>
    <cellStyle name="Note 4 4 2" xfId="23094"/>
    <cellStyle name="Note 4 4 2 2" xfId="23095"/>
    <cellStyle name="Note 4 4 2 2 2" xfId="23096"/>
    <cellStyle name="Note 4 4 2 3" xfId="23097"/>
    <cellStyle name="Note 4 4 2 3 2" xfId="23098"/>
    <cellStyle name="Note 4 4 2 4" xfId="23099"/>
    <cellStyle name="Note 4 4 3" xfId="23100"/>
    <cellStyle name="Note 4 4 3 2" xfId="23101"/>
    <cellStyle name="Note 4 4 4" xfId="23102"/>
    <cellStyle name="Note 4 4 4 2" xfId="23103"/>
    <cellStyle name="Note 4 4 5" xfId="23104"/>
    <cellStyle name="Note 4 4 5 2" xfId="23105"/>
    <cellStyle name="Note 4 4 6" xfId="23106"/>
    <cellStyle name="Note 4 4 7" xfId="23093"/>
    <cellStyle name="Note 4 5" xfId="2103"/>
    <cellStyle name="Note 4 5 2" xfId="23108"/>
    <cellStyle name="Note 4 5 2 2" xfId="23109"/>
    <cellStyle name="Note 4 5 3" xfId="23110"/>
    <cellStyle name="Note 4 5 3 2" xfId="23111"/>
    <cellStyle name="Note 4 5 4" xfId="23112"/>
    <cellStyle name="Note 4 5 4 2" xfId="23113"/>
    <cellStyle name="Note 4 5 5" xfId="23114"/>
    <cellStyle name="Note 4 5 6" xfId="23107"/>
    <cellStyle name="Note 4 6" xfId="2477"/>
    <cellStyle name="Note 4 6 2" xfId="23116"/>
    <cellStyle name="Note 4 6 2 2" xfId="23117"/>
    <cellStyle name="Note 4 6 3" xfId="23118"/>
    <cellStyle name="Note 4 6 3 2" xfId="23119"/>
    <cellStyle name="Note 4 6 4" xfId="23120"/>
    <cellStyle name="Note 4 6 4 2" xfId="23121"/>
    <cellStyle name="Note 4 6 5" xfId="23122"/>
    <cellStyle name="Note 4 6 6" xfId="23115"/>
    <cellStyle name="Note 4 7" xfId="2849"/>
    <cellStyle name="Note 4 7 2" xfId="23124"/>
    <cellStyle name="Note 4 7 2 2" xfId="23125"/>
    <cellStyle name="Note 4 7 3" xfId="23126"/>
    <cellStyle name="Note 4 7 3 2" xfId="23127"/>
    <cellStyle name="Note 4 7 4" xfId="23128"/>
    <cellStyle name="Note 4 7 4 2" xfId="23129"/>
    <cellStyle name="Note 4 7 5" xfId="23130"/>
    <cellStyle name="Note 4 7 6" xfId="23123"/>
    <cellStyle name="Note 4 8" xfId="3220"/>
    <cellStyle name="Note 4 8 2" xfId="23132"/>
    <cellStyle name="Note 4 8 2 2" xfId="23133"/>
    <cellStyle name="Note 4 8 3" xfId="23134"/>
    <cellStyle name="Note 4 8 3 2" xfId="23135"/>
    <cellStyle name="Note 4 8 4" xfId="23136"/>
    <cellStyle name="Note 4 8 4 2" xfId="23137"/>
    <cellStyle name="Note 4 8 5" xfId="23138"/>
    <cellStyle name="Note 4 8 6" xfId="23131"/>
    <cellStyle name="Note 4 9" xfId="3618"/>
    <cellStyle name="Note 4 9 2" xfId="23140"/>
    <cellStyle name="Note 4 9 2 2" xfId="23141"/>
    <cellStyle name="Note 4 9 3" xfId="23142"/>
    <cellStyle name="Note 4 9 3 2" xfId="23143"/>
    <cellStyle name="Note 4 9 4" xfId="23144"/>
    <cellStyle name="Note 4 9 4 2" xfId="23145"/>
    <cellStyle name="Note 4 9 5" xfId="23146"/>
    <cellStyle name="Note 4 9 6" xfId="23139"/>
    <cellStyle name="Note 5" xfId="503"/>
    <cellStyle name="Note 5 10" xfId="23148"/>
    <cellStyle name="Note 5 10 2" xfId="23149"/>
    <cellStyle name="Note 5 10 2 2" xfId="23150"/>
    <cellStyle name="Note 5 10 3" xfId="23151"/>
    <cellStyle name="Note 5 10 3 2" xfId="23152"/>
    <cellStyle name="Note 5 10 4" xfId="23153"/>
    <cellStyle name="Note 5 11" xfId="23154"/>
    <cellStyle name="Note 5 11 2" xfId="23155"/>
    <cellStyle name="Note 5 11 2 2" xfId="23156"/>
    <cellStyle name="Note 5 11 3" xfId="23157"/>
    <cellStyle name="Note 5 11 3 2" xfId="23158"/>
    <cellStyle name="Note 5 11 4" xfId="23159"/>
    <cellStyle name="Note 5 12" xfId="23160"/>
    <cellStyle name="Note 5 12 2" xfId="23161"/>
    <cellStyle name="Note 5 12 2 2" xfId="23162"/>
    <cellStyle name="Note 5 12 3" xfId="23163"/>
    <cellStyle name="Note 5 12 3 2" xfId="23164"/>
    <cellStyle name="Note 5 12 4" xfId="23165"/>
    <cellStyle name="Note 5 13" xfId="23166"/>
    <cellStyle name="Note 5 13 2" xfId="23167"/>
    <cellStyle name="Note 5 13 2 2" xfId="23168"/>
    <cellStyle name="Note 5 13 3" xfId="23169"/>
    <cellStyle name="Note 5 13 3 2" xfId="23170"/>
    <cellStyle name="Note 5 13 4" xfId="23171"/>
    <cellStyle name="Note 5 14" xfId="23172"/>
    <cellStyle name="Note 5 14 2" xfId="23173"/>
    <cellStyle name="Note 5 14 2 2" xfId="23174"/>
    <cellStyle name="Note 5 14 3" xfId="23175"/>
    <cellStyle name="Note 5 14 3 2" xfId="23176"/>
    <cellStyle name="Note 5 14 4" xfId="23177"/>
    <cellStyle name="Note 5 15" xfId="23178"/>
    <cellStyle name="Note 5 15 2" xfId="23179"/>
    <cellStyle name="Note 5 16" xfId="23180"/>
    <cellStyle name="Note 5 16 2" xfId="23181"/>
    <cellStyle name="Note 5 17" xfId="23182"/>
    <cellStyle name="Note 5 17 2" xfId="23183"/>
    <cellStyle name="Note 5 18" xfId="23184"/>
    <cellStyle name="Note 5 19" xfId="23147"/>
    <cellStyle name="Note 5 2" xfId="23185"/>
    <cellStyle name="Note 5 2 10" xfId="23186"/>
    <cellStyle name="Note 5 2 10 2" xfId="23187"/>
    <cellStyle name="Note 5 2 10 2 2" xfId="23188"/>
    <cellStyle name="Note 5 2 10 3" xfId="23189"/>
    <cellStyle name="Note 5 2 10 3 2" xfId="23190"/>
    <cellStyle name="Note 5 2 10 4" xfId="23191"/>
    <cellStyle name="Note 5 2 11" xfId="23192"/>
    <cellStyle name="Note 5 2 11 2" xfId="23193"/>
    <cellStyle name="Note 5 2 11 2 2" xfId="23194"/>
    <cellStyle name="Note 5 2 11 3" xfId="23195"/>
    <cellStyle name="Note 5 2 11 3 2" xfId="23196"/>
    <cellStyle name="Note 5 2 11 4" xfId="23197"/>
    <cellStyle name="Note 5 2 12" xfId="23198"/>
    <cellStyle name="Note 5 2 12 2" xfId="23199"/>
    <cellStyle name="Note 5 2 12 2 2" xfId="23200"/>
    <cellStyle name="Note 5 2 12 3" xfId="23201"/>
    <cellStyle name="Note 5 2 12 3 2" xfId="23202"/>
    <cellStyle name="Note 5 2 12 4" xfId="23203"/>
    <cellStyle name="Note 5 2 13" xfId="23204"/>
    <cellStyle name="Note 5 2 13 2" xfId="23205"/>
    <cellStyle name="Note 5 2 14" xfId="23206"/>
    <cellStyle name="Note 5 2 14 2" xfId="23207"/>
    <cellStyle name="Note 5 2 15" xfId="23208"/>
    <cellStyle name="Note 5 2 2" xfId="23209"/>
    <cellStyle name="Note 5 2 2 2" xfId="23210"/>
    <cellStyle name="Note 5 2 2 2 2" xfId="23211"/>
    <cellStyle name="Note 5 2 2 3" xfId="23212"/>
    <cellStyle name="Note 5 2 2 3 2" xfId="23213"/>
    <cellStyle name="Note 5 2 2 4" xfId="23214"/>
    <cellStyle name="Note 5 2 3" xfId="23215"/>
    <cellStyle name="Note 5 2 3 2" xfId="23216"/>
    <cellStyle name="Note 5 2 3 2 2" xfId="23217"/>
    <cellStyle name="Note 5 2 3 3" xfId="23218"/>
    <cellStyle name="Note 5 2 3 3 2" xfId="23219"/>
    <cellStyle name="Note 5 2 3 4" xfId="23220"/>
    <cellStyle name="Note 5 2 4" xfId="23221"/>
    <cellStyle name="Note 5 2 4 2" xfId="23222"/>
    <cellStyle name="Note 5 2 4 2 2" xfId="23223"/>
    <cellStyle name="Note 5 2 4 3" xfId="23224"/>
    <cellStyle name="Note 5 2 4 3 2" xfId="23225"/>
    <cellStyle name="Note 5 2 4 4" xfId="23226"/>
    <cellStyle name="Note 5 2 5" xfId="23227"/>
    <cellStyle name="Note 5 2 5 2" xfId="23228"/>
    <cellStyle name="Note 5 2 5 2 2" xfId="23229"/>
    <cellStyle name="Note 5 2 5 3" xfId="23230"/>
    <cellStyle name="Note 5 2 5 3 2" xfId="23231"/>
    <cellStyle name="Note 5 2 5 4" xfId="23232"/>
    <cellStyle name="Note 5 2 6" xfId="23233"/>
    <cellStyle name="Note 5 2 6 2" xfId="23234"/>
    <cellStyle name="Note 5 2 6 2 2" xfId="23235"/>
    <cellStyle name="Note 5 2 6 3" xfId="23236"/>
    <cellStyle name="Note 5 2 6 3 2" xfId="23237"/>
    <cellStyle name="Note 5 2 6 4" xfId="23238"/>
    <cellStyle name="Note 5 2 7" xfId="23239"/>
    <cellStyle name="Note 5 2 7 2" xfId="23240"/>
    <cellStyle name="Note 5 2 7 2 2" xfId="23241"/>
    <cellStyle name="Note 5 2 7 3" xfId="23242"/>
    <cellStyle name="Note 5 2 7 3 2" xfId="23243"/>
    <cellStyle name="Note 5 2 7 4" xfId="23244"/>
    <cellStyle name="Note 5 2 8" xfId="23245"/>
    <cellStyle name="Note 5 2 8 2" xfId="23246"/>
    <cellStyle name="Note 5 2 8 2 2" xfId="23247"/>
    <cellStyle name="Note 5 2 8 3" xfId="23248"/>
    <cellStyle name="Note 5 2 8 3 2" xfId="23249"/>
    <cellStyle name="Note 5 2 8 4" xfId="23250"/>
    <cellStyle name="Note 5 2 9" xfId="23251"/>
    <cellStyle name="Note 5 2 9 2" xfId="23252"/>
    <cellStyle name="Note 5 2 9 2 2" xfId="23253"/>
    <cellStyle name="Note 5 2 9 3" xfId="23254"/>
    <cellStyle name="Note 5 2 9 3 2" xfId="23255"/>
    <cellStyle name="Note 5 2 9 4" xfId="23256"/>
    <cellStyle name="Note 5 3" xfId="23257"/>
    <cellStyle name="Note 5 3 2" xfId="23258"/>
    <cellStyle name="Note 5 3 2 2" xfId="23259"/>
    <cellStyle name="Note 5 3 2 2 2" xfId="23260"/>
    <cellStyle name="Note 5 3 2 3" xfId="23261"/>
    <cellStyle name="Note 5 3 2 3 2" xfId="23262"/>
    <cellStyle name="Note 5 3 2 4" xfId="23263"/>
    <cellStyle name="Note 5 3 3" xfId="23264"/>
    <cellStyle name="Note 5 3 3 2" xfId="23265"/>
    <cellStyle name="Note 5 3 4" xfId="23266"/>
    <cellStyle name="Note 5 3 4 2" xfId="23267"/>
    <cellStyle name="Note 5 3 5" xfId="23268"/>
    <cellStyle name="Note 5 4" xfId="23269"/>
    <cellStyle name="Note 5 4 2" xfId="23270"/>
    <cellStyle name="Note 5 4 2 2" xfId="23271"/>
    <cellStyle name="Note 5 4 2 2 2" xfId="23272"/>
    <cellStyle name="Note 5 4 2 3" xfId="23273"/>
    <cellStyle name="Note 5 4 2 3 2" xfId="23274"/>
    <cellStyle name="Note 5 4 2 4" xfId="23275"/>
    <cellStyle name="Note 5 4 3" xfId="23276"/>
    <cellStyle name="Note 5 4 3 2" xfId="23277"/>
    <cellStyle name="Note 5 4 4" xfId="23278"/>
    <cellStyle name="Note 5 4 4 2" xfId="23279"/>
    <cellStyle name="Note 5 4 5" xfId="23280"/>
    <cellStyle name="Note 5 5" xfId="23281"/>
    <cellStyle name="Note 5 5 2" xfId="23282"/>
    <cellStyle name="Note 5 5 2 2" xfId="23283"/>
    <cellStyle name="Note 5 5 3" xfId="23284"/>
    <cellStyle name="Note 5 5 3 2" xfId="23285"/>
    <cellStyle name="Note 5 5 4" xfId="23286"/>
    <cellStyle name="Note 5 6" xfId="23287"/>
    <cellStyle name="Note 5 6 2" xfId="23288"/>
    <cellStyle name="Note 5 6 2 2" xfId="23289"/>
    <cellStyle name="Note 5 6 3" xfId="23290"/>
    <cellStyle name="Note 5 6 3 2" xfId="23291"/>
    <cellStyle name="Note 5 6 4" xfId="23292"/>
    <cellStyle name="Note 5 7" xfId="23293"/>
    <cellStyle name="Note 5 7 2" xfId="23294"/>
    <cellStyle name="Note 5 7 2 2" xfId="23295"/>
    <cellStyle name="Note 5 7 3" xfId="23296"/>
    <cellStyle name="Note 5 7 3 2" xfId="23297"/>
    <cellStyle name="Note 5 7 4" xfId="23298"/>
    <cellStyle name="Note 5 8" xfId="23299"/>
    <cellStyle name="Note 5 8 2" xfId="23300"/>
    <cellStyle name="Note 5 8 2 2" xfId="23301"/>
    <cellStyle name="Note 5 8 3" xfId="23302"/>
    <cellStyle name="Note 5 8 3 2" xfId="23303"/>
    <cellStyle name="Note 5 8 4" xfId="23304"/>
    <cellStyle name="Note 5 9" xfId="23305"/>
    <cellStyle name="Note 5 9 2" xfId="23306"/>
    <cellStyle name="Note 5 9 2 2" xfId="23307"/>
    <cellStyle name="Note 5 9 3" xfId="23308"/>
    <cellStyle name="Note 5 9 3 2" xfId="23309"/>
    <cellStyle name="Note 5 9 4" xfId="23310"/>
    <cellStyle name="Note 6" xfId="504"/>
    <cellStyle name="Note 6 10" xfId="5108"/>
    <cellStyle name="Note 6 10 2" xfId="23313"/>
    <cellStyle name="Note 6 10 2 2" xfId="23314"/>
    <cellStyle name="Note 6 10 3" xfId="23315"/>
    <cellStyle name="Note 6 10 3 2" xfId="23316"/>
    <cellStyle name="Note 6 10 4" xfId="23317"/>
    <cellStyle name="Note 6 10 5" xfId="23312"/>
    <cellStyle name="Note 6 11" xfId="5107"/>
    <cellStyle name="Note 6 11 2" xfId="23319"/>
    <cellStyle name="Note 6 11 2 2" xfId="23320"/>
    <cellStyle name="Note 6 11 3" xfId="23321"/>
    <cellStyle name="Note 6 11 3 2" xfId="23322"/>
    <cellStyle name="Note 6 11 4" xfId="23323"/>
    <cellStyle name="Note 6 11 5" xfId="23318"/>
    <cellStyle name="Note 6 12" xfId="7090"/>
    <cellStyle name="Note 6 12 2" xfId="23325"/>
    <cellStyle name="Note 6 12 2 2" xfId="23326"/>
    <cellStyle name="Note 6 12 3" xfId="23327"/>
    <cellStyle name="Note 6 12 3 2" xfId="23328"/>
    <cellStyle name="Note 6 12 4" xfId="23329"/>
    <cellStyle name="Note 6 12 5" xfId="23324"/>
    <cellStyle name="Note 6 12 6" xfId="28122"/>
    <cellStyle name="Note 6 13" xfId="23330"/>
    <cellStyle name="Note 6 13 2" xfId="23331"/>
    <cellStyle name="Note 6 13 2 2" xfId="23332"/>
    <cellStyle name="Note 6 13 3" xfId="23333"/>
    <cellStyle name="Note 6 13 3 2" xfId="23334"/>
    <cellStyle name="Note 6 13 4" xfId="23335"/>
    <cellStyle name="Note 6 14" xfId="23336"/>
    <cellStyle name="Note 6 14 2" xfId="23337"/>
    <cellStyle name="Note 6 15" xfId="23338"/>
    <cellStyle name="Note 6 15 2" xfId="23339"/>
    <cellStyle name="Note 6 16" xfId="23340"/>
    <cellStyle name="Note 6 16 2" xfId="23341"/>
    <cellStyle name="Note 6 17" xfId="23342"/>
    <cellStyle name="Note 6 17 2" xfId="23343"/>
    <cellStyle name="Note 6 17 2 2" xfId="23344"/>
    <cellStyle name="Note 6 17 3" xfId="23345"/>
    <cellStyle name="Note 6 17 3 2" xfId="23346"/>
    <cellStyle name="Note 6 17 4" xfId="23347"/>
    <cellStyle name="Note 6 18" xfId="23348"/>
    <cellStyle name="Note 6 18 2" xfId="23349"/>
    <cellStyle name="Note 6 19" xfId="23350"/>
    <cellStyle name="Note 6 19 2" xfId="23351"/>
    <cellStyle name="Note 6 2" xfId="2005"/>
    <cellStyle name="Note 6 2 10" xfId="23353"/>
    <cellStyle name="Note 6 2 10 2" xfId="23354"/>
    <cellStyle name="Note 6 2 10 2 2" xfId="23355"/>
    <cellStyle name="Note 6 2 10 3" xfId="23356"/>
    <cellStyle name="Note 6 2 10 3 2" xfId="23357"/>
    <cellStyle name="Note 6 2 10 4" xfId="23358"/>
    <cellStyle name="Note 6 2 11" xfId="23359"/>
    <cellStyle name="Note 6 2 11 2" xfId="23360"/>
    <cellStyle name="Note 6 2 11 2 2" xfId="23361"/>
    <cellStyle name="Note 6 2 11 3" xfId="23362"/>
    <cellStyle name="Note 6 2 11 3 2" xfId="23363"/>
    <cellStyle name="Note 6 2 11 4" xfId="23364"/>
    <cellStyle name="Note 6 2 12" xfId="23365"/>
    <cellStyle name="Note 6 2 12 2" xfId="23366"/>
    <cellStyle name="Note 6 2 12 2 2" xfId="23367"/>
    <cellStyle name="Note 6 2 12 3" xfId="23368"/>
    <cellStyle name="Note 6 2 12 3 2" xfId="23369"/>
    <cellStyle name="Note 6 2 12 4" xfId="23370"/>
    <cellStyle name="Note 6 2 13" xfId="23371"/>
    <cellStyle name="Note 6 2 13 2" xfId="23372"/>
    <cellStyle name="Note 6 2 14" xfId="23373"/>
    <cellStyle name="Note 6 2 14 2" xfId="23374"/>
    <cellStyle name="Note 6 2 15" xfId="23375"/>
    <cellStyle name="Note 6 2 15 2" xfId="23376"/>
    <cellStyle name="Note 6 2 16" xfId="23377"/>
    <cellStyle name="Note 6 2 17" xfId="23352"/>
    <cellStyle name="Note 6 2 2" xfId="23378"/>
    <cellStyle name="Note 6 2 2 2" xfId="23379"/>
    <cellStyle name="Note 6 2 2 2 2" xfId="23380"/>
    <cellStyle name="Note 6 2 2 3" xfId="23381"/>
    <cellStyle name="Note 6 2 2 3 2" xfId="23382"/>
    <cellStyle name="Note 6 2 2 4" xfId="23383"/>
    <cellStyle name="Note 6 2 3" xfId="23384"/>
    <cellStyle name="Note 6 2 3 2" xfId="23385"/>
    <cellStyle name="Note 6 2 3 2 2" xfId="23386"/>
    <cellStyle name="Note 6 2 3 3" xfId="23387"/>
    <cellStyle name="Note 6 2 3 3 2" xfId="23388"/>
    <cellStyle name="Note 6 2 3 4" xfId="23389"/>
    <cellStyle name="Note 6 2 4" xfId="23390"/>
    <cellStyle name="Note 6 2 4 2" xfId="23391"/>
    <cellStyle name="Note 6 2 4 2 2" xfId="23392"/>
    <cellStyle name="Note 6 2 4 3" xfId="23393"/>
    <cellStyle name="Note 6 2 4 3 2" xfId="23394"/>
    <cellStyle name="Note 6 2 4 4" xfId="23395"/>
    <cellStyle name="Note 6 2 5" xfId="23396"/>
    <cellStyle name="Note 6 2 5 2" xfId="23397"/>
    <cellStyle name="Note 6 2 5 2 2" xfId="23398"/>
    <cellStyle name="Note 6 2 5 3" xfId="23399"/>
    <cellStyle name="Note 6 2 5 3 2" xfId="23400"/>
    <cellStyle name="Note 6 2 5 4" xfId="23401"/>
    <cellStyle name="Note 6 2 6" xfId="23402"/>
    <cellStyle name="Note 6 2 6 2" xfId="23403"/>
    <cellStyle name="Note 6 2 6 2 2" xfId="23404"/>
    <cellStyle name="Note 6 2 6 3" xfId="23405"/>
    <cellStyle name="Note 6 2 6 3 2" xfId="23406"/>
    <cellStyle name="Note 6 2 6 4" xfId="23407"/>
    <cellStyle name="Note 6 2 7" xfId="23408"/>
    <cellStyle name="Note 6 2 7 2" xfId="23409"/>
    <cellStyle name="Note 6 2 7 2 2" xfId="23410"/>
    <cellStyle name="Note 6 2 7 3" xfId="23411"/>
    <cellStyle name="Note 6 2 7 3 2" xfId="23412"/>
    <cellStyle name="Note 6 2 7 4" xfId="23413"/>
    <cellStyle name="Note 6 2 8" xfId="23414"/>
    <cellStyle name="Note 6 2 8 2" xfId="23415"/>
    <cellStyle name="Note 6 2 8 2 2" xfId="23416"/>
    <cellStyle name="Note 6 2 8 3" xfId="23417"/>
    <cellStyle name="Note 6 2 8 3 2" xfId="23418"/>
    <cellStyle name="Note 6 2 8 4" xfId="23419"/>
    <cellStyle name="Note 6 2 9" xfId="23420"/>
    <cellStyle name="Note 6 2 9 2" xfId="23421"/>
    <cellStyle name="Note 6 2 9 2 2" xfId="23422"/>
    <cellStyle name="Note 6 2 9 3" xfId="23423"/>
    <cellStyle name="Note 6 2 9 3 2" xfId="23424"/>
    <cellStyle name="Note 6 2 9 4" xfId="23425"/>
    <cellStyle name="Note 6 20" xfId="23426"/>
    <cellStyle name="Note 6 20 2" xfId="23427"/>
    <cellStyle name="Note 6 21" xfId="23428"/>
    <cellStyle name="Note 6 22" xfId="23311"/>
    <cellStyle name="Note 6 23" xfId="24844"/>
    <cellStyle name="Note 6 24" xfId="28121"/>
    <cellStyle name="Note 6 3" xfId="2380"/>
    <cellStyle name="Note 6 3 2" xfId="23430"/>
    <cellStyle name="Note 6 3 2 2" xfId="23431"/>
    <cellStyle name="Note 6 3 3" xfId="23432"/>
    <cellStyle name="Note 6 3 3 2" xfId="23433"/>
    <cellStyle name="Note 6 3 4" xfId="23434"/>
    <cellStyle name="Note 6 3 4 2" xfId="23435"/>
    <cellStyle name="Note 6 3 5" xfId="23436"/>
    <cellStyle name="Note 6 3 6" xfId="23429"/>
    <cellStyle name="Note 6 4" xfId="2753"/>
    <cellStyle name="Note 6 4 2" xfId="23438"/>
    <cellStyle name="Note 6 4 2 2" xfId="23439"/>
    <cellStyle name="Note 6 4 3" xfId="23440"/>
    <cellStyle name="Note 6 4 3 2" xfId="23441"/>
    <cellStyle name="Note 6 4 4" xfId="23442"/>
    <cellStyle name="Note 6 4 4 2" xfId="23443"/>
    <cellStyle name="Note 6 4 5" xfId="23444"/>
    <cellStyle name="Note 6 4 6" xfId="23437"/>
    <cellStyle name="Note 6 5" xfId="3126"/>
    <cellStyle name="Note 6 5 2" xfId="23446"/>
    <cellStyle name="Note 6 5 2 2" xfId="23447"/>
    <cellStyle name="Note 6 5 3" xfId="23448"/>
    <cellStyle name="Note 6 5 3 2" xfId="23449"/>
    <cellStyle name="Note 6 5 4" xfId="23450"/>
    <cellStyle name="Note 6 5 4 2" xfId="23451"/>
    <cellStyle name="Note 6 5 5" xfId="23452"/>
    <cellStyle name="Note 6 5 6" xfId="23445"/>
    <cellStyle name="Note 6 6" xfId="3497"/>
    <cellStyle name="Note 6 6 2" xfId="23454"/>
    <cellStyle name="Note 6 6 2 2" xfId="23455"/>
    <cellStyle name="Note 6 6 3" xfId="23456"/>
    <cellStyle name="Note 6 6 3 2" xfId="23457"/>
    <cellStyle name="Note 6 6 4" xfId="23458"/>
    <cellStyle name="Note 6 6 4 2" xfId="23459"/>
    <cellStyle name="Note 6 6 5" xfId="23460"/>
    <cellStyle name="Note 6 6 6" xfId="23453"/>
    <cellStyle name="Note 6 7" xfId="3803"/>
    <cellStyle name="Note 6 7 2" xfId="23462"/>
    <cellStyle name="Note 6 7 2 2" xfId="23463"/>
    <cellStyle name="Note 6 7 3" xfId="23464"/>
    <cellStyle name="Note 6 7 3 2" xfId="23465"/>
    <cellStyle name="Note 6 7 4" xfId="23466"/>
    <cellStyle name="Note 6 7 4 2" xfId="23467"/>
    <cellStyle name="Note 6 7 5" xfId="23468"/>
    <cellStyle name="Note 6 7 6" xfId="23461"/>
    <cellStyle name="Note 6 8" xfId="1360"/>
    <cellStyle name="Note 6 8 10" xfId="23469"/>
    <cellStyle name="Note 6 8 11" xfId="24892"/>
    <cellStyle name="Note 6 8 12" xfId="28123"/>
    <cellStyle name="Note 6 8 2" xfId="4160"/>
    <cellStyle name="Note 6 8 2 2" xfId="5111"/>
    <cellStyle name="Note 6 8 2 2 2" xfId="23472"/>
    <cellStyle name="Note 6 8 2 2 3" xfId="23471"/>
    <cellStyle name="Note 6 8 2 3" xfId="5110"/>
    <cellStyle name="Note 6 8 2 3 2" xfId="23473"/>
    <cellStyle name="Note 6 8 2 4" xfId="7092"/>
    <cellStyle name="Note 6 8 2 4 2" xfId="28125"/>
    <cellStyle name="Note 6 8 2 5" xfId="23470"/>
    <cellStyle name="Note 6 8 2 6" xfId="25012"/>
    <cellStyle name="Note 6 8 2 7" xfId="28124"/>
    <cellStyle name="Note 6 8 3" xfId="5112"/>
    <cellStyle name="Note 6 8 3 2" xfId="23475"/>
    <cellStyle name="Note 6 8 3 3" xfId="23474"/>
    <cellStyle name="Note 6 8 4" xfId="5109"/>
    <cellStyle name="Note 6 8 4 2" xfId="23477"/>
    <cellStyle name="Note 6 8 4 3" xfId="23476"/>
    <cellStyle name="Note 6 8 5" xfId="7091"/>
    <cellStyle name="Note 6 8 5 2" xfId="23479"/>
    <cellStyle name="Note 6 8 5 2 2" xfId="23480"/>
    <cellStyle name="Note 6 8 5 3" xfId="23481"/>
    <cellStyle name="Note 6 8 5 3 2" xfId="23482"/>
    <cellStyle name="Note 6 8 5 4" xfId="23483"/>
    <cellStyle name="Note 6 8 5 5" xfId="23478"/>
    <cellStyle name="Note 6 8 5 6" xfId="28126"/>
    <cellStyle name="Note 6 8 6" xfId="23484"/>
    <cellStyle name="Note 6 8 6 2" xfId="23485"/>
    <cellStyle name="Note 6 8 7" xfId="23486"/>
    <cellStyle name="Note 6 8 7 2" xfId="23487"/>
    <cellStyle name="Note 6 8 8" xfId="23488"/>
    <cellStyle name="Note 6 8 8 2" xfId="23489"/>
    <cellStyle name="Note 6 8 9" xfId="23490"/>
    <cellStyle name="Note 6 9" xfId="3830"/>
    <cellStyle name="Note 6 9 2" xfId="5114"/>
    <cellStyle name="Note 6 9 2 2" xfId="23493"/>
    <cellStyle name="Note 6 9 2 3" xfId="23492"/>
    <cellStyle name="Note 6 9 3" xfId="5113"/>
    <cellStyle name="Note 6 9 3 2" xfId="23495"/>
    <cellStyle name="Note 6 9 3 3" xfId="23494"/>
    <cellStyle name="Note 6 9 4" xfId="7093"/>
    <cellStyle name="Note 6 9 4 2" xfId="23497"/>
    <cellStyle name="Note 6 9 4 3" xfId="23496"/>
    <cellStyle name="Note 6 9 4 4" xfId="28128"/>
    <cellStyle name="Note 6 9 5" xfId="23498"/>
    <cellStyle name="Note 6 9 6" xfId="23491"/>
    <cellStyle name="Note 6 9 7" xfId="24966"/>
    <cellStyle name="Note 6 9 8" xfId="28127"/>
    <cellStyle name="Note 7" xfId="505"/>
    <cellStyle name="Note 7 10" xfId="23500"/>
    <cellStyle name="Note 7 10 2" xfId="23501"/>
    <cellStyle name="Note 7 10 2 2" xfId="23502"/>
    <cellStyle name="Note 7 10 3" xfId="23503"/>
    <cellStyle name="Note 7 10 3 2" xfId="23504"/>
    <cellStyle name="Note 7 10 4" xfId="23505"/>
    <cellStyle name="Note 7 11" xfId="23506"/>
    <cellStyle name="Note 7 11 2" xfId="23507"/>
    <cellStyle name="Note 7 11 2 2" xfId="23508"/>
    <cellStyle name="Note 7 11 3" xfId="23509"/>
    <cellStyle name="Note 7 11 3 2" xfId="23510"/>
    <cellStyle name="Note 7 11 4" xfId="23511"/>
    <cellStyle name="Note 7 12" xfId="23512"/>
    <cellStyle name="Note 7 12 2" xfId="23513"/>
    <cellStyle name="Note 7 12 2 2" xfId="23514"/>
    <cellStyle name="Note 7 12 3" xfId="23515"/>
    <cellStyle name="Note 7 12 3 2" xfId="23516"/>
    <cellStyle name="Note 7 12 4" xfId="23517"/>
    <cellStyle name="Note 7 13" xfId="23518"/>
    <cellStyle name="Note 7 13 2" xfId="23519"/>
    <cellStyle name="Note 7 13 2 2" xfId="23520"/>
    <cellStyle name="Note 7 13 3" xfId="23521"/>
    <cellStyle name="Note 7 13 3 2" xfId="23522"/>
    <cellStyle name="Note 7 13 4" xfId="23523"/>
    <cellStyle name="Note 7 14" xfId="23524"/>
    <cellStyle name="Note 7 14 2" xfId="23525"/>
    <cellStyle name="Note 7 15" xfId="23526"/>
    <cellStyle name="Note 7 15 2" xfId="23527"/>
    <cellStyle name="Note 7 16" xfId="23528"/>
    <cellStyle name="Note 7 16 2" xfId="23529"/>
    <cellStyle name="Note 7 17" xfId="23530"/>
    <cellStyle name="Note 7 18" xfId="23499"/>
    <cellStyle name="Note 7 2" xfId="23531"/>
    <cellStyle name="Note 7 2 10" xfId="23532"/>
    <cellStyle name="Note 7 2 10 2" xfId="23533"/>
    <cellStyle name="Note 7 2 10 2 2" xfId="23534"/>
    <cellStyle name="Note 7 2 10 3" xfId="23535"/>
    <cellStyle name="Note 7 2 10 3 2" xfId="23536"/>
    <cellStyle name="Note 7 2 10 4" xfId="23537"/>
    <cellStyle name="Note 7 2 11" xfId="23538"/>
    <cellStyle name="Note 7 2 11 2" xfId="23539"/>
    <cellStyle name="Note 7 2 11 2 2" xfId="23540"/>
    <cellStyle name="Note 7 2 11 3" xfId="23541"/>
    <cellStyle name="Note 7 2 11 3 2" xfId="23542"/>
    <cellStyle name="Note 7 2 11 4" xfId="23543"/>
    <cellStyle name="Note 7 2 12" xfId="23544"/>
    <cellStyle name="Note 7 2 12 2" xfId="23545"/>
    <cellStyle name="Note 7 2 12 2 2" xfId="23546"/>
    <cellStyle name="Note 7 2 12 3" xfId="23547"/>
    <cellStyle name="Note 7 2 12 3 2" xfId="23548"/>
    <cellStyle name="Note 7 2 12 4" xfId="23549"/>
    <cellStyle name="Note 7 2 13" xfId="23550"/>
    <cellStyle name="Note 7 2 13 2" xfId="23551"/>
    <cellStyle name="Note 7 2 14" xfId="23552"/>
    <cellStyle name="Note 7 2 14 2" xfId="23553"/>
    <cellStyle name="Note 7 2 15" xfId="23554"/>
    <cellStyle name="Note 7 2 2" xfId="23555"/>
    <cellStyle name="Note 7 2 2 2" xfId="23556"/>
    <cellStyle name="Note 7 2 2 2 2" xfId="23557"/>
    <cellStyle name="Note 7 2 2 3" xfId="23558"/>
    <cellStyle name="Note 7 2 2 3 2" xfId="23559"/>
    <cellStyle name="Note 7 2 2 4" xfId="23560"/>
    <cellStyle name="Note 7 2 3" xfId="23561"/>
    <cellStyle name="Note 7 2 3 2" xfId="23562"/>
    <cellStyle name="Note 7 2 3 2 2" xfId="23563"/>
    <cellStyle name="Note 7 2 3 3" xfId="23564"/>
    <cellStyle name="Note 7 2 3 3 2" xfId="23565"/>
    <cellStyle name="Note 7 2 3 4" xfId="23566"/>
    <cellStyle name="Note 7 2 4" xfId="23567"/>
    <cellStyle name="Note 7 2 4 2" xfId="23568"/>
    <cellStyle name="Note 7 2 4 2 2" xfId="23569"/>
    <cellStyle name="Note 7 2 4 3" xfId="23570"/>
    <cellStyle name="Note 7 2 4 3 2" xfId="23571"/>
    <cellStyle name="Note 7 2 4 4" xfId="23572"/>
    <cellStyle name="Note 7 2 5" xfId="23573"/>
    <cellStyle name="Note 7 2 5 2" xfId="23574"/>
    <cellStyle name="Note 7 2 5 2 2" xfId="23575"/>
    <cellStyle name="Note 7 2 5 3" xfId="23576"/>
    <cellStyle name="Note 7 2 5 3 2" xfId="23577"/>
    <cellStyle name="Note 7 2 5 4" xfId="23578"/>
    <cellStyle name="Note 7 2 6" xfId="23579"/>
    <cellStyle name="Note 7 2 6 2" xfId="23580"/>
    <cellStyle name="Note 7 2 6 2 2" xfId="23581"/>
    <cellStyle name="Note 7 2 6 3" xfId="23582"/>
    <cellStyle name="Note 7 2 6 3 2" xfId="23583"/>
    <cellStyle name="Note 7 2 6 4" xfId="23584"/>
    <cellStyle name="Note 7 2 7" xfId="23585"/>
    <cellStyle name="Note 7 2 7 2" xfId="23586"/>
    <cellStyle name="Note 7 2 7 2 2" xfId="23587"/>
    <cellStyle name="Note 7 2 7 3" xfId="23588"/>
    <cellStyle name="Note 7 2 7 3 2" xfId="23589"/>
    <cellStyle name="Note 7 2 7 4" xfId="23590"/>
    <cellStyle name="Note 7 2 8" xfId="23591"/>
    <cellStyle name="Note 7 2 8 2" xfId="23592"/>
    <cellStyle name="Note 7 2 8 2 2" xfId="23593"/>
    <cellStyle name="Note 7 2 8 3" xfId="23594"/>
    <cellStyle name="Note 7 2 8 3 2" xfId="23595"/>
    <cellStyle name="Note 7 2 8 4" xfId="23596"/>
    <cellStyle name="Note 7 2 9" xfId="23597"/>
    <cellStyle name="Note 7 2 9 2" xfId="23598"/>
    <cellStyle name="Note 7 2 9 2 2" xfId="23599"/>
    <cellStyle name="Note 7 2 9 3" xfId="23600"/>
    <cellStyle name="Note 7 2 9 3 2" xfId="23601"/>
    <cellStyle name="Note 7 2 9 4" xfId="23602"/>
    <cellStyle name="Note 7 3" xfId="23603"/>
    <cellStyle name="Note 7 3 2" xfId="23604"/>
    <cellStyle name="Note 7 3 2 2" xfId="23605"/>
    <cellStyle name="Note 7 3 3" xfId="23606"/>
    <cellStyle name="Note 7 3 3 2" xfId="23607"/>
    <cellStyle name="Note 7 3 4" xfId="23608"/>
    <cellStyle name="Note 7 4" xfId="23609"/>
    <cellStyle name="Note 7 4 2" xfId="23610"/>
    <cellStyle name="Note 7 4 2 2" xfId="23611"/>
    <cellStyle name="Note 7 4 3" xfId="23612"/>
    <cellStyle name="Note 7 4 3 2" xfId="23613"/>
    <cellStyle name="Note 7 4 4" xfId="23614"/>
    <cellStyle name="Note 7 5" xfId="23615"/>
    <cellStyle name="Note 7 5 2" xfId="23616"/>
    <cellStyle name="Note 7 5 2 2" xfId="23617"/>
    <cellStyle name="Note 7 5 3" xfId="23618"/>
    <cellStyle name="Note 7 5 3 2" xfId="23619"/>
    <cellStyle name="Note 7 5 4" xfId="23620"/>
    <cellStyle name="Note 7 6" xfId="23621"/>
    <cellStyle name="Note 7 6 2" xfId="23622"/>
    <cellStyle name="Note 7 6 2 2" xfId="23623"/>
    <cellStyle name="Note 7 6 3" xfId="23624"/>
    <cellStyle name="Note 7 6 3 2" xfId="23625"/>
    <cellStyle name="Note 7 6 4" xfId="23626"/>
    <cellStyle name="Note 7 7" xfId="23627"/>
    <cellStyle name="Note 7 7 2" xfId="23628"/>
    <cellStyle name="Note 7 7 2 2" xfId="23629"/>
    <cellStyle name="Note 7 7 3" xfId="23630"/>
    <cellStyle name="Note 7 7 3 2" xfId="23631"/>
    <cellStyle name="Note 7 7 4" xfId="23632"/>
    <cellStyle name="Note 7 8" xfId="23633"/>
    <cellStyle name="Note 7 8 2" xfId="23634"/>
    <cellStyle name="Note 7 8 2 2" xfId="23635"/>
    <cellStyle name="Note 7 8 3" xfId="23636"/>
    <cellStyle name="Note 7 8 3 2" xfId="23637"/>
    <cellStyle name="Note 7 8 4" xfId="23638"/>
    <cellStyle name="Note 7 9" xfId="23639"/>
    <cellStyle name="Note 7 9 2" xfId="23640"/>
    <cellStyle name="Note 7 9 2 2" xfId="23641"/>
    <cellStyle name="Note 7 9 3" xfId="23642"/>
    <cellStyle name="Note 7 9 3 2" xfId="23643"/>
    <cellStyle name="Note 7 9 4" xfId="23644"/>
    <cellStyle name="Note 8" xfId="628"/>
    <cellStyle name="Note 8 10" xfId="23646"/>
    <cellStyle name="Note 8 10 2" xfId="23647"/>
    <cellStyle name="Note 8 10 2 2" xfId="23648"/>
    <cellStyle name="Note 8 10 3" xfId="23649"/>
    <cellStyle name="Note 8 10 3 2" xfId="23650"/>
    <cellStyle name="Note 8 10 4" xfId="23651"/>
    <cellStyle name="Note 8 11" xfId="23652"/>
    <cellStyle name="Note 8 11 2" xfId="23653"/>
    <cellStyle name="Note 8 11 2 2" xfId="23654"/>
    <cellStyle name="Note 8 11 3" xfId="23655"/>
    <cellStyle name="Note 8 11 3 2" xfId="23656"/>
    <cellStyle name="Note 8 11 4" xfId="23657"/>
    <cellStyle name="Note 8 12" xfId="23658"/>
    <cellStyle name="Note 8 12 2" xfId="23659"/>
    <cellStyle name="Note 8 12 2 2" xfId="23660"/>
    <cellStyle name="Note 8 12 3" xfId="23661"/>
    <cellStyle name="Note 8 12 3 2" xfId="23662"/>
    <cellStyle name="Note 8 12 4" xfId="23663"/>
    <cellStyle name="Note 8 13" xfId="23664"/>
    <cellStyle name="Note 8 13 2" xfId="23665"/>
    <cellStyle name="Note 8 13 2 2" xfId="23666"/>
    <cellStyle name="Note 8 13 3" xfId="23667"/>
    <cellStyle name="Note 8 13 3 2" xfId="23668"/>
    <cellStyle name="Note 8 13 4" xfId="23669"/>
    <cellStyle name="Note 8 14" xfId="23670"/>
    <cellStyle name="Note 8 14 2" xfId="23671"/>
    <cellStyle name="Note 8 15" xfId="23672"/>
    <cellStyle name="Note 8 15 2" xfId="23673"/>
    <cellStyle name="Note 8 16" xfId="23674"/>
    <cellStyle name="Note 8 16 2" xfId="23675"/>
    <cellStyle name="Note 8 17" xfId="23676"/>
    <cellStyle name="Note 8 17 2" xfId="23677"/>
    <cellStyle name="Note 8 17 2 2" xfId="23678"/>
    <cellStyle name="Note 8 17 3" xfId="23679"/>
    <cellStyle name="Note 8 17 3 2" xfId="23680"/>
    <cellStyle name="Note 8 17 4" xfId="23681"/>
    <cellStyle name="Note 8 18" xfId="23682"/>
    <cellStyle name="Note 8 18 2" xfId="23683"/>
    <cellStyle name="Note 8 19" xfId="23684"/>
    <cellStyle name="Note 8 19 2" xfId="23685"/>
    <cellStyle name="Note 8 2" xfId="1371"/>
    <cellStyle name="Note 8 2 10" xfId="23687"/>
    <cellStyle name="Note 8 2 10 2" xfId="23688"/>
    <cellStyle name="Note 8 2 10 2 2" xfId="23689"/>
    <cellStyle name="Note 8 2 10 3" xfId="23690"/>
    <cellStyle name="Note 8 2 10 3 2" xfId="23691"/>
    <cellStyle name="Note 8 2 10 4" xfId="23692"/>
    <cellStyle name="Note 8 2 11" xfId="23693"/>
    <cellStyle name="Note 8 2 11 2" xfId="23694"/>
    <cellStyle name="Note 8 2 11 2 2" xfId="23695"/>
    <cellStyle name="Note 8 2 11 3" xfId="23696"/>
    <cellStyle name="Note 8 2 11 3 2" xfId="23697"/>
    <cellStyle name="Note 8 2 11 4" xfId="23698"/>
    <cellStyle name="Note 8 2 12" xfId="23699"/>
    <cellStyle name="Note 8 2 12 2" xfId="23700"/>
    <cellStyle name="Note 8 2 12 2 2" xfId="23701"/>
    <cellStyle name="Note 8 2 12 3" xfId="23702"/>
    <cellStyle name="Note 8 2 12 3 2" xfId="23703"/>
    <cellStyle name="Note 8 2 12 4" xfId="23704"/>
    <cellStyle name="Note 8 2 13" xfId="23705"/>
    <cellStyle name="Note 8 2 13 2" xfId="23706"/>
    <cellStyle name="Note 8 2 14" xfId="23707"/>
    <cellStyle name="Note 8 2 14 2" xfId="23708"/>
    <cellStyle name="Note 8 2 15" xfId="23709"/>
    <cellStyle name="Note 8 2 15 2" xfId="23710"/>
    <cellStyle name="Note 8 2 16" xfId="23711"/>
    <cellStyle name="Note 8 2 16 2" xfId="23712"/>
    <cellStyle name="Note 8 2 16 2 2" xfId="23713"/>
    <cellStyle name="Note 8 2 16 3" xfId="23714"/>
    <cellStyle name="Note 8 2 16 3 2" xfId="23715"/>
    <cellStyle name="Note 8 2 16 4" xfId="23716"/>
    <cellStyle name="Note 8 2 17" xfId="23717"/>
    <cellStyle name="Note 8 2 17 2" xfId="23718"/>
    <cellStyle name="Note 8 2 18" xfId="23719"/>
    <cellStyle name="Note 8 2 18 2" xfId="23720"/>
    <cellStyle name="Note 8 2 19" xfId="23721"/>
    <cellStyle name="Note 8 2 19 2" xfId="23722"/>
    <cellStyle name="Note 8 2 2" xfId="4171"/>
    <cellStyle name="Note 8 2 2 2" xfId="5118"/>
    <cellStyle name="Note 8 2 2 2 2" xfId="23725"/>
    <cellStyle name="Note 8 2 2 2 3" xfId="23724"/>
    <cellStyle name="Note 8 2 2 3" xfId="5117"/>
    <cellStyle name="Note 8 2 2 3 2" xfId="23727"/>
    <cellStyle name="Note 8 2 2 3 3" xfId="23726"/>
    <cellStyle name="Note 8 2 2 4" xfId="7096"/>
    <cellStyle name="Note 8 2 2 4 2" xfId="23729"/>
    <cellStyle name="Note 8 2 2 4 3" xfId="23728"/>
    <cellStyle name="Note 8 2 2 4 4" xfId="28132"/>
    <cellStyle name="Note 8 2 2 5" xfId="23730"/>
    <cellStyle name="Note 8 2 2 6" xfId="23723"/>
    <cellStyle name="Note 8 2 2 7" xfId="25023"/>
    <cellStyle name="Note 8 2 2 8" xfId="28131"/>
    <cellStyle name="Note 8 2 20" xfId="23731"/>
    <cellStyle name="Note 8 2 21" xfId="23686"/>
    <cellStyle name="Note 8 2 22" xfId="24903"/>
    <cellStyle name="Note 8 2 23" xfId="28130"/>
    <cellStyle name="Note 8 2 3" xfId="5119"/>
    <cellStyle name="Note 8 2 3 2" xfId="23733"/>
    <cellStyle name="Note 8 2 3 2 2" xfId="23734"/>
    <cellStyle name="Note 8 2 3 3" xfId="23735"/>
    <cellStyle name="Note 8 2 3 3 2" xfId="23736"/>
    <cellStyle name="Note 8 2 3 4" xfId="23737"/>
    <cellStyle name="Note 8 2 3 5" xfId="23732"/>
    <cellStyle name="Note 8 2 4" xfId="5116"/>
    <cellStyle name="Note 8 2 4 2" xfId="23739"/>
    <cellStyle name="Note 8 2 4 2 2" xfId="23740"/>
    <cellStyle name="Note 8 2 4 3" xfId="23741"/>
    <cellStyle name="Note 8 2 4 3 2" xfId="23742"/>
    <cellStyle name="Note 8 2 4 4" xfId="23743"/>
    <cellStyle name="Note 8 2 4 5" xfId="23738"/>
    <cellStyle name="Note 8 2 5" xfId="7095"/>
    <cellStyle name="Note 8 2 5 2" xfId="23745"/>
    <cellStyle name="Note 8 2 5 2 2" xfId="23746"/>
    <cellStyle name="Note 8 2 5 3" xfId="23747"/>
    <cellStyle name="Note 8 2 5 3 2" xfId="23748"/>
    <cellStyle name="Note 8 2 5 4" xfId="23749"/>
    <cellStyle name="Note 8 2 5 5" xfId="23744"/>
    <cellStyle name="Note 8 2 5 6" xfId="28133"/>
    <cellStyle name="Note 8 2 6" xfId="23750"/>
    <cellStyle name="Note 8 2 6 2" xfId="23751"/>
    <cellStyle name="Note 8 2 6 2 2" xfId="23752"/>
    <cellStyle name="Note 8 2 6 3" xfId="23753"/>
    <cellStyle name="Note 8 2 6 3 2" xfId="23754"/>
    <cellStyle name="Note 8 2 6 4" xfId="23755"/>
    <cellStyle name="Note 8 2 7" xfId="23756"/>
    <cellStyle name="Note 8 2 7 2" xfId="23757"/>
    <cellStyle name="Note 8 2 7 2 2" xfId="23758"/>
    <cellStyle name="Note 8 2 7 3" xfId="23759"/>
    <cellStyle name="Note 8 2 7 3 2" xfId="23760"/>
    <cellStyle name="Note 8 2 7 4" xfId="23761"/>
    <cellStyle name="Note 8 2 8" xfId="23762"/>
    <cellStyle name="Note 8 2 8 2" xfId="23763"/>
    <cellStyle name="Note 8 2 8 2 2" xfId="23764"/>
    <cellStyle name="Note 8 2 8 3" xfId="23765"/>
    <cellStyle name="Note 8 2 8 3 2" xfId="23766"/>
    <cellStyle name="Note 8 2 8 4" xfId="23767"/>
    <cellStyle name="Note 8 2 9" xfId="23768"/>
    <cellStyle name="Note 8 2 9 2" xfId="23769"/>
    <cellStyle name="Note 8 2 9 2 2" xfId="23770"/>
    <cellStyle name="Note 8 2 9 3" xfId="23771"/>
    <cellStyle name="Note 8 2 9 3 2" xfId="23772"/>
    <cellStyle name="Note 8 2 9 4" xfId="23773"/>
    <cellStyle name="Note 8 20" xfId="23774"/>
    <cellStyle name="Note 8 20 2" xfId="23775"/>
    <cellStyle name="Note 8 21" xfId="23776"/>
    <cellStyle name="Note 8 22" xfId="23645"/>
    <cellStyle name="Note 8 23" xfId="24858"/>
    <cellStyle name="Note 8 24" xfId="28129"/>
    <cellStyle name="Note 8 3" xfId="3844"/>
    <cellStyle name="Note 8 3 2" xfId="5121"/>
    <cellStyle name="Note 8 3 2 2" xfId="23779"/>
    <cellStyle name="Note 8 3 2 3" xfId="23778"/>
    <cellStyle name="Note 8 3 3" xfId="5120"/>
    <cellStyle name="Note 8 3 3 2" xfId="23781"/>
    <cellStyle name="Note 8 3 3 3" xfId="23780"/>
    <cellStyle name="Note 8 3 4" xfId="7097"/>
    <cellStyle name="Note 8 3 4 2" xfId="23783"/>
    <cellStyle name="Note 8 3 4 3" xfId="23782"/>
    <cellStyle name="Note 8 3 4 4" xfId="28135"/>
    <cellStyle name="Note 8 3 5" xfId="23784"/>
    <cellStyle name="Note 8 3 6" xfId="23777"/>
    <cellStyle name="Note 8 3 7" xfId="24980"/>
    <cellStyle name="Note 8 3 8" xfId="28134"/>
    <cellStyle name="Note 8 4" xfId="5122"/>
    <cellStyle name="Note 8 4 2" xfId="23786"/>
    <cellStyle name="Note 8 4 2 2" xfId="23787"/>
    <cellStyle name="Note 8 4 3" xfId="23788"/>
    <cellStyle name="Note 8 4 3 2" xfId="23789"/>
    <cellStyle name="Note 8 4 4" xfId="23790"/>
    <cellStyle name="Note 8 4 5" xfId="23785"/>
    <cellStyle name="Note 8 5" xfId="5115"/>
    <cellStyle name="Note 8 5 2" xfId="23792"/>
    <cellStyle name="Note 8 5 2 2" xfId="23793"/>
    <cellStyle name="Note 8 5 3" xfId="23794"/>
    <cellStyle name="Note 8 5 3 2" xfId="23795"/>
    <cellStyle name="Note 8 5 4" xfId="23796"/>
    <cellStyle name="Note 8 5 5" xfId="23791"/>
    <cellStyle name="Note 8 6" xfId="7094"/>
    <cellStyle name="Note 8 6 2" xfId="23798"/>
    <cellStyle name="Note 8 6 2 2" xfId="23799"/>
    <cellStyle name="Note 8 6 3" xfId="23800"/>
    <cellStyle name="Note 8 6 3 2" xfId="23801"/>
    <cellStyle name="Note 8 6 4" xfId="23802"/>
    <cellStyle name="Note 8 6 5" xfId="23797"/>
    <cellStyle name="Note 8 6 6" xfId="28136"/>
    <cellStyle name="Note 8 7" xfId="23803"/>
    <cellStyle name="Note 8 7 2" xfId="23804"/>
    <cellStyle name="Note 8 7 2 2" xfId="23805"/>
    <cellStyle name="Note 8 7 3" xfId="23806"/>
    <cellStyle name="Note 8 7 3 2" xfId="23807"/>
    <cellStyle name="Note 8 7 4" xfId="23808"/>
    <cellStyle name="Note 8 8" xfId="23809"/>
    <cellStyle name="Note 8 8 2" xfId="23810"/>
    <cellStyle name="Note 8 8 2 2" xfId="23811"/>
    <cellStyle name="Note 8 8 3" xfId="23812"/>
    <cellStyle name="Note 8 8 3 2" xfId="23813"/>
    <cellStyle name="Note 8 8 4" xfId="23814"/>
    <cellStyle name="Note 8 9" xfId="23815"/>
    <cellStyle name="Note 8 9 2" xfId="23816"/>
    <cellStyle name="Note 8 9 2 2" xfId="23817"/>
    <cellStyle name="Note 8 9 3" xfId="23818"/>
    <cellStyle name="Note 8 9 3 2" xfId="23819"/>
    <cellStyle name="Note 8 9 4" xfId="23820"/>
    <cellStyle name="Note 9" xfId="629"/>
    <cellStyle name="Note 9 2" xfId="23822"/>
    <cellStyle name="Note 9 2 2" xfId="23823"/>
    <cellStyle name="Note 9 2 2 2" xfId="23824"/>
    <cellStyle name="Note 9 2 2 2 2" xfId="23825"/>
    <cellStyle name="Note 9 2 2 3" xfId="23826"/>
    <cellStyle name="Note 9 2 2 3 2" xfId="23827"/>
    <cellStyle name="Note 9 2 2 4" xfId="23828"/>
    <cellStyle name="Note 9 2 3" xfId="23829"/>
    <cellStyle name="Note 9 2 3 2" xfId="23830"/>
    <cellStyle name="Note 9 2 4" xfId="23831"/>
    <cellStyle name="Note 9 2 4 2" xfId="23832"/>
    <cellStyle name="Note 9 2 5" xfId="23833"/>
    <cellStyle name="Note 9 3" xfId="23834"/>
    <cellStyle name="Note 9 4" xfId="23821"/>
    <cellStyle name="Output 10" xfId="786"/>
    <cellStyle name="Output 10 2" xfId="23837"/>
    <cellStyle name="Output 10 3" xfId="23836"/>
    <cellStyle name="Output 11" xfId="787"/>
    <cellStyle name="Output 11 2" xfId="23839"/>
    <cellStyle name="Output 11 3" xfId="23838"/>
    <cellStyle name="Output 12" xfId="911"/>
    <cellStyle name="Output 12 2" xfId="23840"/>
    <cellStyle name="Output 13" xfId="912"/>
    <cellStyle name="Output 13 2" xfId="23835"/>
    <cellStyle name="Output 14" xfId="995"/>
    <cellStyle name="Output 2" xfId="106"/>
    <cellStyle name="Output 2 10" xfId="1704"/>
    <cellStyle name="Output 2 10 2" xfId="23843"/>
    <cellStyle name="Output 2 10 3" xfId="23842"/>
    <cellStyle name="Output 2 11" xfId="2039"/>
    <cellStyle name="Output 2 11 2" xfId="23845"/>
    <cellStyle name="Output 2 11 3" xfId="23844"/>
    <cellStyle name="Output 2 12" xfId="2413"/>
    <cellStyle name="Output 2 12 2" xfId="23847"/>
    <cellStyle name="Output 2 12 3" xfId="23846"/>
    <cellStyle name="Output 2 13" xfId="2786"/>
    <cellStyle name="Output 2 13 2" xfId="23849"/>
    <cellStyle name="Output 2 13 3" xfId="23848"/>
    <cellStyle name="Output 2 14" xfId="3160"/>
    <cellStyle name="Output 2 14 2" xfId="23851"/>
    <cellStyle name="Output 2 14 3" xfId="23850"/>
    <cellStyle name="Output 2 15" xfId="3531"/>
    <cellStyle name="Output 2 15 2" xfId="23853"/>
    <cellStyle name="Output 2 15 3" xfId="23852"/>
    <cellStyle name="Output 2 16" xfId="3668"/>
    <cellStyle name="Output 2 16 2" xfId="23855"/>
    <cellStyle name="Output 2 16 3" xfId="23854"/>
    <cellStyle name="Output 2 17" xfId="23856"/>
    <cellStyle name="Output 2 17 2" xfId="23857"/>
    <cellStyle name="Output 2 18" xfId="23858"/>
    <cellStyle name="Output 2 19" xfId="23841"/>
    <cellStyle name="Output 2 2" xfId="150"/>
    <cellStyle name="Output 2 2 2" xfId="162"/>
    <cellStyle name="Output 2 2 2 2" xfId="23861"/>
    <cellStyle name="Output 2 2 2 3" xfId="23860"/>
    <cellStyle name="Output 2 2 3" xfId="326"/>
    <cellStyle name="Output 2 2 3 2" xfId="23863"/>
    <cellStyle name="Output 2 2 3 3" xfId="23862"/>
    <cellStyle name="Output 2 2 4" xfId="2149"/>
    <cellStyle name="Output 2 2 4 2" xfId="23865"/>
    <cellStyle name="Output 2 2 4 3" xfId="23864"/>
    <cellStyle name="Output 2 2 5" xfId="2523"/>
    <cellStyle name="Output 2 2 5 2" xfId="23867"/>
    <cellStyle name="Output 2 2 5 3" xfId="23866"/>
    <cellStyle name="Output 2 2 6" xfId="2895"/>
    <cellStyle name="Output 2 2 6 2" xfId="23869"/>
    <cellStyle name="Output 2 2 6 3" xfId="23868"/>
    <cellStyle name="Output 2 2 7" xfId="3266"/>
    <cellStyle name="Output 2 2 7 2" xfId="23871"/>
    <cellStyle name="Output 2 2 7 3" xfId="23870"/>
    <cellStyle name="Output 2 2 8" xfId="23872"/>
    <cellStyle name="Output 2 2 9" xfId="23859"/>
    <cellStyle name="Output 2 20" xfId="24502"/>
    <cellStyle name="Output 2 3" xfId="314"/>
    <cellStyle name="Output 2 3 2" xfId="1325"/>
    <cellStyle name="Output 2 3 2 2" xfId="23874"/>
    <cellStyle name="Output 2 3 3" xfId="23873"/>
    <cellStyle name="Output 2 4" xfId="506"/>
    <cellStyle name="Output 2 4 2" xfId="23876"/>
    <cellStyle name="Output 2 4 3" xfId="23875"/>
    <cellStyle name="Output 2 5" xfId="630"/>
    <cellStyle name="Output 2 5 2" xfId="23878"/>
    <cellStyle name="Output 2 5 3" xfId="23877"/>
    <cellStyle name="Output 2 6" xfId="788"/>
    <cellStyle name="Output 2 6 2" xfId="23880"/>
    <cellStyle name="Output 2 6 3" xfId="23879"/>
    <cellStyle name="Output 2 7" xfId="789"/>
    <cellStyle name="Output 2 7 2" xfId="23882"/>
    <cellStyle name="Output 2 7 3" xfId="23881"/>
    <cellStyle name="Output 2 8" xfId="913"/>
    <cellStyle name="Output 2 8 2" xfId="1433"/>
    <cellStyle name="Output 2 8 2 2" xfId="23884"/>
    <cellStyle name="Output 2 8 3" xfId="23883"/>
    <cellStyle name="Output 2 9" xfId="996"/>
    <cellStyle name="Output 2 9 2" xfId="1544"/>
    <cellStyle name="Output 2 9 2 2" xfId="23886"/>
    <cellStyle name="Output 2 9 3" xfId="23885"/>
    <cellStyle name="Output 3" xfId="203"/>
    <cellStyle name="Output 3 10" xfId="3712"/>
    <cellStyle name="Output 3 10 2" xfId="23889"/>
    <cellStyle name="Output 3 10 3" xfId="23888"/>
    <cellStyle name="Output 3 11" xfId="23890"/>
    <cellStyle name="Output 3 11 2" xfId="23891"/>
    <cellStyle name="Output 3 12" xfId="23892"/>
    <cellStyle name="Output 3 13" xfId="23887"/>
    <cellStyle name="Output 3 2" xfId="1485"/>
    <cellStyle name="Output 3 2 2" xfId="1814"/>
    <cellStyle name="Output 3 2 2 2" xfId="23895"/>
    <cellStyle name="Output 3 2 2 3" xfId="23894"/>
    <cellStyle name="Output 3 2 3" xfId="2189"/>
    <cellStyle name="Output 3 2 3 2" xfId="23897"/>
    <cellStyle name="Output 3 2 3 3" xfId="23896"/>
    <cellStyle name="Output 3 2 4" xfId="2563"/>
    <cellStyle name="Output 3 2 4 2" xfId="23899"/>
    <cellStyle name="Output 3 2 4 3" xfId="23898"/>
    <cellStyle name="Output 3 2 5" xfId="2935"/>
    <cellStyle name="Output 3 2 5 2" xfId="23901"/>
    <cellStyle name="Output 3 2 5 3" xfId="23900"/>
    <cellStyle name="Output 3 2 6" xfId="3307"/>
    <cellStyle name="Output 3 2 6 2" xfId="23903"/>
    <cellStyle name="Output 3 2 6 3" xfId="23902"/>
    <cellStyle name="Output 3 2 7" xfId="23904"/>
    <cellStyle name="Output 3 2 8" xfId="23893"/>
    <cellStyle name="Output 3 3" xfId="1612"/>
    <cellStyle name="Output 3 3 2" xfId="1891"/>
    <cellStyle name="Output 3 3 2 2" xfId="23907"/>
    <cellStyle name="Output 3 3 2 3" xfId="23906"/>
    <cellStyle name="Output 3 3 3" xfId="2266"/>
    <cellStyle name="Output 3 3 3 2" xfId="23909"/>
    <cellStyle name="Output 3 3 3 3" xfId="23908"/>
    <cellStyle name="Output 3 3 4" xfId="2639"/>
    <cellStyle name="Output 3 3 4 2" xfId="23911"/>
    <cellStyle name="Output 3 3 4 3" xfId="23910"/>
    <cellStyle name="Output 3 3 5" xfId="3012"/>
    <cellStyle name="Output 3 3 5 2" xfId="23913"/>
    <cellStyle name="Output 3 3 5 3" xfId="23912"/>
    <cellStyle name="Output 3 3 6" xfId="3383"/>
    <cellStyle name="Output 3 3 6 2" xfId="23915"/>
    <cellStyle name="Output 3 3 6 3" xfId="23914"/>
    <cellStyle name="Output 3 3 7" xfId="23916"/>
    <cellStyle name="Output 3 3 8" xfId="23905"/>
    <cellStyle name="Output 3 4" xfId="1754"/>
    <cellStyle name="Output 3 4 2" xfId="1935"/>
    <cellStyle name="Output 3 4 2 2" xfId="23919"/>
    <cellStyle name="Output 3 4 2 3" xfId="23918"/>
    <cellStyle name="Output 3 4 3" xfId="2310"/>
    <cellStyle name="Output 3 4 3 2" xfId="23921"/>
    <cellStyle name="Output 3 4 3 3" xfId="23920"/>
    <cellStyle name="Output 3 4 4" xfId="2683"/>
    <cellStyle name="Output 3 4 4 2" xfId="23923"/>
    <cellStyle name="Output 3 4 4 3" xfId="23922"/>
    <cellStyle name="Output 3 4 5" xfId="3056"/>
    <cellStyle name="Output 3 4 5 2" xfId="23925"/>
    <cellStyle name="Output 3 4 5 3" xfId="23924"/>
    <cellStyle name="Output 3 4 6" xfId="3427"/>
    <cellStyle name="Output 3 4 6 2" xfId="23927"/>
    <cellStyle name="Output 3 4 6 3" xfId="23926"/>
    <cellStyle name="Output 3 4 7" xfId="23928"/>
    <cellStyle name="Output 3 4 8" xfId="23917"/>
    <cellStyle name="Output 3 5" xfId="2089"/>
    <cellStyle name="Output 3 5 2" xfId="23930"/>
    <cellStyle name="Output 3 5 3" xfId="23929"/>
    <cellStyle name="Output 3 6" xfId="2463"/>
    <cellStyle name="Output 3 6 2" xfId="23932"/>
    <cellStyle name="Output 3 6 3" xfId="23931"/>
    <cellStyle name="Output 3 7" xfId="2835"/>
    <cellStyle name="Output 3 7 2" xfId="23934"/>
    <cellStyle name="Output 3 7 3" xfId="23933"/>
    <cellStyle name="Output 3 8" xfId="3206"/>
    <cellStyle name="Output 3 8 2" xfId="23936"/>
    <cellStyle name="Output 3 8 3" xfId="23935"/>
    <cellStyle name="Output 3 9" xfId="3576"/>
    <cellStyle name="Output 3 9 2" xfId="23938"/>
    <cellStyle name="Output 3 9 3" xfId="23937"/>
    <cellStyle name="Output 4" xfId="272"/>
    <cellStyle name="Output 4 10" xfId="3756"/>
    <cellStyle name="Output 4 10 2" xfId="23941"/>
    <cellStyle name="Output 4 10 3" xfId="23940"/>
    <cellStyle name="Output 4 11" xfId="1285"/>
    <cellStyle name="Output 4 11 2" xfId="23943"/>
    <cellStyle name="Output 4 11 3" xfId="23942"/>
    <cellStyle name="Output 4 12" xfId="23944"/>
    <cellStyle name="Output 4 13" xfId="23939"/>
    <cellStyle name="Output 4 2" xfId="1530"/>
    <cellStyle name="Output 4 2 2" xfId="23946"/>
    <cellStyle name="Output 4 2 3" xfId="23945"/>
    <cellStyle name="Output 4 3" xfId="1655"/>
    <cellStyle name="Output 4 3 2" xfId="23948"/>
    <cellStyle name="Output 4 3 3" xfId="23947"/>
    <cellStyle name="Output 4 4" xfId="1767"/>
    <cellStyle name="Output 4 4 2" xfId="23950"/>
    <cellStyle name="Output 4 4 3" xfId="23949"/>
    <cellStyle name="Output 4 5" xfId="2102"/>
    <cellStyle name="Output 4 5 2" xfId="23952"/>
    <cellStyle name="Output 4 5 3" xfId="23951"/>
    <cellStyle name="Output 4 6" xfId="2476"/>
    <cellStyle name="Output 4 6 2" xfId="23954"/>
    <cellStyle name="Output 4 6 3" xfId="23953"/>
    <cellStyle name="Output 4 7" xfId="2848"/>
    <cellStyle name="Output 4 7 2" xfId="23956"/>
    <cellStyle name="Output 4 7 3" xfId="23955"/>
    <cellStyle name="Output 4 8" xfId="3219"/>
    <cellStyle name="Output 4 8 2" xfId="23958"/>
    <cellStyle name="Output 4 8 3" xfId="23957"/>
    <cellStyle name="Output 4 9" xfId="3619"/>
    <cellStyle name="Output 4 9 2" xfId="23960"/>
    <cellStyle name="Output 4 9 3" xfId="23959"/>
    <cellStyle name="Output 5" xfId="507"/>
    <cellStyle name="Output 5 2" xfId="1849"/>
    <cellStyle name="Output 5 2 2" xfId="23963"/>
    <cellStyle name="Output 5 2 3" xfId="23962"/>
    <cellStyle name="Output 5 3" xfId="2224"/>
    <cellStyle name="Output 5 3 2" xfId="23965"/>
    <cellStyle name="Output 5 3 3" xfId="23964"/>
    <cellStyle name="Output 5 4" xfId="2598"/>
    <cellStyle name="Output 5 4 2" xfId="23967"/>
    <cellStyle name="Output 5 4 3" xfId="23966"/>
    <cellStyle name="Output 5 5" xfId="2970"/>
    <cellStyle name="Output 5 5 2" xfId="23969"/>
    <cellStyle name="Output 5 5 3" xfId="23968"/>
    <cellStyle name="Output 5 6" xfId="3342"/>
    <cellStyle name="Output 5 6 2" xfId="23971"/>
    <cellStyle name="Output 5 6 3" xfId="23970"/>
    <cellStyle name="Output 5 7" xfId="23972"/>
    <cellStyle name="Output 5 7 2" xfId="23973"/>
    <cellStyle name="Output 5 8" xfId="23974"/>
    <cellStyle name="Output 5 9" xfId="23961"/>
    <cellStyle name="Output 6" xfId="508"/>
    <cellStyle name="Output 6 10" xfId="23975"/>
    <cellStyle name="Output 6 2" xfId="2006"/>
    <cellStyle name="Output 6 2 2" xfId="23977"/>
    <cellStyle name="Output 6 2 3" xfId="23976"/>
    <cellStyle name="Output 6 3" xfId="2381"/>
    <cellStyle name="Output 6 3 2" xfId="23979"/>
    <cellStyle name="Output 6 3 3" xfId="23978"/>
    <cellStyle name="Output 6 4" xfId="2754"/>
    <cellStyle name="Output 6 4 2" xfId="23981"/>
    <cellStyle name="Output 6 4 3" xfId="23980"/>
    <cellStyle name="Output 6 5" xfId="3127"/>
    <cellStyle name="Output 6 5 2" xfId="23983"/>
    <cellStyle name="Output 6 5 3" xfId="23982"/>
    <cellStyle name="Output 6 6" xfId="3498"/>
    <cellStyle name="Output 6 6 2" xfId="23985"/>
    <cellStyle name="Output 6 6 3" xfId="23984"/>
    <cellStyle name="Output 6 7" xfId="3804"/>
    <cellStyle name="Output 6 7 2" xfId="23987"/>
    <cellStyle name="Output 6 7 3" xfId="23986"/>
    <cellStyle name="Output 6 8" xfId="23988"/>
    <cellStyle name="Output 6 8 2" xfId="23989"/>
    <cellStyle name="Output 6 9" xfId="23990"/>
    <cellStyle name="Output 7" xfId="509"/>
    <cellStyle name="Output 7 2" xfId="23992"/>
    <cellStyle name="Output 7 3" xfId="23991"/>
    <cellStyle name="Output 8" xfId="631"/>
    <cellStyle name="Output 8 2" xfId="23994"/>
    <cellStyle name="Output 8 3" xfId="23993"/>
    <cellStyle name="Output 9" xfId="632"/>
    <cellStyle name="Output 9 2" xfId="23996"/>
    <cellStyle name="Output 9 3" xfId="23995"/>
    <cellStyle name="Percent" xfId="17" builtinId="5"/>
    <cellStyle name="Percent 2" xfId="5123"/>
    <cellStyle name="Percent 2 2" xfId="7104"/>
    <cellStyle name="Percent 2 2 2" xfId="23999"/>
    <cellStyle name="Percent 2 2 2 2" xfId="24559"/>
    <cellStyle name="Percent 2 2 2 3" xfId="24558"/>
    <cellStyle name="Percent 2 2 3" xfId="23998"/>
    <cellStyle name="Percent 2 2 3 2" xfId="24560"/>
    <cellStyle name="Percent 2 2 4" xfId="24561"/>
    <cellStyle name="Percent 2 2 5" xfId="24557"/>
    <cellStyle name="Percent 2 3" xfId="24000"/>
    <cellStyle name="Percent 2 3 2" xfId="24563"/>
    <cellStyle name="Percent 2 3 3" xfId="24562"/>
    <cellStyle name="Percent 2 4" xfId="23997"/>
    <cellStyle name="Percent 2 4 2" xfId="24564"/>
    <cellStyle name="Percent 2 4 3" xfId="28691"/>
    <cellStyle name="Percent 2 5" xfId="24565"/>
    <cellStyle name="Percent 2 6" xfId="24556"/>
    <cellStyle name="Percent 3" xfId="7102"/>
    <cellStyle name="Percent 3 2" xfId="24567"/>
    <cellStyle name="Percent 3 3" xfId="24566"/>
    <cellStyle name="Percent 4" xfId="24568"/>
    <cellStyle name="PSChar" xfId="18"/>
    <cellStyle name="PSChar 2" xfId="19"/>
    <cellStyle name="PSChar 2 2" xfId="24003"/>
    <cellStyle name="PSChar 2 2 2" xfId="24004"/>
    <cellStyle name="PSChar 2 3" xfId="24005"/>
    <cellStyle name="PSChar 2 4" xfId="24002"/>
    <cellStyle name="PSChar 3" xfId="24006"/>
    <cellStyle name="PSChar 3 2" xfId="24007"/>
    <cellStyle name="PSChar 3 2 2" xfId="24008"/>
    <cellStyle name="PSChar 3 3" xfId="24009"/>
    <cellStyle name="PSChar 4" xfId="24010"/>
    <cellStyle name="PSChar 4 2" xfId="24011"/>
    <cellStyle name="PSChar 5" xfId="24012"/>
    <cellStyle name="PSChar 5 2" xfId="24013"/>
    <cellStyle name="PSChar 6" xfId="24014"/>
    <cellStyle name="PSChar 7" xfId="24463"/>
    <cellStyle name="PSChar 8" xfId="24001"/>
    <cellStyle name="PSDate" xfId="20"/>
    <cellStyle name="PSDate 2" xfId="21"/>
    <cellStyle name="PSDate 2 2" xfId="24017"/>
    <cellStyle name="PSDate 2 2 2" xfId="24018"/>
    <cellStyle name="PSDate 2 3" xfId="24019"/>
    <cellStyle name="PSDate 2 4" xfId="24016"/>
    <cellStyle name="PSDate 3" xfId="24020"/>
    <cellStyle name="PSDate 3 2" xfId="24021"/>
    <cellStyle name="PSDate 3 2 2" xfId="24022"/>
    <cellStyle name="PSDate 3 3" xfId="24023"/>
    <cellStyle name="PSDate 4" xfId="24024"/>
    <cellStyle name="PSDate 4 2" xfId="24025"/>
    <cellStyle name="PSDate 5" xfId="24026"/>
    <cellStyle name="PSDate 5 2" xfId="24027"/>
    <cellStyle name="PSDate 6" xfId="24028"/>
    <cellStyle name="PSDate 7" xfId="24462"/>
    <cellStyle name="PSDate 8" xfId="24015"/>
    <cellStyle name="PSDec" xfId="22"/>
    <cellStyle name="PSDec 2" xfId="23"/>
    <cellStyle name="PSDec 2 2" xfId="24031"/>
    <cellStyle name="PSDec 2 2 2" xfId="24032"/>
    <cellStyle name="PSDec 2 3" xfId="24033"/>
    <cellStyle name="PSDec 2 4" xfId="24030"/>
    <cellStyle name="PSDec 3" xfId="24034"/>
    <cellStyle name="PSDec 3 2" xfId="24035"/>
    <cellStyle name="PSDec 3 2 2" xfId="24036"/>
    <cellStyle name="PSDec 3 3" xfId="24037"/>
    <cellStyle name="PSDec 4" xfId="24038"/>
    <cellStyle name="PSDec 4 2" xfId="24039"/>
    <cellStyle name="PSDec 5" xfId="24040"/>
    <cellStyle name="PSDec 5 2" xfId="24041"/>
    <cellStyle name="PSDec 6" xfId="24042"/>
    <cellStyle name="PSDec 7" xfId="24461"/>
    <cellStyle name="PSDec 8" xfId="24029"/>
    <cellStyle name="PSHeading" xfId="24"/>
    <cellStyle name="PSHeading 2" xfId="25"/>
    <cellStyle name="PSHeading 2 2" xfId="24045"/>
    <cellStyle name="PSHeading 2 2 2" xfId="24046"/>
    <cellStyle name="PSHeading 2 3" xfId="24047"/>
    <cellStyle name="PSHeading 2 4" xfId="24044"/>
    <cellStyle name="PSHeading 3" xfId="24048"/>
    <cellStyle name="PSHeading 3 2" xfId="24049"/>
    <cellStyle name="PSHeading 3 2 2" xfId="24050"/>
    <cellStyle name="PSHeading 3 3" xfId="24051"/>
    <cellStyle name="PSHeading 4" xfId="24052"/>
    <cellStyle name="PSHeading 4 2" xfId="24053"/>
    <cellStyle name="PSHeading 5" xfId="24054"/>
    <cellStyle name="PSHeading 5 2" xfId="24055"/>
    <cellStyle name="PSHeading 6" xfId="24056"/>
    <cellStyle name="PSHeading 7" xfId="24460"/>
    <cellStyle name="PSHeading 8" xfId="24043"/>
    <cellStyle name="PSInt" xfId="26"/>
    <cellStyle name="PSInt 2" xfId="27"/>
    <cellStyle name="PSInt 2 2" xfId="24059"/>
    <cellStyle name="PSInt 2 2 2" xfId="24060"/>
    <cellStyle name="PSInt 2 3" xfId="24061"/>
    <cellStyle name="PSInt 2 4" xfId="24058"/>
    <cellStyle name="PSInt 3" xfId="24062"/>
    <cellStyle name="PSInt 3 2" xfId="24063"/>
    <cellStyle name="PSInt 3 2 2" xfId="24064"/>
    <cellStyle name="PSInt 3 3" xfId="24065"/>
    <cellStyle name="PSInt 4" xfId="24066"/>
    <cellStyle name="PSInt 4 2" xfId="24067"/>
    <cellStyle name="PSInt 5" xfId="24068"/>
    <cellStyle name="PSInt 5 2" xfId="24069"/>
    <cellStyle name="PSInt 6" xfId="24070"/>
    <cellStyle name="PSInt 7" xfId="24459"/>
    <cellStyle name="PSInt 8" xfId="24057"/>
    <cellStyle name="PSSpacer" xfId="28"/>
    <cellStyle name="PSSpacer 2" xfId="29"/>
    <cellStyle name="PSSpacer 2 2" xfId="24073"/>
    <cellStyle name="PSSpacer 2 2 2" xfId="24074"/>
    <cellStyle name="PSSpacer 2 3" xfId="24075"/>
    <cellStyle name="PSSpacer 2 4" xfId="24072"/>
    <cellStyle name="PSSpacer 3" xfId="24076"/>
    <cellStyle name="PSSpacer 3 2" xfId="24077"/>
    <cellStyle name="PSSpacer 3 2 2" xfId="24078"/>
    <cellStyle name="PSSpacer 3 3" xfId="24079"/>
    <cellStyle name="PSSpacer 4" xfId="24080"/>
    <cellStyle name="PSSpacer 4 2" xfId="24081"/>
    <cellStyle name="PSSpacer 5" xfId="24082"/>
    <cellStyle name="PSSpacer 5 2" xfId="24083"/>
    <cellStyle name="PSSpacer 6" xfId="24084"/>
    <cellStyle name="PSSpacer 7" xfId="24458"/>
    <cellStyle name="PSSpacer 8" xfId="24071"/>
    <cellStyle name="Title 2" xfId="107"/>
    <cellStyle name="Title 2 10" xfId="3532"/>
    <cellStyle name="Title 2 10 2" xfId="24088"/>
    <cellStyle name="Title 2 10 3" xfId="24087"/>
    <cellStyle name="Title 2 11" xfId="24089"/>
    <cellStyle name="Title 2 12" xfId="24086"/>
    <cellStyle name="Title 2 2" xfId="153"/>
    <cellStyle name="Title 2 2 2" xfId="24091"/>
    <cellStyle name="Title 2 2 3" xfId="24090"/>
    <cellStyle name="Title 2 3" xfId="317"/>
    <cellStyle name="Title 2 3 2" xfId="1868"/>
    <cellStyle name="Title 2 3 2 2" xfId="24094"/>
    <cellStyle name="Title 2 3 2 3" xfId="24093"/>
    <cellStyle name="Title 2 3 3" xfId="2243"/>
    <cellStyle name="Title 2 3 3 2" xfId="24096"/>
    <cellStyle name="Title 2 3 3 3" xfId="24095"/>
    <cellStyle name="Title 2 3 4" xfId="2617"/>
    <cellStyle name="Title 2 3 4 2" xfId="24098"/>
    <cellStyle name="Title 2 3 4 3" xfId="24097"/>
    <cellStyle name="Title 2 3 5" xfId="2989"/>
    <cellStyle name="Title 2 3 5 2" xfId="24100"/>
    <cellStyle name="Title 2 3 5 3" xfId="24099"/>
    <cellStyle name="Title 2 3 6" xfId="3361"/>
    <cellStyle name="Title 2 3 6 2" xfId="24102"/>
    <cellStyle name="Title 2 3 6 3" xfId="24101"/>
    <cellStyle name="Title 2 3 7" xfId="1434"/>
    <cellStyle name="Title 2 3 7 2" xfId="24103"/>
    <cellStyle name="Title 2 3 8" xfId="24092"/>
    <cellStyle name="Title 2 4" xfId="1541"/>
    <cellStyle name="Title 2 4 2" xfId="1924"/>
    <cellStyle name="Title 2 4 2 2" xfId="24106"/>
    <cellStyle name="Title 2 4 2 3" xfId="24105"/>
    <cellStyle name="Title 2 4 3" xfId="2299"/>
    <cellStyle name="Title 2 4 3 2" xfId="24108"/>
    <cellStyle name="Title 2 4 3 3" xfId="24107"/>
    <cellStyle name="Title 2 4 4" xfId="2672"/>
    <cellStyle name="Title 2 4 4 2" xfId="24110"/>
    <cellStyle name="Title 2 4 4 3" xfId="24109"/>
    <cellStyle name="Title 2 4 5" xfId="3045"/>
    <cellStyle name="Title 2 4 5 2" xfId="24112"/>
    <cellStyle name="Title 2 4 5 3" xfId="24111"/>
    <cellStyle name="Title 2 4 6" xfId="3416"/>
    <cellStyle name="Title 2 4 6 2" xfId="24114"/>
    <cellStyle name="Title 2 4 6 3" xfId="24113"/>
    <cellStyle name="Title 2 4 7" xfId="24115"/>
    <cellStyle name="Title 2 4 8" xfId="24104"/>
    <cellStyle name="Title 2 5" xfId="1709"/>
    <cellStyle name="Title 2 5 2" xfId="24117"/>
    <cellStyle name="Title 2 5 3" xfId="24116"/>
    <cellStyle name="Title 2 6" xfId="2044"/>
    <cellStyle name="Title 2 6 2" xfId="24119"/>
    <cellStyle name="Title 2 6 3" xfId="24118"/>
    <cellStyle name="Title 2 7" xfId="2418"/>
    <cellStyle name="Title 2 7 2" xfId="24121"/>
    <cellStyle name="Title 2 7 3" xfId="24120"/>
    <cellStyle name="Title 2 8" xfId="2790"/>
    <cellStyle name="Title 2 8 2" xfId="24123"/>
    <cellStyle name="Title 2 8 3" xfId="24122"/>
    <cellStyle name="Title 2 9" xfId="3161"/>
    <cellStyle name="Title 2 9 2" xfId="24125"/>
    <cellStyle name="Title 2 9 3" xfId="24124"/>
    <cellStyle name="Title 3" xfId="194"/>
    <cellStyle name="Title 3 10" xfId="3713"/>
    <cellStyle name="Title 3 10 2" xfId="24128"/>
    <cellStyle name="Title 3 10 3" xfId="24127"/>
    <cellStyle name="Title 3 11" xfId="24129"/>
    <cellStyle name="Title 3 12" xfId="24126"/>
    <cellStyle name="Title 3 2" xfId="1486"/>
    <cellStyle name="Title 3 2 2" xfId="1805"/>
    <cellStyle name="Title 3 2 2 2" xfId="24132"/>
    <cellStyle name="Title 3 2 2 3" xfId="24131"/>
    <cellStyle name="Title 3 2 3" xfId="2180"/>
    <cellStyle name="Title 3 2 3 2" xfId="24134"/>
    <cellStyle name="Title 3 2 3 3" xfId="24133"/>
    <cellStyle name="Title 3 2 4" xfId="2554"/>
    <cellStyle name="Title 3 2 4 2" xfId="24136"/>
    <cellStyle name="Title 3 2 4 3" xfId="24135"/>
    <cellStyle name="Title 3 2 5" xfId="2926"/>
    <cellStyle name="Title 3 2 5 2" xfId="24138"/>
    <cellStyle name="Title 3 2 5 3" xfId="24137"/>
    <cellStyle name="Title 3 2 6" xfId="3298"/>
    <cellStyle name="Title 3 2 6 2" xfId="24140"/>
    <cellStyle name="Title 3 2 6 3" xfId="24139"/>
    <cellStyle name="Title 3 2 7" xfId="24141"/>
    <cellStyle name="Title 3 2 8" xfId="24130"/>
    <cellStyle name="Title 3 3" xfId="1613"/>
    <cellStyle name="Title 3 3 2" xfId="1882"/>
    <cellStyle name="Title 3 3 2 2" xfId="24144"/>
    <cellStyle name="Title 3 3 2 3" xfId="24143"/>
    <cellStyle name="Title 3 3 3" xfId="2257"/>
    <cellStyle name="Title 3 3 3 2" xfId="24146"/>
    <cellStyle name="Title 3 3 3 3" xfId="24145"/>
    <cellStyle name="Title 3 3 4" xfId="2630"/>
    <cellStyle name="Title 3 3 4 2" xfId="24148"/>
    <cellStyle name="Title 3 3 4 3" xfId="24147"/>
    <cellStyle name="Title 3 3 5" xfId="3003"/>
    <cellStyle name="Title 3 3 5 2" xfId="24150"/>
    <cellStyle name="Title 3 3 5 3" xfId="24149"/>
    <cellStyle name="Title 3 3 6" xfId="3374"/>
    <cellStyle name="Title 3 3 6 2" xfId="24152"/>
    <cellStyle name="Title 3 3 6 3" xfId="24151"/>
    <cellStyle name="Title 3 3 7" xfId="24153"/>
    <cellStyle name="Title 3 3 8" xfId="24142"/>
    <cellStyle name="Title 3 4" xfId="1756"/>
    <cellStyle name="Title 3 4 2" xfId="1926"/>
    <cellStyle name="Title 3 4 2 2" xfId="24156"/>
    <cellStyle name="Title 3 4 2 3" xfId="24155"/>
    <cellStyle name="Title 3 4 3" xfId="2301"/>
    <cellStyle name="Title 3 4 3 2" xfId="24158"/>
    <cellStyle name="Title 3 4 3 3" xfId="24157"/>
    <cellStyle name="Title 3 4 4" xfId="2674"/>
    <cellStyle name="Title 3 4 4 2" xfId="24160"/>
    <cellStyle name="Title 3 4 4 3" xfId="24159"/>
    <cellStyle name="Title 3 4 5" xfId="3047"/>
    <cellStyle name="Title 3 4 5 2" xfId="24162"/>
    <cellStyle name="Title 3 4 5 3" xfId="24161"/>
    <cellStyle name="Title 3 4 6" xfId="3418"/>
    <cellStyle name="Title 3 4 6 2" xfId="24164"/>
    <cellStyle name="Title 3 4 6 3" xfId="24163"/>
    <cellStyle name="Title 3 4 7" xfId="24165"/>
    <cellStyle name="Title 3 4 8" xfId="24154"/>
    <cellStyle name="Title 3 5" xfId="2091"/>
    <cellStyle name="Title 3 5 2" xfId="24167"/>
    <cellStyle name="Title 3 5 3" xfId="24166"/>
    <cellStyle name="Title 3 6" xfId="2465"/>
    <cellStyle name="Title 3 6 2" xfId="24169"/>
    <cellStyle name="Title 3 6 3" xfId="24168"/>
    <cellStyle name="Title 3 7" xfId="2837"/>
    <cellStyle name="Title 3 7 2" xfId="24171"/>
    <cellStyle name="Title 3 7 3" xfId="24170"/>
    <cellStyle name="Title 3 8" xfId="3208"/>
    <cellStyle name="Title 3 8 2" xfId="24173"/>
    <cellStyle name="Title 3 8 3" xfId="24172"/>
    <cellStyle name="Title 3 9" xfId="3577"/>
    <cellStyle name="Title 3 9 2" xfId="24175"/>
    <cellStyle name="Title 3 9 3" xfId="24174"/>
    <cellStyle name="Title 4" xfId="273"/>
    <cellStyle name="Title 4 10" xfId="3757"/>
    <cellStyle name="Title 4 10 2" xfId="24178"/>
    <cellStyle name="Title 4 10 3" xfId="24177"/>
    <cellStyle name="Title 4 11" xfId="1276"/>
    <cellStyle name="Title 4 11 2" xfId="24179"/>
    <cellStyle name="Title 4 12" xfId="24176"/>
    <cellStyle name="Title 4 2" xfId="1531"/>
    <cellStyle name="Title 4 2 2" xfId="24181"/>
    <cellStyle name="Title 4 2 3" xfId="24180"/>
    <cellStyle name="Title 4 3" xfId="1656"/>
    <cellStyle name="Title 4 3 2" xfId="24183"/>
    <cellStyle name="Title 4 3 3" xfId="24182"/>
    <cellStyle name="Title 4 4" xfId="1765"/>
    <cellStyle name="Title 4 4 2" xfId="24185"/>
    <cellStyle name="Title 4 4 3" xfId="24184"/>
    <cellStyle name="Title 4 5" xfId="2100"/>
    <cellStyle name="Title 4 5 2" xfId="24187"/>
    <cellStyle name="Title 4 5 3" xfId="24186"/>
    <cellStyle name="Title 4 6" xfId="2474"/>
    <cellStyle name="Title 4 6 2" xfId="24189"/>
    <cellStyle name="Title 4 6 3" xfId="24188"/>
    <cellStyle name="Title 4 7" xfId="2846"/>
    <cellStyle name="Title 4 7 2" xfId="24191"/>
    <cellStyle name="Title 4 7 3" xfId="24190"/>
    <cellStyle name="Title 4 8" xfId="3217"/>
    <cellStyle name="Title 4 8 2" xfId="24193"/>
    <cellStyle name="Title 4 8 3" xfId="24192"/>
    <cellStyle name="Title 4 9" xfId="3620"/>
    <cellStyle name="Title 4 9 2" xfId="24195"/>
    <cellStyle name="Title 4 9 3" xfId="24194"/>
    <cellStyle name="Title 5" xfId="510"/>
    <cellStyle name="Title 5 10" xfId="3763"/>
    <cellStyle name="Title 5 10 2" xfId="24198"/>
    <cellStyle name="Title 5 10 3" xfId="24197"/>
    <cellStyle name="Title 5 11" xfId="24199"/>
    <cellStyle name="Title 5 12" xfId="24196"/>
    <cellStyle name="Title 5 2" xfId="1569"/>
    <cellStyle name="Title 5 2 2" xfId="24201"/>
    <cellStyle name="Title 5 2 3" xfId="24200"/>
    <cellStyle name="Title 5 3" xfId="1661"/>
    <cellStyle name="Title 5 3 2" xfId="24203"/>
    <cellStyle name="Title 5 3 3" xfId="24202"/>
    <cellStyle name="Title 5 4" xfId="1848"/>
    <cellStyle name="Title 5 4 2" xfId="24205"/>
    <cellStyle name="Title 5 4 3" xfId="24204"/>
    <cellStyle name="Title 5 5" xfId="2223"/>
    <cellStyle name="Title 5 5 2" xfId="24207"/>
    <cellStyle name="Title 5 5 3" xfId="24206"/>
    <cellStyle name="Title 5 6" xfId="2597"/>
    <cellStyle name="Title 5 6 2" xfId="24209"/>
    <cellStyle name="Title 5 6 3" xfId="24208"/>
    <cellStyle name="Title 5 7" xfId="2969"/>
    <cellStyle name="Title 5 7 2" xfId="24211"/>
    <cellStyle name="Title 5 7 3" xfId="24210"/>
    <cellStyle name="Title 5 8" xfId="3341"/>
    <cellStyle name="Title 5 8 2" xfId="24213"/>
    <cellStyle name="Title 5 8 3" xfId="24212"/>
    <cellStyle name="Title 5 9" xfId="3624"/>
    <cellStyle name="Title 5 9 2" xfId="24215"/>
    <cellStyle name="Title 5 9 3" xfId="24214"/>
    <cellStyle name="Title 6" xfId="633"/>
    <cellStyle name="Title 6 2" xfId="2007"/>
    <cellStyle name="Title 6 2 2" xfId="24218"/>
    <cellStyle name="Title 6 2 3" xfId="24217"/>
    <cellStyle name="Title 6 3" xfId="2382"/>
    <cellStyle name="Title 6 3 2" xfId="24220"/>
    <cellStyle name="Title 6 3 3" xfId="24219"/>
    <cellStyle name="Title 6 4" xfId="2755"/>
    <cellStyle name="Title 6 4 2" xfId="24222"/>
    <cellStyle name="Title 6 4 3" xfId="24221"/>
    <cellStyle name="Title 6 5" xfId="3128"/>
    <cellStyle name="Title 6 5 2" xfId="24224"/>
    <cellStyle name="Title 6 5 3" xfId="24223"/>
    <cellStyle name="Title 6 6" xfId="3499"/>
    <cellStyle name="Title 6 6 2" xfId="24226"/>
    <cellStyle name="Title 6 6 3" xfId="24225"/>
    <cellStyle name="Title 6 7" xfId="3805"/>
    <cellStyle name="Title 6 7 2" xfId="24228"/>
    <cellStyle name="Title 6 7 3" xfId="24227"/>
    <cellStyle name="Title 6 8" xfId="24229"/>
    <cellStyle name="Title 6 9" xfId="24216"/>
    <cellStyle name="Title 7" xfId="914"/>
    <cellStyle name="Title 7 2" xfId="3812"/>
    <cellStyle name="Title 7 2 2" xfId="24231"/>
    <cellStyle name="Title 7 3" xfId="24230"/>
    <cellStyle name="Title 8" xfId="24232"/>
    <cellStyle name="Title 9" xfId="24085"/>
    <cellStyle name="Total 10" xfId="790"/>
    <cellStyle name="Total 10 2" xfId="24235"/>
    <cellStyle name="Total 10 3" xfId="24234"/>
    <cellStyle name="Total 11" xfId="791"/>
    <cellStyle name="Total 11 2" xfId="24237"/>
    <cellStyle name="Total 11 3" xfId="24236"/>
    <cellStyle name="Total 12" xfId="915"/>
    <cellStyle name="Total 12 2" xfId="24238"/>
    <cellStyle name="Total 13" xfId="916"/>
    <cellStyle name="Total 13 2" xfId="24233"/>
    <cellStyle name="Total 14" xfId="997"/>
    <cellStyle name="Total 2" xfId="108"/>
    <cellStyle name="Total 2 10" xfId="1710"/>
    <cellStyle name="Total 2 10 2" xfId="24241"/>
    <cellStyle name="Total 2 10 3" xfId="24240"/>
    <cellStyle name="Total 2 11" xfId="2045"/>
    <cellStyle name="Total 2 11 2" xfId="24243"/>
    <cellStyle name="Total 2 11 3" xfId="24242"/>
    <cellStyle name="Total 2 12" xfId="2419"/>
    <cellStyle name="Total 2 12 2" xfId="24245"/>
    <cellStyle name="Total 2 12 3" xfId="24244"/>
    <cellStyle name="Total 2 13" xfId="2791"/>
    <cellStyle name="Total 2 13 2" xfId="24247"/>
    <cellStyle name="Total 2 13 3" xfId="24246"/>
    <cellStyle name="Total 2 14" xfId="3162"/>
    <cellStyle name="Total 2 14 2" xfId="24249"/>
    <cellStyle name="Total 2 14 3" xfId="24248"/>
    <cellStyle name="Total 2 15" xfId="3533"/>
    <cellStyle name="Total 2 15 2" xfId="24251"/>
    <cellStyle name="Total 2 15 3" xfId="24250"/>
    <cellStyle name="Total 2 16" xfId="3669"/>
    <cellStyle name="Total 2 16 2" xfId="24253"/>
    <cellStyle name="Total 2 16 3" xfId="24252"/>
    <cellStyle name="Total 2 17" xfId="24254"/>
    <cellStyle name="Total 2 17 2" xfId="24255"/>
    <cellStyle name="Total 2 18" xfId="24256"/>
    <cellStyle name="Total 2 19" xfId="24239"/>
    <cellStyle name="Total 2 2" xfId="151"/>
    <cellStyle name="Total 2 2 2" xfId="169"/>
    <cellStyle name="Total 2 2 2 2" xfId="24259"/>
    <cellStyle name="Total 2 2 2 3" xfId="24258"/>
    <cellStyle name="Total 2 2 3" xfId="333"/>
    <cellStyle name="Total 2 2 3 2" xfId="24261"/>
    <cellStyle name="Total 2 2 3 3" xfId="24260"/>
    <cellStyle name="Total 2 2 4" xfId="2155"/>
    <cellStyle name="Total 2 2 4 2" xfId="24263"/>
    <cellStyle name="Total 2 2 4 3" xfId="24262"/>
    <cellStyle name="Total 2 2 5" xfId="2529"/>
    <cellStyle name="Total 2 2 5 2" xfId="24265"/>
    <cellStyle name="Total 2 2 5 3" xfId="24264"/>
    <cellStyle name="Total 2 2 6" xfId="2901"/>
    <cellStyle name="Total 2 2 6 2" xfId="24267"/>
    <cellStyle name="Total 2 2 6 3" xfId="24266"/>
    <cellStyle name="Total 2 2 7" xfId="3273"/>
    <cellStyle name="Total 2 2 7 2" xfId="24269"/>
    <cellStyle name="Total 2 2 7 3" xfId="24268"/>
    <cellStyle name="Total 2 2 8" xfId="24270"/>
    <cellStyle name="Total 2 2 9" xfId="24257"/>
    <cellStyle name="Total 2 20" xfId="24503"/>
    <cellStyle name="Total 2 3" xfId="315"/>
    <cellStyle name="Total 2 3 2" xfId="1331"/>
    <cellStyle name="Total 2 3 2 2" xfId="24272"/>
    <cellStyle name="Total 2 3 3" xfId="24271"/>
    <cellStyle name="Total 2 4" xfId="511"/>
    <cellStyle name="Total 2 4 2" xfId="24274"/>
    <cellStyle name="Total 2 4 3" xfId="24273"/>
    <cellStyle name="Total 2 5" xfId="634"/>
    <cellStyle name="Total 2 5 2" xfId="24276"/>
    <cellStyle name="Total 2 5 3" xfId="24275"/>
    <cellStyle name="Total 2 6" xfId="792"/>
    <cellStyle name="Total 2 6 2" xfId="24278"/>
    <cellStyle name="Total 2 6 3" xfId="24277"/>
    <cellStyle name="Total 2 7" xfId="793"/>
    <cellStyle name="Total 2 7 2" xfId="24280"/>
    <cellStyle name="Total 2 7 3" xfId="24279"/>
    <cellStyle name="Total 2 8" xfId="917"/>
    <cellStyle name="Total 2 8 2" xfId="1435"/>
    <cellStyle name="Total 2 8 2 2" xfId="24282"/>
    <cellStyle name="Total 2 8 3" xfId="24281"/>
    <cellStyle name="Total 2 9" xfId="998"/>
    <cellStyle name="Total 2 9 2" xfId="1540"/>
    <cellStyle name="Total 2 9 2 2" xfId="24284"/>
    <cellStyle name="Total 2 9 3" xfId="24283"/>
    <cellStyle name="Total 3" xfId="210"/>
    <cellStyle name="Total 3 10" xfId="3714"/>
    <cellStyle name="Total 3 10 2" xfId="24287"/>
    <cellStyle name="Total 3 10 3" xfId="24286"/>
    <cellStyle name="Total 3 11" xfId="24288"/>
    <cellStyle name="Total 3 11 2" xfId="24289"/>
    <cellStyle name="Total 3 12" xfId="24290"/>
    <cellStyle name="Total 3 13" xfId="24285"/>
    <cellStyle name="Total 3 2" xfId="1487"/>
    <cellStyle name="Total 3 2 2" xfId="1821"/>
    <cellStyle name="Total 3 2 2 2" xfId="24293"/>
    <cellStyle name="Total 3 2 2 3" xfId="24292"/>
    <cellStyle name="Total 3 2 3" xfId="2196"/>
    <cellStyle name="Total 3 2 3 2" xfId="24295"/>
    <cellStyle name="Total 3 2 3 3" xfId="24294"/>
    <cellStyle name="Total 3 2 4" xfId="2570"/>
    <cellStyle name="Total 3 2 4 2" xfId="24297"/>
    <cellStyle name="Total 3 2 4 3" xfId="24296"/>
    <cellStyle name="Total 3 2 5" xfId="2942"/>
    <cellStyle name="Total 3 2 5 2" xfId="24299"/>
    <cellStyle name="Total 3 2 5 3" xfId="24298"/>
    <cellStyle name="Total 3 2 6" xfId="3314"/>
    <cellStyle name="Total 3 2 6 2" xfId="24301"/>
    <cellStyle name="Total 3 2 6 3" xfId="24300"/>
    <cellStyle name="Total 3 2 7" xfId="24302"/>
    <cellStyle name="Total 3 2 8" xfId="24291"/>
    <cellStyle name="Total 3 3" xfId="1614"/>
    <cellStyle name="Total 3 3 2" xfId="1898"/>
    <cellStyle name="Total 3 3 2 2" xfId="24305"/>
    <cellStyle name="Total 3 3 2 3" xfId="24304"/>
    <cellStyle name="Total 3 3 3" xfId="2273"/>
    <cellStyle name="Total 3 3 3 2" xfId="24307"/>
    <cellStyle name="Total 3 3 3 3" xfId="24306"/>
    <cellStyle name="Total 3 3 4" xfId="2646"/>
    <cellStyle name="Total 3 3 4 2" xfId="24309"/>
    <cellStyle name="Total 3 3 4 3" xfId="24308"/>
    <cellStyle name="Total 3 3 5" xfId="3019"/>
    <cellStyle name="Total 3 3 5 2" xfId="24311"/>
    <cellStyle name="Total 3 3 5 3" xfId="24310"/>
    <cellStyle name="Total 3 3 6" xfId="3390"/>
    <cellStyle name="Total 3 3 6 2" xfId="24313"/>
    <cellStyle name="Total 3 3 6 3" xfId="24312"/>
    <cellStyle name="Total 3 3 7" xfId="24314"/>
    <cellStyle name="Total 3 3 8" xfId="24303"/>
    <cellStyle name="Total 3 4" xfId="1757"/>
    <cellStyle name="Total 3 4 2" xfId="1942"/>
    <cellStyle name="Total 3 4 2 2" xfId="24317"/>
    <cellStyle name="Total 3 4 2 3" xfId="24316"/>
    <cellStyle name="Total 3 4 3" xfId="2317"/>
    <cellStyle name="Total 3 4 3 2" xfId="24319"/>
    <cellStyle name="Total 3 4 3 3" xfId="24318"/>
    <cellStyle name="Total 3 4 4" xfId="2690"/>
    <cellStyle name="Total 3 4 4 2" xfId="24321"/>
    <cellStyle name="Total 3 4 4 3" xfId="24320"/>
    <cellStyle name="Total 3 4 5" xfId="3063"/>
    <cellStyle name="Total 3 4 5 2" xfId="24323"/>
    <cellStyle name="Total 3 4 5 3" xfId="24322"/>
    <cellStyle name="Total 3 4 6" xfId="3434"/>
    <cellStyle name="Total 3 4 6 2" xfId="24325"/>
    <cellStyle name="Total 3 4 6 3" xfId="24324"/>
    <cellStyle name="Total 3 4 7" xfId="24326"/>
    <cellStyle name="Total 3 4 8" xfId="24315"/>
    <cellStyle name="Total 3 5" xfId="2092"/>
    <cellStyle name="Total 3 5 2" xfId="24328"/>
    <cellStyle name="Total 3 5 3" xfId="24327"/>
    <cellStyle name="Total 3 6" xfId="2466"/>
    <cellStyle name="Total 3 6 2" xfId="24330"/>
    <cellStyle name="Total 3 6 3" xfId="24329"/>
    <cellStyle name="Total 3 7" xfId="2838"/>
    <cellStyle name="Total 3 7 2" xfId="24332"/>
    <cellStyle name="Total 3 7 3" xfId="24331"/>
    <cellStyle name="Total 3 8" xfId="3209"/>
    <cellStyle name="Total 3 8 2" xfId="24334"/>
    <cellStyle name="Total 3 8 3" xfId="24333"/>
    <cellStyle name="Total 3 9" xfId="3578"/>
    <cellStyle name="Total 3 9 2" xfId="24336"/>
    <cellStyle name="Total 3 9 3" xfId="24335"/>
    <cellStyle name="Total 4" xfId="274"/>
    <cellStyle name="Total 4 10" xfId="3758"/>
    <cellStyle name="Total 4 10 2" xfId="24338"/>
    <cellStyle name="Total 4 10 3" xfId="24337"/>
    <cellStyle name="Total 4 11" xfId="1292"/>
    <cellStyle name="Total 4 11 2" xfId="24340"/>
    <cellStyle name="Total 4 11 3" xfId="24339"/>
    <cellStyle name="Total 4 12" xfId="24341"/>
    <cellStyle name="Total 4 2" xfId="1532"/>
    <cellStyle name="Total 4 2 2" xfId="24343"/>
    <cellStyle name="Total 4 2 3" xfId="24342"/>
    <cellStyle name="Total 4 3" xfId="1657"/>
    <cellStyle name="Total 4 3 2" xfId="24345"/>
    <cellStyle name="Total 4 3 3" xfId="24344"/>
    <cellStyle name="Total 4 4" xfId="1764"/>
    <cellStyle name="Total 4 4 2" xfId="24347"/>
    <cellStyle name="Total 4 4 3" xfId="24346"/>
    <cellStyle name="Total 4 5" xfId="2099"/>
    <cellStyle name="Total 4 5 2" xfId="24349"/>
    <cellStyle name="Total 4 5 3" xfId="24348"/>
    <cellStyle name="Total 4 6" xfId="2473"/>
    <cellStyle name="Total 4 6 2" xfId="24351"/>
    <cellStyle name="Total 4 6 3" xfId="24350"/>
    <cellStyle name="Total 4 7" xfId="2845"/>
    <cellStyle name="Total 4 7 2" xfId="24353"/>
    <cellStyle name="Total 4 7 3" xfId="24352"/>
    <cellStyle name="Total 4 8" xfId="3216"/>
    <cellStyle name="Total 4 8 2" xfId="24355"/>
    <cellStyle name="Total 4 8 3" xfId="24354"/>
    <cellStyle name="Total 4 9" xfId="3621"/>
    <cellStyle name="Total 4 9 2" xfId="5216"/>
    <cellStyle name="Total 4 9 2 2" xfId="24356"/>
    <cellStyle name="Total 4 9 3" xfId="5124"/>
    <cellStyle name="Total 5" xfId="512"/>
    <cellStyle name="Total 5 2" xfId="1881"/>
    <cellStyle name="Total 5 2 2" xfId="5218"/>
    <cellStyle name="Total 5 2 2 2" xfId="24357"/>
    <cellStyle name="Total 5 2 3" xfId="5126"/>
    <cellStyle name="Total 5 3" xfId="2256"/>
    <cellStyle name="Total 5 3 2" xfId="5219"/>
    <cellStyle name="Total 5 3 2 2" xfId="24358"/>
    <cellStyle name="Total 5 3 3" xfId="5127"/>
    <cellStyle name="Total 5 4" xfId="2629"/>
    <cellStyle name="Total 5 4 2" xfId="5220"/>
    <cellStyle name="Total 5 4 2 2" xfId="24359"/>
    <cellStyle name="Total 5 4 3" xfId="5128"/>
    <cellStyle name="Total 5 5" xfId="3002"/>
    <cellStyle name="Total 5 5 2" xfId="5221"/>
    <cellStyle name="Total 5 5 2 2" xfId="24360"/>
    <cellStyle name="Total 5 5 3" xfId="5129"/>
    <cellStyle name="Total 5 6" xfId="3373"/>
    <cellStyle name="Total 5 6 2" xfId="5222"/>
    <cellStyle name="Total 5 6 2 2" xfId="24361"/>
    <cellStyle name="Total 5 6 3" xfId="5130"/>
    <cellStyle name="Total 5 7" xfId="5217"/>
    <cellStyle name="Total 5 7 2" xfId="24363"/>
    <cellStyle name="Total 5 7 3" xfId="24362"/>
    <cellStyle name="Total 5 8" xfId="5125"/>
    <cellStyle name="Total 6" xfId="513"/>
    <cellStyle name="Total 6 2" xfId="2008"/>
    <cellStyle name="Total 6 2 2" xfId="5224"/>
    <cellStyle name="Total 6 2 2 2" xfId="24364"/>
    <cellStyle name="Total 6 2 3" xfId="5132"/>
    <cellStyle name="Total 6 3" xfId="2383"/>
    <cellStyle name="Total 6 3 2" xfId="5225"/>
    <cellStyle name="Total 6 3 2 2" xfId="24365"/>
    <cellStyle name="Total 6 3 3" xfId="5133"/>
    <cellStyle name="Total 6 4" xfId="2756"/>
    <cellStyle name="Total 6 4 2" xfId="5226"/>
    <cellStyle name="Total 6 4 2 2" xfId="24366"/>
    <cellStyle name="Total 6 4 3" xfId="5134"/>
    <cellStyle name="Total 6 5" xfId="3129"/>
    <cellStyle name="Total 6 5 2" xfId="5227"/>
    <cellStyle name="Total 6 5 2 2" xfId="24367"/>
    <cellStyle name="Total 6 5 3" xfId="5135"/>
    <cellStyle name="Total 6 6" xfId="3500"/>
    <cellStyle name="Total 6 6 2" xfId="5228"/>
    <cellStyle name="Total 6 6 2 2" xfId="24368"/>
    <cellStyle name="Total 6 6 3" xfId="5136"/>
    <cellStyle name="Total 6 7" xfId="3806"/>
    <cellStyle name="Total 6 7 2" xfId="5229"/>
    <cellStyle name="Total 6 7 2 2" xfId="24369"/>
    <cellStyle name="Total 6 7 3" xfId="5137"/>
    <cellStyle name="Total 6 8" xfId="5223"/>
    <cellStyle name="Total 6 8 2" xfId="24371"/>
    <cellStyle name="Total 6 8 3" xfId="24370"/>
    <cellStyle name="Total 6 9" xfId="5131"/>
    <cellStyle name="Total 7" xfId="514"/>
    <cellStyle name="Total 7 2" xfId="5230"/>
    <cellStyle name="Total 7 2 2" xfId="24372"/>
    <cellStyle name="Total 7 3" xfId="5138"/>
    <cellStyle name="Total 8" xfId="635"/>
    <cellStyle name="Total 8 2" xfId="5231"/>
    <cellStyle name="Total 8 2 2" xfId="24373"/>
    <cellStyle name="Total 8 3" xfId="5139"/>
    <cellStyle name="Total 9" xfId="636"/>
    <cellStyle name="Total 9 2" xfId="5232"/>
    <cellStyle name="Total 9 2 2" xfId="24374"/>
    <cellStyle name="Total 9 3" xfId="5140"/>
    <cellStyle name="Warning Text 10" xfId="794"/>
    <cellStyle name="Warning Text 10 2" xfId="5233"/>
    <cellStyle name="Warning Text 10 2 2" xfId="24376"/>
    <cellStyle name="Warning Text 10 3" xfId="5141"/>
    <cellStyle name="Warning Text 11" xfId="795"/>
    <cellStyle name="Warning Text 11 2" xfId="5234"/>
    <cellStyle name="Warning Text 11 2 2" xfId="24377"/>
    <cellStyle name="Warning Text 11 3" xfId="5142"/>
    <cellStyle name="Warning Text 12" xfId="918"/>
    <cellStyle name="Warning Text 12 2" xfId="24378"/>
    <cellStyle name="Warning Text 13" xfId="919"/>
    <cellStyle name="Warning Text 13 2" xfId="24375"/>
    <cellStyle name="Warning Text 14" xfId="999"/>
    <cellStyle name="Warning Text 2" xfId="109"/>
    <cellStyle name="Warning Text 2 10" xfId="1711"/>
    <cellStyle name="Warning Text 2 10 2" xfId="5236"/>
    <cellStyle name="Warning Text 2 10 2 2" xfId="24379"/>
    <cellStyle name="Warning Text 2 10 3" xfId="5144"/>
    <cellStyle name="Warning Text 2 11" xfId="2046"/>
    <cellStyle name="Warning Text 2 11 2" xfId="5237"/>
    <cellStyle name="Warning Text 2 11 2 2" xfId="24380"/>
    <cellStyle name="Warning Text 2 11 3" xfId="5145"/>
    <cellStyle name="Warning Text 2 12" xfId="2420"/>
    <cellStyle name="Warning Text 2 12 2" xfId="5238"/>
    <cellStyle name="Warning Text 2 12 2 2" xfId="24381"/>
    <cellStyle name="Warning Text 2 12 3" xfId="5146"/>
    <cellStyle name="Warning Text 2 13" xfId="2792"/>
    <cellStyle name="Warning Text 2 13 2" xfId="5239"/>
    <cellStyle name="Warning Text 2 13 2 2" xfId="24382"/>
    <cellStyle name="Warning Text 2 13 3" xfId="5147"/>
    <cellStyle name="Warning Text 2 14" xfId="3163"/>
    <cellStyle name="Warning Text 2 14 2" xfId="5240"/>
    <cellStyle name="Warning Text 2 14 2 2" xfId="24383"/>
    <cellStyle name="Warning Text 2 14 3" xfId="5148"/>
    <cellStyle name="Warning Text 2 15" xfId="3534"/>
    <cellStyle name="Warning Text 2 15 2" xfId="5241"/>
    <cellStyle name="Warning Text 2 15 2 2" xfId="24384"/>
    <cellStyle name="Warning Text 2 15 3" xfId="5149"/>
    <cellStyle name="Warning Text 2 16" xfId="3670"/>
    <cellStyle name="Warning Text 2 16 2" xfId="5242"/>
    <cellStyle name="Warning Text 2 16 2 2" xfId="24385"/>
    <cellStyle name="Warning Text 2 16 3" xfId="5150"/>
    <cellStyle name="Warning Text 2 17" xfId="5235"/>
    <cellStyle name="Warning Text 2 17 2" xfId="24387"/>
    <cellStyle name="Warning Text 2 17 3" xfId="24386"/>
    <cellStyle name="Warning Text 2 18" xfId="5143"/>
    <cellStyle name="Warning Text 2 19" xfId="24504"/>
    <cellStyle name="Warning Text 2 2" xfId="152"/>
    <cellStyle name="Warning Text 2 2 2" xfId="166"/>
    <cellStyle name="Warning Text 2 2 2 2" xfId="5244"/>
    <cellStyle name="Warning Text 2 2 2 2 2" xfId="24388"/>
    <cellStyle name="Warning Text 2 2 2 3" xfId="5152"/>
    <cellStyle name="Warning Text 2 2 3" xfId="330"/>
    <cellStyle name="Warning Text 2 2 3 2" xfId="5245"/>
    <cellStyle name="Warning Text 2 2 3 2 2" xfId="24389"/>
    <cellStyle name="Warning Text 2 2 3 3" xfId="5153"/>
    <cellStyle name="Warning Text 2 2 4" xfId="2153"/>
    <cellStyle name="Warning Text 2 2 4 2" xfId="5246"/>
    <cellStyle name="Warning Text 2 2 4 2 2" xfId="24390"/>
    <cellStyle name="Warning Text 2 2 4 3" xfId="5154"/>
    <cellStyle name="Warning Text 2 2 5" xfId="2527"/>
    <cellStyle name="Warning Text 2 2 5 2" xfId="5247"/>
    <cellStyle name="Warning Text 2 2 5 2 2" xfId="24391"/>
    <cellStyle name="Warning Text 2 2 5 3" xfId="5155"/>
    <cellStyle name="Warning Text 2 2 6" xfId="2899"/>
    <cellStyle name="Warning Text 2 2 6 2" xfId="5248"/>
    <cellStyle name="Warning Text 2 2 6 2 2" xfId="24392"/>
    <cellStyle name="Warning Text 2 2 6 3" xfId="5156"/>
    <cellStyle name="Warning Text 2 2 7" xfId="3270"/>
    <cellStyle name="Warning Text 2 2 7 2" xfId="5249"/>
    <cellStyle name="Warning Text 2 2 7 2 2" xfId="24393"/>
    <cellStyle name="Warning Text 2 2 7 3" xfId="5157"/>
    <cellStyle name="Warning Text 2 2 8" xfId="5243"/>
    <cellStyle name="Warning Text 2 2 8 2" xfId="24394"/>
    <cellStyle name="Warning Text 2 2 9" xfId="5151"/>
    <cellStyle name="Warning Text 2 3" xfId="316"/>
    <cellStyle name="Warning Text 2 3 2" xfId="1329"/>
    <cellStyle name="Warning Text 2 3 2 2" xfId="24395"/>
    <cellStyle name="Warning Text 2 3 3" xfId="5158"/>
    <cellStyle name="Warning Text 2 4" xfId="515"/>
    <cellStyle name="Warning Text 2 4 2" xfId="5250"/>
    <cellStyle name="Warning Text 2 4 2 2" xfId="24396"/>
    <cellStyle name="Warning Text 2 4 3" xfId="5159"/>
    <cellStyle name="Warning Text 2 5" xfId="637"/>
    <cellStyle name="Warning Text 2 5 2" xfId="5251"/>
    <cellStyle name="Warning Text 2 5 2 2" xfId="24397"/>
    <cellStyle name="Warning Text 2 5 3" xfId="5160"/>
    <cellStyle name="Warning Text 2 6" xfId="796"/>
    <cellStyle name="Warning Text 2 6 2" xfId="5252"/>
    <cellStyle name="Warning Text 2 6 2 2" xfId="24398"/>
    <cellStyle name="Warning Text 2 6 3" xfId="5161"/>
    <cellStyle name="Warning Text 2 7" xfId="797"/>
    <cellStyle name="Warning Text 2 7 2" xfId="5253"/>
    <cellStyle name="Warning Text 2 7 2 2" xfId="24399"/>
    <cellStyle name="Warning Text 2 7 3" xfId="5162"/>
    <cellStyle name="Warning Text 2 8" xfId="920"/>
    <cellStyle name="Warning Text 2 8 2" xfId="1436"/>
    <cellStyle name="Warning Text 2 8 2 2" xfId="24400"/>
    <cellStyle name="Warning Text 2 8 3" xfId="5163"/>
    <cellStyle name="Warning Text 2 9" xfId="1000"/>
    <cellStyle name="Warning Text 2 9 2" xfId="1539"/>
    <cellStyle name="Warning Text 2 9 2 2" xfId="24401"/>
    <cellStyle name="Warning Text 2 9 3" xfId="5164"/>
    <cellStyle name="Warning Text 3" xfId="207"/>
    <cellStyle name="Warning Text 3 10" xfId="3715"/>
    <cellStyle name="Warning Text 3 10 2" xfId="5255"/>
    <cellStyle name="Warning Text 3 10 2 2" xfId="24402"/>
    <cellStyle name="Warning Text 3 10 3" xfId="5166"/>
    <cellStyle name="Warning Text 3 11" xfId="5254"/>
    <cellStyle name="Warning Text 3 11 2" xfId="24404"/>
    <cellStyle name="Warning Text 3 11 3" xfId="24403"/>
    <cellStyle name="Warning Text 3 12" xfId="5165"/>
    <cellStyle name="Warning Text 3 2" xfId="1488"/>
    <cellStyle name="Warning Text 3 2 2" xfId="1818"/>
    <cellStyle name="Warning Text 3 2 2 2" xfId="5257"/>
    <cellStyle name="Warning Text 3 2 2 2 2" xfId="24405"/>
    <cellStyle name="Warning Text 3 2 2 3" xfId="5168"/>
    <cellStyle name="Warning Text 3 2 3" xfId="2193"/>
    <cellStyle name="Warning Text 3 2 3 2" xfId="5258"/>
    <cellStyle name="Warning Text 3 2 3 2 2" xfId="24406"/>
    <cellStyle name="Warning Text 3 2 3 3" xfId="5169"/>
    <cellStyle name="Warning Text 3 2 4" xfId="2567"/>
    <cellStyle name="Warning Text 3 2 4 2" xfId="5259"/>
    <cellStyle name="Warning Text 3 2 4 2 2" xfId="24407"/>
    <cellStyle name="Warning Text 3 2 4 3" xfId="5170"/>
    <cellStyle name="Warning Text 3 2 5" xfId="2939"/>
    <cellStyle name="Warning Text 3 2 5 2" xfId="5260"/>
    <cellStyle name="Warning Text 3 2 5 2 2" xfId="24408"/>
    <cellStyle name="Warning Text 3 2 5 3" xfId="5171"/>
    <cellStyle name="Warning Text 3 2 6" xfId="3311"/>
    <cellStyle name="Warning Text 3 2 6 2" xfId="5261"/>
    <cellStyle name="Warning Text 3 2 6 2 2" xfId="24409"/>
    <cellStyle name="Warning Text 3 2 6 3" xfId="5172"/>
    <cellStyle name="Warning Text 3 2 7" xfId="5256"/>
    <cellStyle name="Warning Text 3 2 7 2" xfId="24410"/>
    <cellStyle name="Warning Text 3 2 8" xfId="5167"/>
    <cellStyle name="Warning Text 3 3" xfId="1615"/>
    <cellStyle name="Warning Text 3 3 2" xfId="1895"/>
    <cellStyle name="Warning Text 3 3 2 2" xfId="5263"/>
    <cellStyle name="Warning Text 3 3 2 2 2" xfId="24411"/>
    <cellStyle name="Warning Text 3 3 2 3" xfId="5174"/>
    <cellStyle name="Warning Text 3 3 3" xfId="2270"/>
    <cellStyle name="Warning Text 3 3 3 2" xfId="5264"/>
    <cellStyle name="Warning Text 3 3 3 2 2" xfId="24412"/>
    <cellStyle name="Warning Text 3 3 3 3" xfId="5175"/>
    <cellStyle name="Warning Text 3 3 4" xfId="2643"/>
    <cellStyle name="Warning Text 3 3 4 2" xfId="5265"/>
    <cellStyle name="Warning Text 3 3 4 2 2" xfId="24413"/>
    <cellStyle name="Warning Text 3 3 4 3" xfId="5176"/>
    <cellStyle name="Warning Text 3 3 5" xfId="3016"/>
    <cellStyle name="Warning Text 3 3 5 2" xfId="5266"/>
    <cellStyle name="Warning Text 3 3 5 2 2" xfId="24414"/>
    <cellStyle name="Warning Text 3 3 5 3" xfId="5177"/>
    <cellStyle name="Warning Text 3 3 6" xfId="3387"/>
    <cellStyle name="Warning Text 3 3 6 2" xfId="5267"/>
    <cellStyle name="Warning Text 3 3 6 2 2" xfId="24415"/>
    <cellStyle name="Warning Text 3 3 6 3" xfId="5178"/>
    <cellStyle name="Warning Text 3 3 7" xfId="5262"/>
    <cellStyle name="Warning Text 3 3 7 2" xfId="24416"/>
    <cellStyle name="Warning Text 3 3 8" xfId="5173"/>
    <cellStyle name="Warning Text 3 4" xfId="1758"/>
    <cellStyle name="Warning Text 3 4 2" xfId="1939"/>
    <cellStyle name="Warning Text 3 4 2 2" xfId="5269"/>
    <cellStyle name="Warning Text 3 4 2 2 2" xfId="24417"/>
    <cellStyle name="Warning Text 3 4 2 3" xfId="5180"/>
    <cellStyle name="Warning Text 3 4 3" xfId="2314"/>
    <cellStyle name="Warning Text 3 4 3 2" xfId="5270"/>
    <cellStyle name="Warning Text 3 4 3 2 2" xfId="24418"/>
    <cellStyle name="Warning Text 3 4 3 3" xfId="5181"/>
    <cellStyle name="Warning Text 3 4 4" xfId="2687"/>
    <cellStyle name="Warning Text 3 4 4 2" xfId="5271"/>
    <cellStyle name="Warning Text 3 4 4 2 2" xfId="24419"/>
    <cellStyle name="Warning Text 3 4 4 3" xfId="5182"/>
    <cellStyle name="Warning Text 3 4 5" xfId="3060"/>
    <cellStyle name="Warning Text 3 4 5 2" xfId="5272"/>
    <cellStyle name="Warning Text 3 4 5 2 2" xfId="24420"/>
    <cellStyle name="Warning Text 3 4 5 3" xfId="5183"/>
    <cellStyle name="Warning Text 3 4 6" xfId="3431"/>
    <cellStyle name="Warning Text 3 4 6 2" xfId="5273"/>
    <cellStyle name="Warning Text 3 4 6 2 2" xfId="24421"/>
    <cellStyle name="Warning Text 3 4 6 3" xfId="5184"/>
    <cellStyle name="Warning Text 3 4 7" xfId="5268"/>
    <cellStyle name="Warning Text 3 4 7 2" xfId="24422"/>
    <cellStyle name="Warning Text 3 4 8" xfId="5179"/>
    <cellStyle name="Warning Text 3 5" xfId="2093"/>
    <cellStyle name="Warning Text 3 5 2" xfId="5274"/>
    <cellStyle name="Warning Text 3 5 2 2" xfId="24423"/>
    <cellStyle name="Warning Text 3 5 3" xfId="5185"/>
    <cellStyle name="Warning Text 3 6" xfId="2467"/>
    <cellStyle name="Warning Text 3 6 2" xfId="5275"/>
    <cellStyle name="Warning Text 3 6 2 2" xfId="24424"/>
    <cellStyle name="Warning Text 3 6 3" xfId="5186"/>
    <cellStyle name="Warning Text 3 7" xfId="2839"/>
    <cellStyle name="Warning Text 3 7 2" xfId="5276"/>
    <cellStyle name="Warning Text 3 7 2 2" xfId="24425"/>
    <cellStyle name="Warning Text 3 7 3" xfId="5187"/>
    <cellStyle name="Warning Text 3 8" xfId="3210"/>
    <cellStyle name="Warning Text 3 8 2" xfId="5277"/>
    <cellStyle name="Warning Text 3 8 2 2" xfId="24426"/>
    <cellStyle name="Warning Text 3 8 3" xfId="5188"/>
    <cellStyle name="Warning Text 3 9" xfId="3579"/>
    <cellStyle name="Warning Text 3 9 2" xfId="5278"/>
    <cellStyle name="Warning Text 3 9 2 2" xfId="24427"/>
    <cellStyle name="Warning Text 3 9 3" xfId="5189"/>
    <cellStyle name="Warning Text 4" xfId="275"/>
    <cellStyle name="Warning Text 4 10" xfId="3759"/>
    <cellStyle name="Warning Text 4 10 2" xfId="5279"/>
    <cellStyle name="Warning Text 4 10 2 2" xfId="24428"/>
    <cellStyle name="Warning Text 4 10 3" xfId="5191"/>
    <cellStyle name="Warning Text 4 11" xfId="1289"/>
    <cellStyle name="Warning Text 4 11 2" xfId="24430"/>
    <cellStyle name="Warning Text 4 11 3" xfId="24429"/>
    <cellStyle name="Warning Text 4 12" xfId="5190"/>
    <cellStyle name="Warning Text 4 2" xfId="1533"/>
    <cellStyle name="Warning Text 4 2 2" xfId="5280"/>
    <cellStyle name="Warning Text 4 2 2 2" xfId="24431"/>
    <cellStyle name="Warning Text 4 2 3" xfId="5192"/>
    <cellStyle name="Warning Text 4 3" xfId="1658"/>
    <cellStyle name="Warning Text 4 3 2" xfId="5281"/>
    <cellStyle name="Warning Text 4 3 2 2" xfId="24432"/>
    <cellStyle name="Warning Text 4 3 3" xfId="5193"/>
    <cellStyle name="Warning Text 4 4" xfId="1763"/>
    <cellStyle name="Warning Text 4 4 2" xfId="5282"/>
    <cellStyle name="Warning Text 4 4 2 2" xfId="24433"/>
    <cellStyle name="Warning Text 4 4 3" xfId="5194"/>
    <cellStyle name="Warning Text 4 5" xfId="2098"/>
    <cellStyle name="Warning Text 4 5 2" xfId="5283"/>
    <cellStyle name="Warning Text 4 5 2 2" xfId="24434"/>
    <cellStyle name="Warning Text 4 5 3" xfId="5195"/>
    <cellStyle name="Warning Text 4 6" xfId="2472"/>
    <cellStyle name="Warning Text 4 6 2" xfId="5284"/>
    <cellStyle name="Warning Text 4 6 2 2" xfId="24435"/>
    <cellStyle name="Warning Text 4 6 3" xfId="5196"/>
    <cellStyle name="Warning Text 4 7" xfId="2844"/>
    <cellStyle name="Warning Text 4 7 2" xfId="5285"/>
    <cellStyle name="Warning Text 4 7 2 2" xfId="24436"/>
    <cellStyle name="Warning Text 4 7 3" xfId="5197"/>
    <cellStyle name="Warning Text 4 8" xfId="3215"/>
    <cellStyle name="Warning Text 4 8 2" xfId="5286"/>
    <cellStyle name="Warning Text 4 8 2 2" xfId="24437"/>
    <cellStyle name="Warning Text 4 8 3" xfId="5198"/>
    <cellStyle name="Warning Text 4 9" xfId="3622"/>
    <cellStyle name="Warning Text 4 9 2" xfId="5287"/>
    <cellStyle name="Warning Text 4 9 2 2" xfId="24438"/>
    <cellStyle name="Warning Text 4 9 3" xfId="5199"/>
    <cellStyle name="Warning Text 5" xfId="516"/>
    <cellStyle name="Warning Text 5 2" xfId="1847"/>
    <cellStyle name="Warning Text 5 2 2" xfId="5289"/>
    <cellStyle name="Warning Text 5 2 2 2" xfId="24439"/>
    <cellStyle name="Warning Text 5 2 3" xfId="5201"/>
    <cellStyle name="Warning Text 5 3" xfId="2222"/>
    <cellStyle name="Warning Text 5 3 2" xfId="5290"/>
    <cellStyle name="Warning Text 5 3 2 2" xfId="24440"/>
    <cellStyle name="Warning Text 5 3 3" xfId="5202"/>
    <cellStyle name="Warning Text 5 4" xfId="2596"/>
    <cellStyle name="Warning Text 5 4 2" xfId="5291"/>
    <cellStyle name="Warning Text 5 4 2 2" xfId="24441"/>
    <cellStyle name="Warning Text 5 4 3" xfId="5203"/>
    <cellStyle name="Warning Text 5 5" xfId="2968"/>
    <cellStyle name="Warning Text 5 5 2" xfId="5292"/>
    <cellStyle name="Warning Text 5 5 2 2" xfId="24442"/>
    <cellStyle name="Warning Text 5 5 3" xfId="5204"/>
    <cellStyle name="Warning Text 5 6" xfId="3340"/>
    <cellStyle name="Warning Text 5 6 2" xfId="5293"/>
    <cellStyle name="Warning Text 5 6 2 2" xfId="24443"/>
    <cellStyle name="Warning Text 5 6 3" xfId="5205"/>
    <cellStyle name="Warning Text 5 7" xfId="5288"/>
    <cellStyle name="Warning Text 5 7 2" xfId="24445"/>
    <cellStyle name="Warning Text 5 7 3" xfId="24444"/>
    <cellStyle name="Warning Text 5 8" xfId="5200"/>
    <cellStyle name="Warning Text 6" xfId="517"/>
    <cellStyle name="Warning Text 6 2" xfId="2009"/>
    <cellStyle name="Warning Text 6 2 2" xfId="5295"/>
    <cellStyle name="Warning Text 6 2 2 2" xfId="24446"/>
    <cellStyle name="Warning Text 6 2 3" xfId="5207"/>
    <cellStyle name="Warning Text 6 3" xfId="2384"/>
    <cellStyle name="Warning Text 6 3 2" xfId="5296"/>
    <cellStyle name="Warning Text 6 3 2 2" xfId="24447"/>
    <cellStyle name="Warning Text 6 3 3" xfId="5208"/>
    <cellStyle name="Warning Text 6 4" xfId="2757"/>
    <cellStyle name="Warning Text 6 4 2" xfId="5297"/>
    <cellStyle name="Warning Text 6 4 2 2" xfId="24448"/>
    <cellStyle name="Warning Text 6 4 3" xfId="5209"/>
    <cellStyle name="Warning Text 6 5" xfId="3130"/>
    <cellStyle name="Warning Text 6 5 2" xfId="5298"/>
    <cellStyle name="Warning Text 6 5 2 2" xfId="24449"/>
    <cellStyle name="Warning Text 6 5 3" xfId="5210"/>
    <cellStyle name="Warning Text 6 6" xfId="3501"/>
    <cellStyle name="Warning Text 6 6 2" xfId="5299"/>
    <cellStyle name="Warning Text 6 6 2 2" xfId="24450"/>
    <cellStyle name="Warning Text 6 6 3" xfId="5211"/>
    <cellStyle name="Warning Text 6 7" xfId="3807"/>
    <cellStyle name="Warning Text 6 7 2" xfId="5300"/>
    <cellStyle name="Warning Text 6 7 2 2" xfId="24451"/>
    <cellStyle name="Warning Text 6 7 3" xfId="5212"/>
    <cellStyle name="Warning Text 6 8" xfId="5294"/>
    <cellStyle name="Warning Text 6 8 2" xfId="24453"/>
    <cellStyle name="Warning Text 6 8 3" xfId="24452"/>
    <cellStyle name="Warning Text 6 9" xfId="5206"/>
    <cellStyle name="Warning Text 7" xfId="518"/>
    <cellStyle name="Warning Text 7 2" xfId="5301"/>
    <cellStyle name="Warning Text 7 2 2" xfId="24454"/>
    <cellStyle name="Warning Text 7 3" xfId="5213"/>
    <cellStyle name="Warning Text 8" xfId="638"/>
    <cellStyle name="Warning Text 8 2" xfId="5302"/>
    <cellStyle name="Warning Text 8 2 2" xfId="24455"/>
    <cellStyle name="Warning Text 8 3" xfId="5214"/>
    <cellStyle name="Warning Text 9" xfId="639"/>
    <cellStyle name="Warning Text 9 2" xfId="5303"/>
    <cellStyle name="Warning Text 9 2 2" xfId="24456"/>
    <cellStyle name="Warning Text 9 3" xfId="5215"/>
  </cellStyles>
  <dxfs count="4">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0000"/>
          <bgColor rgb="FFFFFF00"/>
        </patternFill>
      </fill>
      <border>
        <left style="thin">
          <color auto="1"/>
        </left>
        <right style="thin">
          <color auto="1"/>
        </right>
        <top style="thin">
          <color auto="1"/>
        </top>
        <bottom style="thin">
          <color auto="1"/>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53"/>
  <sheetViews>
    <sheetView tabSelected="1" zoomScaleNormal="100" zoomScaleSheetLayoutView="100" workbookViewId="0">
      <selection activeCell="A18" sqref="A18:I18"/>
    </sheetView>
  </sheetViews>
  <sheetFormatPr defaultRowHeight="15.75"/>
  <cols>
    <col min="1" max="1" width="10.140625" style="10" bestFit="1" customWidth="1"/>
    <col min="2" max="3" width="11.42578125" style="10" bestFit="1" customWidth="1"/>
    <col min="4" max="4" width="9.140625" style="10"/>
    <col min="5" max="5" width="11.5703125" style="10" bestFit="1" customWidth="1"/>
    <col min="6" max="7" width="9.140625" style="10"/>
    <col min="8" max="8" width="19.7109375" style="10" bestFit="1" customWidth="1"/>
    <col min="9" max="16384" width="9.140625" style="10"/>
  </cols>
  <sheetData>
    <row r="1" spans="1:9">
      <c r="A1" s="8"/>
      <c r="B1" s="9"/>
      <c r="C1" s="8"/>
      <c r="G1" s="11"/>
      <c r="H1" s="12"/>
    </row>
    <row r="2" spans="1:9">
      <c r="A2" s="650"/>
      <c r="B2" s="650"/>
      <c r="C2" s="650"/>
      <c r="D2" s="650"/>
      <c r="E2" s="650"/>
      <c r="F2" s="650"/>
      <c r="G2" s="650"/>
      <c r="H2" s="650"/>
      <c r="I2" s="650"/>
    </row>
    <row r="3" spans="1:9">
      <c r="B3" s="13"/>
    </row>
    <row r="4" spans="1:9">
      <c r="A4" s="651" t="s">
        <v>526</v>
      </c>
      <c r="B4" s="651"/>
      <c r="C4" s="651"/>
      <c r="D4" s="651"/>
      <c r="E4" s="651"/>
      <c r="F4" s="651"/>
      <c r="G4" s="651"/>
      <c r="H4" s="651"/>
      <c r="I4" s="651"/>
    </row>
    <row r="6" spans="1:9">
      <c r="A6" s="651" t="s">
        <v>935</v>
      </c>
      <c r="B6" s="651"/>
      <c r="C6" s="651"/>
      <c r="D6" s="651"/>
      <c r="E6" s="651"/>
      <c r="F6" s="651"/>
      <c r="G6" s="651"/>
      <c r="H6" s="651"/>
      <c r="I6" s="651"/>
    </row>
    <row r="7" spans="1:9">
      <c r="A7" s="651"/>
      <c r="B7" s="651"/>
      <c r="C7" s="651"/>
      <c r="D7" s="651"/>
      <c r="E7" s="651"/>
      <c r="F7" s="651"/>
      <c r="G7" s="651"/>
      <c r="H7" s="651"/>
      <c r="I7" s="651"/>
    </row>
    <row r="8" spans="1:9">
      <c r="A8" s="606"/>
      <c r="B8" s="606"/>
      <c r="C8" s="606"/>
      <c r="D8" s="606"/>
      <c r="E8" s="606"/>
      <c r="F8" s="606"/>
      <c r="G8" s="606"/>
      <c r="H8" s="606"/>
      <c r="I8" s="606"/>
    </row>
    <row r="9" spans="1:9">
      <c r="A9" s="651" t="s">
        <v>156</v>
      </c>
      <c r="B9" s="651"/>
      <c r="C9" s="651"/>
      <c r="D9" s="651"/>
      <c r="E9" s="651"/>
      <c r="F9" s="651"/>
      <c r="G9" s="651"/>
      <c r="H9" s="651"/>
      <c r="I9" s="651"/>
    </row>
    <row r="10" spans="1:9">
      <c r="A10" s="653" t="s">
        <v>1176</v>
      </c>
      <c r="B10" s="653"/>
      <c r="C10" s="653"/>
      <c r="D10" s="653"/>
      <c r="E10" s="653"/>
      <c r="F10" s="653"/>
      <c r="G10" s="653"/>
      <c r="H10" s="653"/>
      <c r="I10" s="653"/>
    </row>
    <row r="12" spans="1:9">
      <c r="A12" s="15"/>
      <c r="B12" s="15"/>
      <c r="C12" s="15"/>
      <c r="D12" s="15"/>
      <c r="E12" s="15"/>
      <c r="F12" s="15"/>
      <c r="G12" s="15"/>
      <c r="H12" s="15"/>
      <c r="I12" s="15"/>
    </row>
    <row r="13" spans="1:9">
      <c r="A13" s="653" t="s">
        <v>1177</v>
      </c>
      <c r="B13" s="653"/>
      <c r="C13" s="653"/>
      <c r="D13" s="653"/>
      <c r="E13" s="653"/>
      <c r="F13" s="653"/>
      <c r="G13" s="653"/>
      <c r="H13" s="653"/>
      <c r="I13" s="653"/>
    </row>
    <row r="14" spans="1:9">
      <c r="A14" s="651"/>
      <c r="B14" s="651"/>
      <c r="C14" s="651"/>
      <c r="D14" s="651"/>
      <c r="E14" s="651"/>
      <c r="F14" s="651"/>
      <c r="G14" s="651"/>
      <c r="H14" s="651"/>
      <c r="I14" s="651"/>
    </row>
    <row r="15" spans="1:9">
      <c r="A15" s="14"/>
      <c r="B15" s="14"/>
      <c r="C15" s="14"/>
      <c r="D15" s="14"/>
      <c r="E15" s="14"/>
      <c r="F15" s="14"/>
      <c r="G15" s="14"/>
      <c r="H15" s="14"/>
      <c r="I15" s="14"/>
    </row>
    <row r="18" spans="1:9">
      <c r="A18" s="654">
        <v>43252</v>
      </c>
      <c r="B18" s="654"/>
      <c r="C18" s="654"/>
      <c r="D18" s="654"/>
      <c r="E18" s="654"/>
      <c r="F18" s="654"/>
      <c r="G18" s="654"/>
      <c r="H18" s="654"/>
      <c r="I18" s="654"/>
    </row>
    <row r="21" spans="1:9">
      <c r="A21" s="652"/>
      <c r="B21" s="652"/>
      <c r="C21" s="652"/>
      <c r="D21" s="652"/>
      <c r="E21" s="652"/>
      <c r="F21" s="652"/>
      <c r="G21" s="652"/>
      <c r="H21" s="652"/>
      <c r="I21" s="652"/>
    </row>
    <row r="22" spans="1:9">
      <c r="B22" s="135"/>
      <c r="C22" s="135"/>
      <c r="D22" s="135"/>
      <c r="E22" s="135"/>
      <c r="F22" s="135"/>
    </row>
    <row r="23" spans="1:9">
      <c r="B23" s="135"/>
      <c r="C23" s="135"/>
      <c r="D23" s="135"/>
      <c r="E23" s="135"/>
      <c r="F23" s="135"/>
    </row>
    <row r="24" spans="1:9">
      <c r="B24" s="135"/>
      <c r="C24" s="135"/>
      <c r="D24" s="135"/>
      <c r="E24" s="135"/>
      <c r="F24" s="135"/>
    </row>
    <row r="25" spans="1:9">
      <c r="B25" s="135"/>
      <c r="C25" s="135"/>
      <c r="D25" s="135"/>
      <c r="E25" s="135"/>
      <c r="F25" s="135"/>
    </row>
    <row r="26" spans="1:9">
      <c r="B26" s="135"/>
      <c r="C26" s="135"/>
      <c r="D26" s="135"/>
      <c r="E26" s="135"/>
      <c r="F26" s="135"/>
    </row>
    <row r="53" spans="1:9">
      <c r="A53" s="652"/>
      <c r="B53" s="652"/>
      <c r="C53" s="652"/>
      <c r="D53" s="652"/>
      <c r="E53" s="652"/>
      <c r="F53" s="652"/>
      <c r="G53" s="652"/>
      <c r="H53" s="652"/>
      <c r="I53" s="652"/>
    </row>
  </sheetData>
  <mergeCells count="11">
    <mergeCell ref="A2:I2"/>
    <mergeCell ref="A4:I4"/>
    <mergeCell ref="A6:I6"/>
    <mergeCell ref="A53:I53"/>
    <mergeCell ref="A7:I7"/>
    <mergeCell ref="A13:I13"/>
    <mergeCell ref="A18:I18"/>
    <mergeCell ref="A14:I14"/>
    <mergeCell ref="A21:I21"/>
    <mergeCell ref="A9:I9"/>
    <mergeCell ref="A10:I10"/>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12/31/2017</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59"/>
  <sheetViews>
    <sheetView zoomScaleNormal="100" zoomScaleSheetLayoutView="100" workbookViewId="0">
      <selection sqref="A1:F1"/>
    </sheetView>
  </sheetViews>
  <sheetFormatPr defaultRowHeight="12.75"/>
  <cols>
    <col min="1" max="1" width="4.5703125" style="612" customWidth="1"/>
    <col min="2" max="2" width="5.28515625" style="152" customWidth="1"/>
    <col min="3" max="3" width="4.7109375" style="152" customWidth="1"/>
    <col min="4" max="4" width="47.42578125" style="152" customWidth="1"/>
    <col min="5" max="5" width="66.7109375" style="152" bestFit="1" customWidth="1"/>
    <col min="6" max="6" width="18.5703125" style="152" customWidth="1"/>
    <col min="7" max="7" width="9.140625" style="152"/>
    <col min="8" max="8" width="15.85546875" style="152" bestFit="1" customWidth="1"/>
    <col min="9" max="16384" width="9.140625" style="152"/>
  </cols>
  <sheetData>
    <row r="1" spans="1:8">
      <c r="A1" s="666" t="s">
        <v>365</v>
      </c>
      <c r="B1" s="666"/>
      <c r="C1" s="666"/>
      <c r="D1" s="666"/>
      <c r="E1" s="666"/>
      <c r="F1" s="666"/>
    </row>
    <row r="2" spans="1:8">
      <c r="A2" s="666" t="s">
        <v>396</v>
      </c>
      <c r="B2" s="666"/>
      <c r="C2" s="666"/>
      <c r="D2" s="666"/>
      <c r="E2" s="666"/>
      <c r="F2" s="666"/>
    </row>
    <row r="5" spans="1:8">
      <c r="A5" s="612">
        <v>1</v>
      </c>
      <c r="B5" s="156" t="s">
        <v>182</v>
      </c>
    </row>
    <row r="6" spans="1:8">
      <c r="A6" s="612">
        <f>A5+1</f>
        <v>2</v>
      </c>
    </row>
    <row r="7" spans="1:8">
      <c r="A7" s="612">
        <f t="shared" ref="A7:A55" si="0">A6+1</f>
        <v>3</v>
      </c>
      <c r="D7" s="152" t="s">
        <v>203</v>
      </c>
      <c r="E7" s="158" t="s">
        <v>181</v>
      </c>
      <c r="F7" s="167">
        <f>-'Rate Calculation'!E8</f>
        <v>32995940.105</v>
      </c>
    </row>
    <row r="8" spans="1:8">
      <c r="A8" s="612">
        <f t="shared" si="0"/>
        <v>4</v>
      </c>
      <c r="D8" s="152" t="s">
        <v>754</v>
      </c>
      <c r="E8" s="158" t="s">
        <v>114</v>
      </c>
      <c r="F8" s="167">
        <f>'Rate Calculation'!E7</f>
        <v>1162888407.3399999</v>
      </c>
      <c r="H8" s="209"/>
    </row>
    <row r="9" spans="1:8">
      <c r="A9" s="612">
        <f t="shared" si="0"/>
        <v>5</v>
      </c>
      <c r="D9" s="152" t="s">
        <v>182</v>
      </c>
      <c r="E9" s="160" t="s">
        <v>589</v>
      </c>
      <c r="F9" s="159">
        <f>ROUND(F7/F8,8)</f>
        <v>2.8374119999999999E-2</v>
      </c>
      <c r="H9" s="210"/>
    </row>
    <row r="10" spans="1:8">
      <c r="A10" s="612">
        <f t="shared" si="0"/>
        <v>6</v>
      </c>
      <c r="E10" s="160"/>
      <c r="F10" s="211"/>
    </row>
    <row r="11" spans="1:8">
      <c r="A11" s="612">
        <f t="shared" si="0"/>
        <v>7</v>
      </c>
      <c r="E11" s="160"/>
      <c r="F11" s="211"/>
    </row>
    <row r="12" spans="1:8">
      <c r="A12" s="612">
        <f t="shared" si="0"/>
        <v>8</v>
      </c>
      <c r="B12" s="156" t="s">
        <v>219</v>
      </c>
    </row>
    <row r="13" spans="1:8">
      <c r="A13" s="612">
        <f t="shared" si="0"/>
        <v>9</v>
      </c>
    </row>
    <row r="14" spans="1:8">
      <c r="A14" s="612">
        <f t="shared" si="0"/>
        <v>10</v>
      </c>
      <c r="D14" s="152" t="s">
        <v>220</v>
      </c>
      <c r="E14" s="158" t="s">
        <v>569</v>
      </c>
      <c r="F14" s="167">
        <f>'Schedule 8'!E17</f>
        <v>1041147.3400000001</v>
      </c>
    </row>
    <row r="15" spans="1:8">
      <c r="A15" s="612">
        <f t="shared" si="0"/>
        <v>11</v>
      </c>
      <c r="D15" s="152" t="s">
        <v>754</v>
      </c>
      <c r="E15" s="158" t="s">
        <v>114</v>
      </c>
      <c r="F15" s="167">
        <f>'Rate Calculation'!E7</f>
        <v>1162888407.3399999</v>
      </c>
    </row>
    <row r="16" spans="1:8">
      <c r="A16" s="612">
        <f t="shared" si="0"/>
        <v>12</v>
      </c>
      <c r="D16" s="152" t="s">
        <v>219</v>
      </c>
      <c r="E16" s="160" t="s">
        <v>590</v>
      </c>
      <c r="F16" s="159">
        <f>ROUND(F14/F15,8)</f>
        <v>8.9530999999999996E-4</v>
      </c>
    </row>
    <row r="17" spans="1:8">
      <c r="A17" s="612">
        <f t="shared" si="0"/>
        <v>13</v>
      </c>
      <c r="E17" s="158"/>
      <c r="F17" s="212"/>
    </row>
    <row r="18" spans="1:8">
      <c r="A18" s="612">
        <f t="shared" si="0"/>
        <v>14</v>
      </c>
      <c r="E18" s="160"/>
      <c r="F18" s="211"/>
    </row>
    <row r="19" spans="1:8">
      <c r="A19" s="612">
        <f t="shared" si="0"/>
        <v>15</v>
      </c>
      <c r="B19" s="156" t="s">
        <v>270</v>
      </c>
    </row>
    <row r="20" spans="1:8">
      <c r="A20" s="612">
        <f t="shared" si="0"/>
        <v>16</v>
      </c>
    </row>
    <row r="21" spans="1:8">
      <c r="A21" s="612">
        <f t="shared" si="0"/>
        <v>17</v>
      </c>
      <c r="D21" s="152" t="s">
        <v>397</v>
      </c>
      <c r="E21" s="158" t="s">
        <v>957</v>
      </c>
      <c r="F21" s="157">
        <v>9550941</v>
      </c>
    </row>
    <row r="22" spans="1:8">
      <c r="A22" s="612">
        <f t="shared" si="0"/>
        <v>18</v>
      </c>
      <c r="D22" s="152" t="s">
        <v>221</v>
      </c>
      <c r="E22" s="160" t="s">
        <v>293</v>
      </c>
      <c r="F22" s="162">
        <f>-(F9*F21)</f>
        <v>-270999.54604692</v>
      </c>
    </row>
    <row r="23" spans="1:8">
      <c r="A23" s="612">
        <f t="shared" si="0"/>
        <v>19</v>
      </c>
      <c r="D23" s="152" t="s">
        <v>222</v>
      </c>
      <c r="E23" s="160" t="s">
        <v>294</v>
      </c>
      <c r="F23" s="162">
        <f>-(F21*F16)</f>
        <v>-8551.0529867099995</v>
      </c>
    </row>
    <row r="24" spans="1:8">
      <c r="A24" s="612">
        <f t="shared" si="0"/>
        <v>20</v>
      </c>
      <c r="D24" s="152" t="s">
        <v>223</v>
      </c>
      <c r="E24" s="160" t="s">
        <v>295</v>
      </c>
      <c r="F24" s="157">
        <f>SUM(F21:F23)</f>
        <v>9271390.4009663705</v>
      </c>
    </row>
    <row r="25" spans="1:8">
      <c r="A25" s="612">
        <f t="shared" si="0"/>
        <v>21</v>
      </c>
      <c r="D25" s="152" t="s">
        <v>398</v>
      </c>
      <c r="E25" s="158" t="s">
        <v>958</v>
      </c>
      <c r="F25" s="157">
        <v>69947879</v>
      </c>
    </row>
    <row r="26" spans="1:8">
      <c r="A26" s="612">
        <f t="shared" si="0"/>
        <v>22</v>
      </c>
      <c r="D26" s="152" t="s">
        <v>399</v>
      </c>
      <c r="E26" s="158" t="s">
        <v>959</v>
      </c>
      <c r="F26" s="157">
        <v>144210954</v>
      </c>
    </row>
    <row r="27" spans="1:8">
      <c r="A27" s="612">
        <f t="shared" si="0"/>
        <v>23</v>
      </c>
      <c r="D27" s="152" t="s">
        <v>516</v>
      </c>
      <c r="E27" s="160" t="s">
        <v>755</v>
      </c>
      <c r="F27" s="159">
        <f>ROUND(F24/(F26-F25),8)</f>
        <v>0.12484523</v>
      </c>
      <c r="H27" s="162"/>
    </row>
    <row r="28" spans="1:8">
      <c r="A28" s="612">
        <f t="shared" si="0"/>
        <v>24</v>
      </c>
      <c r="E28" s="160"/>
      <c r="F28" s="211"/>
    </row>
    <row r="29" spans="1:8">
      <c r="A29" s="612">
        <f t="shared" si="0"/>
        <v>25</v>
      </c>
      <c r="E29" s="160"/>
      <c r="F29" s="211"/>
    </row>
    <row r="30" spans="1:8">
      <c r="A30" s="612">
        <f t="shared" si="0"/>
        <v>26</v>
      </c>
      <c r="B30" s="156" t="s">
        <v>515</v>
      </c>
    </row>
    <row r="31" spans="1:8">
      <c r="A31" s="612">
        <f t="shared" si="0"/>
        <v>27</v>
      </c>
    </row>
    <row r="32" spans="1:8">
      <c r="A32" s="612">
        <f t="shared" si="0"/>
        <v>28</v>
      </c>
      <c r="E32" s="158"/>
      <c r="F32" s="157"/>
    </row>
    <row r="33" spans="1:6">
      <c r="A33" s="612">
        <f t="shared" si="0"/>
        <v>29</v>
      </c>
      <c r="D33" s="152" t="s">
        <v>754</v>
      </c>
      <c r="E33" s="158" t="s">
        <v>114</v>
      </c>
      <c r="F33" s="157">
        <f>'Rate Calculation'!E7</f>
        <v>1162888407.3399999</v>
      </c>
    </row>
    <row r="34" spans="1:6">
      <c r="A34" s="612">
        <f t="shared" si="0"/>
        <v>30</v>
      </c>
      <c r="D34" s="152" t="s">
        <v>202</v>
      </c>
      <c r="E34" s="158" t="s">
        <v>181</v>
      </c>
      <c r="F34" s="157">
        <f>-'Schedule 7'!E91</f>
        <v>-32995940.105</v>
      </c>
    </row>
    <row r="35" spans="1:6">
      <c r="A35" s="612">
        <f t="shared" si="0"/>
        <v>31</v>
      </c>
      <c r="D35" s="152" t="s">
        <v>224</v>
      </c>
      <c r="E35" s="158" t="s">
        <v>569</v>
      </c>
      <c r="F35" s="157">
        <f>-('Schedule 8'!E17)</f>
        <v>-1041147.3400000001</v>
      </c>
    </row>
    <row r="36" spans="1:6">
      <c r="A36" s="612">
        <f t="shared" si="0"/>
        <v>32</v>
      </c>
      <c r="D36" s="152" t="s">
        <v>196</v>
      </c>
      <c r="E36" s="160" t="s">
        <v>296</v>
      </c>
      <c r="F36" s="157">
        <f>SUM(F33:F35)</f>
        <v>1128851319.895</v>
      </c>
    </row>
    <row r="37" spans="1:6">
      <c r="A37" s="612">
        <f t="shared" si="0"/>
        <v>33</v>
      </c>
      <c r="D37" s="152" t="s">
        <v>429</v>
      </c>
      <c r="E37" s="142">
        <v>-49</v>
      </c>
      <c r="F37" s="157">
        <f>F53</f>
        <v>54071013.18851234</v>
      </c>
    </row>
    <row r="38" spans="1:6">
      <c r="A38" s="612">
        <f t="shared" si="0"/>
        <v>34</v>
      </c>
      <c r="D38" s="152" t="s">
        <v>756</v>
      </c>
      <c r="E38" s="158" t="s">
        <v>948</v>
      </c>
      <c r="F38" s="157">
        <f>5905411061-14889891-0-0-0-0-142630-0-0</f>
        <v>5890378540</v>
      </c>
    </row>
    <row r="39" spans="1:6">
      <c r="A39" s="612">
        <f t="shared" si="0"/>
        <v>35</v>
      </c>
      <c r="D39" s="152" t="s">
        <v>515</v>
      </c>
      <c r="E39" s="160" t="s">
        <v>153</v>
      </c>
      <c r="F39" s="159">
        <f>ROUND((F36+F37)/F38,8)</f>
        <v>0.2008228</v>
      </c>
    </row>
    <row r="40" spans="1:6">
      <c r="A40" s="612">
        <f t="shared" si="0"/>
        <v>36</v>
      </c>
    </row>
    <row r="41" spans="1:6">
      <c r="A41" s="612">
        <f t="shared" si="0"/>
        <v>37</v>
      </c>
    </row>
    <row r="42" spans="1:6">
      <c r="A42" s="612">
        <f t="shared" si="0"/>
        <v>38</v>
      </c>
      <c r="B42" s="156" t="s">
        <v>314</v>
      </c>
    </row>
    <row r="43" spans="1:6">
      <c r="A43" s="612">
        <f t="shared" si="0"/>
        <v>39</v>
      </c>
    </row>
    <row r="44" spans="1:6">
      <c r="A44" s="612">
        <f t="shared" si="0"/>
        <v>40</v>
      </c>
      <c r="D44" s="152" t="s">
        <v>197</v>
      </c>
      <c r="E44" s="158" t="s">
        <v>225</v>
      </c>
      <c r="F44" s="157">
        <f>F36</f>
        <v>1128851319.895</v>
      </c>
    </row>
    <row r="45" spans="1:6">
      <c r="A45" s="612">
        <f t="shared" si="0"/>
        <v>41</v>
      </c>
      <c r="D45" s="152" t="s">
        <v>756</v>
      </c>
      <c r="E45" s="142">
        <v>-34</v>
      </c>
      <c r="F45" s="157">
        <f>F38</f>
        <v>5890378540</v>
      </c>
    </row>
    <row r="46" spans="1:6">
      <c r="A46" s="612">
        <f t="shared" si="0"/>
        <v>42</v>
      </c>
      <c r="D46" s="152" t="s">
        <v>314</v>
      </c>
      <c r="E46" s="160" t="s">
        <v>154</v>
      </c>
      <c r="F46" s="159">
        <f>ROUND(F44/F45,8)</f>
        <v>0.19164326000000001</v>
      </c>
    </row>
    <row r="47" spans="1:6">
      <c r="A47" s="612">
        <f t="shared" si="0"/>
        <v>43</v>
      </c>
    </row>
    <row r="48" spans="1:6">
      <c r="A48" s="612">
        <f t="shared" si="0"/>
        <v>44</v>
      </c>
    </row>
    <row r="49" spans="1:6">
      <c r="A49" s="612">
        <f t="shared" si="0"/>
        <v>45</v>
      </c>
      <c r="B49" s="156" t="s">
        <v>400</v>
      </c>
    </row>
    <row r="50" spans="1:6">
      <c r="A50" s="612">
        <f t="shared" si="0"/>
        <v>46</v>
      </c>
    </row>
    <row r="51" spans="1:6">
      <c r="A51" s="612">
        <f t="shared" si="0"/>
        <v>47</v>
      </c>
      <c r="D51" s="152" t="s">
        <v>430</v>
      </c>
      <c r="E51" s="158" t="s">
        <v>233</v>
      </c>
      <c r="F51" s="92">
        <f>'Schedule 1'!F22</f>
        <v>46918336.950057529</v>
      </c>
    </row>
    <row r="52" spans="1:6">
      <c r="A52" s="612">
        <f t="shared" si="0"/>
        <v>48</v>
      </c>
      <c r="D52" s="152" t="s">
        <v>431</v>
      </c>
      <c r="E52" s="158" t="s">
        <v>233</v>
      </c>
      <c r="F52" s="92">
        <f>'Schedule 1'!F36</f>
        <v>7152676.2384548103</v>
      </c>
    </row>
    <row r="53" spans="1:6">
      <c r="A53" s="612">
        <f t="shared" si="0"/>
        <v>49</v>
      </c>
      <c r="D53" s="152" t="s">
        <v>432</v>
      </c>
      <c r="E53" s="160" t="s">
        <v>297</v>
      </c>
      <c r="F53" s="92">
        <f>SUM(F51:F52)</f>
        <v>54071013.18851234</v>
      </c>
    </row>
    <row r="54" spans="1:6">
      <c r="A54" s="612">
        <f t="shared" si="0"/>
        <v>50</v>
      </c>
      <c r="D54" s="152" t="s">
        <v>756</v>
      </c>
      <c r="E54" s="142">
        <v>-34</v>
      </c>
      <c r="F54" s="157">
        <f>F38</f>
        <v>5890378540</v>
      </c>
    </row>
    <row r="55" spans="1:6">
      <c r="A55" s="612">
        <f t="shared" si="0"/>
        <v>51</v>
      </c>
      <c r="D55" s="152" t="s">
        <v>425</v>
      </c>
      <c r="E55" s="160" t="s">
        <v>155</v>
      </c>
      <c r="F55" s="152">
        <f>ROUND(F53/F54,8)</f>
        <v>9.1795499999999999E-3</v>
      </c>
    </row>
    <row r="59" spans="1:6">
      <c r="D59" s="167"/>
    </row>
  </sheetData>
  <sheetProtection formatCells="0"/>
  <mergeCells count="2">
    <mergeCell ref="A1:F1"/>
    <mergeCell ref="A2:F2"/>
  </mergeCells>
  <phoneticPr fontId="0" type="noConversion"/>
  <printOptions horizontalCentered="1"/>
  <pageMargins left="0.75" right="0.75" top="1" bottom="1" header="0.5" footer="0.5"/>
  <pageSetup scale="61" orientation="portrait" r:id="rId1"/>
  <headerFooter alignWithMargins="0">
    <oddHeader>&amp;CIDAHO POWER COMPANY
Transmission Cost of Service Rate Development
12 Months Ended 12/31/2017</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43"/>
  <sheetViews>
    <sheetView zoomScaleNormal="100" zoomScaleSheetLayoutView="100" workbookViewId="0">
      <selection activeCell="E18" sqref="E18"/>
    </sheetView>
  </sheetViews>
  <sheetFormatPr defaultRowHeight="12.75"/>
  <cols>
    <col min="1" max="1" width="3.140625" style="152" customWidth="1"/>
    <col min="2" max="2" width="2.140625" style="152" customWidth="1"/>
    <col min="3" max="3" width="44.28515625" style="152" customWidth="1"/>
    <col min="4" max="4" width="37.7109375" style="92" customWidth="1"/>
    <col min="5" max="5" width="15.85546875" style="152" customWidth="1"/>
    <col min="6" max="16384" width="9.140625" style="152"/>
  </cols>
  <sheetData>
    <row r="1" spans="1:5">
      <c r="A1" s="666" t="s">
        <v>366</v>
      </c>
      <c r="B1" s="666"/>
      <c r="C1" s="666"/>
      <c r="D1" s="666"/>
      <c r="E1" s="666"/>
    </row>
    <row r="2" spans="1:5">
      <c r="A2" s="666" t="s">
        <v>302</v>
      </c>
      <c r="B2" s="666"/>
      <c r="C2" s="666"/>
      <c r="D2" s="666"/>
      <c r="E2" s="666"/>
    </row>
    <row r="3" spans="1:5">
      <c r="A3" s="666"/>
      <c r="B3" s="666"/>
      <c r="C3" s="666"/>
      <c r="D3" s="666"/>
      <c r="E3" s="666"/>
    </row>
    <row r="6" spans="1:5">
      <c r="A6" s="612">
        <v>1</v>
      </c>
      <c r="B6" s="156"/>
      <c r="C6" s="156" t="s">
        <v>469</v>
      </c>
    </row>
    <row r="7" spans="1:5">
      <c r="A7" s="612">
        <f>A6+1</f>
        <v>2</v>
      </c>
      <c r="B7" s="156"/>
      <c r="C7" s="152" t="s">
        <v>402</v>
      </c>
    </row>
    <row r="8" spans="1:5">
      <c r="A8" s="612">
        <f t="shared" ref="A8:A23" si="0">A7+1</f>
        <v>3</v>
      </c>
      <c r="B8" s="156"/>
      <c r="C8" s="152" t="s">
        <v>403</v>
      </c>
    </row>
    <row r="9" spans="1:5">
      <c r="A9" s="612">
        <f t="shared" si="0"/>
        <v>4</v>
      </c>
      <c r="B9" s="156"/>
      <c r="C9" s="152" t="s">
        <v>183</v>
      </c>
      <c r="D9" s="190" t="s">
        <v>632</v>
      </c>
      <c r="E9" s="462">
        <f>'Schedule 4 Workpaper page 1'!F11</f>
        <v>239370.96</v>
      </c>
    </row>
    <row r="10" spans="1:5">
      <c r="A10" s="612">
        <f t="shared" si="0"/>
        <v>5</v>
      </c>
      <c r="B10" s="156"/>
      <c r="C10" s="152" t="s">
        <v>217</v>
      </c>
      <c r="D10" s="190" t="s">
        <v>632</v>
      </c>
      <c r="E10" s="463">
        <f>'Schedule 4 Workpaper page 1'!F10</f>
        <v>54918.524679375776</v>
      </c>
    </row>
    <row r="11" spans="1:5">
      <c r="A11" s="612">
        <f t="shared" si="0"/>
        <v>6</v>
      </c>
      <c r="B11" s="156"/>
      <c r="C11" s="152" t="s">
        <v>228</v>
      </c>
      <c r="D11" s="190" t="s">
        <v>632</v>
      </c>
      <c r="E11" s="464">
        <f>'Schedule 4 Workpaper page 1'!F12</f>
        <v>531107.30000000005</v>
      </c>
    </row>
    <row r="12" spans="1:5">
      <c r="A12" s="612">
        <f t="shared" si="0"/>
        <v>7</v>
      </c>
      <c r="B12" s="156"/>
      <c r="C12" s="152" t="s">
        <v>909</v>
      </c>
      <c r="D12" s="190" t="s">
        <v>632</v>
      </c>
      <c r="E12" s="465">
        <f>'Schedule 4 Workpaper page 1'!F33</f>
        <v>3297492</v>
      </c>
    </row>
    <row r="13" spans="1:5">
      <c r="A13" s="612">
        <f t="shared" si="0"/>
        <v>8</v>
      </c>
      <c r="B13" s="156"/>
      <c r="C13" s="153" t="s">
        <v>192</v>
      </c>
      <c r="D13" s="190"/>
      <c r="E13" s="371">
        <f>SUM(E9:E12)</f>
        <v>4122888.7846793756</v>
      </c>
    </row>
    <row r="14" spans="1:5">
      <c r="A14" s="612">
        <f t="shared" si="0"/>
        <v>9</v>
      </c>
      <c r="B14" s="156"/>
      <c r="D14" s="190"/>
      <c r="E14" s="463"/>
    </row>
    <row r="15" spans="1:5">
      <c r="A15" s="612">
        <f t="shared" si="0"/>
        <v>10</v>
      </c>
      <c r="B15" s="156"/>
      <c r="C15" s="156" t="s">
        <v>404</v>
      </c>
      <c r="D15" s="190"/>
      <c r="E15" s="433"/>
    </row>
    <row r="16" spans="1:5">
      <c r="A16" s="612">
        <f t="shared" si="0"/>
        <v>11</v>
      </c>
      <c r="B16" s="156"/>
      <c r="C16" s="227" t="s">
        <v>183</v>
      </c>
      <c r="D16" s="466" t="s">
        <v>3</v>
      </c>
      <c r="E16" s="467">
        <f>'Schedule 4 Workpaper page 5'!G11</f>
        <v>31023.509297693283</v>
      </c>
    </row>
    <row r="17" spans="1:5">
      <c r="A17" s="612">
        <f t="shared" si="0"/>
        <v>12</v>
      </c>
      <c r="B17" s="156"/>
      <c r="C17" s="227" t="s">
        <v>350</v>
      </c>
      <c r="D17" s="466" t="s">
        <v>1193</v>
      </c>
      <c r="E17" s="464">
        <f>15132*0.35</f>
        <v>5296.2</v>
      </c>
    </row>
    <row r="18" spans="1:5">
      <c r="A18" s="612">
        <f t="shared" si="0"/>
        <v>13</v>
      </c>
      <c r="B18" s="156"/>
      <c r="C18" s="227" t="s">
        <v>888</v>
      </c>
      <c r="D18" s="466" t="s">
        <v>792</v>
      </c>
      <c r="E18" s="468">
        <f>'Schedule 4 Workpaper page 6'!K33</f>
        <v>22777521.150000002</v>
      </c>
    </row>
    <row r="19" spans="1:5">
      <c r="A19" s="612">
        <f t="shared" si="0"/>
        <v>14</v>
      </c>
      <c r="B19" s="156"/>
      <c r="C19" s="153" t="s">
        <v>192</v>
      </c>
      <c r="D19" s="469"/>
      <c r="E19" s="467">
        <f>SUM(E16:E18)</f>
        <v>22813840.859297697</v>
      </c>
    </row>
    <row r="20" spans="1:5">
      <c r="A20" s="612">
        <f t="shared" si="0"/>
        <v>15</v>
      </c>
      <c r="B20" s="156"/>
      <c r="C20" s="153"/>
      <c r="D20" s="469"/>
      <c r="E20" s="464"/>
    </row>
    <row r="21" spans="1:5">
      <c r="A21" s="612">
        <f t="shared" si="0"/>
        <v>16</v>
      </c>
      <c r="D21" s="152"/>
      <c r="E21" s="463"/>
    </row>
    <row r="22" spans="1:5">
      <c r="A22" s="612">
        <f t="shared" si="0"/>
        <v>17</v>
      </c>
      <c r="D22" s="152"/>
      <c r="E22" s="463"/>
    </row>
    <row r="23" spans="1:5">
      <c r="A23" s="612">
        <f t="shared" si="0"/>
        <v>18</v>
      </c>
      <c r="B23" s="156"/>
      <c r="C23" s="470" t="s">
        <v>405</v>
      </c>
      <c r="E23" s="467">
        <f>E13+E19</f>
        <v>26936729.643977072</v>
      </c>
    </row>
    <row r="24" spans="1:5">
      <c r="A24" s="612"/>
      <c r="B24" s="156"/>
      <c r="C24" s="158"/>
      <c r="E24" s="469"/>
    </row>
    <row r="25" spans="1:5">
      <c r="A25" s="612"/>
      <c r="B25" s="156"/>
    </row>
    <row r="26" spans="1:5">
      <c r="B26" s="156"/>
    </row>
    <row r="27" spans="1:5">
      <c r="B27" s="156"/>
    </row>
    <row r="29" spans="1:5">
      <c r="C29" s="152" t="s">
        <v>887</v>
      </c>
    </row>
    <row r="30" spans="1:5">
      <c r="C30" s="152" t="s">
        <v>796</v>
      </c>
    </row>
    <row r="35" ht="15" customHeight="1"/>
    <row r="43" ht="15" customHeight="1"/>
  </sheetData>
  <sheetProtection formatCells="0"/>
  <mergeCells count="3">
    <mergeCell ref="A1:E1"/>
    <mergeCell ref="A2:E2"/>
    <mergeCell ref="A3:E3"/>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12/31/2017</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69"/>
  <sheetViews>
    <sheetView zoomScale="90" zoomScaleNormal="90" zoomScaleSheetLayoutView="100" zoomScalePageLayoutView="75" workbookViewId="0">
      <selection sqref="A1:M1"/>
    </sheetView>
  </sheetViews>
  <sheetFormatPr defaultRowHeight="12.75"/>
  <cols>
    <col min="1" max="1" width="15.85546875" style="158" customWidth="1"/>
    <col min="2" max="3" width="14.42578125" style="612" customWidth="1"/>
    <col min="4" max="4" width="19.7109375" style="612" bestFit="1" customWidth="1"/>
    <col min="5" max="5" width="17.140625" style="612" customWidth="1"/>
    <col min="6" max="6" width="17.85546875" style="152" customWidth="1"/>
    <col min="7" max="8" width="14.42578125" style="152" customWidth="1"/>
    <col min="9" max="9" width="11.85546875" style="152" customWidth="1"/>
    <col min="10" max="11" width="14.42578125" style="612" customWidth="1"/>
    <col min="12" max="16" width="11.85546875" style="152" customWidth="1"/>
    <col min="17" max="16384" width="9.140625" style="152"/>
  </cols>
  <sheetData>
    <row r="1" spans="1:19">
      <c r="A1" s="666" t="s">
        <v>193</v>
      </c>
      <c r="B1" s="666"/>
      <c r="C1" s="666"/>
      <c r="D1" s="666"/>
      <c r="E1" s="666"/>
      <c r="F1" s="666"/>
      <c r="G1" s="666"/>
      <c r="H1" s="666"/>
      <c r="I1" s="666"/>
      <c r="J1" s="666"/>
      <c r="K1" s="666"/>
      <c r="L1" s="666"/>
      <c r="M1" s="666"/>
      <c r="N1" s="182"/>
      <c r="O1" s="182"/>
      <c r="P1" s="182"/>
    </row>
    <row r="2" spans="1:19" s="156" customFormat="1">
      <c r="A2" s="666" t="s">
        <v>968</v>
      </c>
      <c r="B2" s="666"/>
      <c r="C2" s="666"/>
      <c r="D2" s="666"/>
      <c r="E2" s="666"/>
      <c r="F2" s="666"/>
      <c r="G2" s="666"/>
      <c r="H2" s="666"/>
      <c r="I2" s="666"/>
      <c r="J2" s="666"/>
      <c r="K2" s="666"/>
      <c r="L2" s="666"/>
      <c r="M2" s="666"/>
      <c r="N2" s="182"/>
      <c r="O2" s="182"/>
      <c r="P2" s="182"/>
    </row>
    <row r="3" spans="1:19">
      <c r="A3" s="182"/>
      <c r="B3" s="182"/>
      <c r="C3" s="182"/>
      <c r="D3" s="182"/>
      <c r="E3" s="182"/>
      <c r="F3" s="182"/>
      <c r="G3" s="182"/>
      <c r="H3" s="182"/>
      <c r="I3" s="182"/>
      <c r="J3" s="182"/>
      <c r="K3" s="182"/>
      <c r="L3" s="182"/>
      <c r="M3" s="182"/>
      <c r="N3" s="182"/>
      <c r="O3" s="182"/>
      <c r="P3" s="182"/>
    </row>
    <row r="4" spans="1:19">
      <c r="B4" s="213"/>
      <c r="C4" s="213"/>
      <c r="D4" s="213"/>
      <c r="E4" s="213"/>
      <c r="F4" s="213"/>
      <c r="G4" s="213"/>
      <c r="H4" s="213"/>
      <c r="I4" s="213"/>
      <c r="L4" s="612"/>
      <c r="M4" s="612"/>
      <c r="N4" s="612"/>
      <c r="O4" s="182"/>
      <c r="P4" s="182"/>
    </row>
    <row r="5" spans="1:19">
      <c r="A5" s="214"/>
      <c r="B5" s="215"/>
      <c r="C5" s="215"/>
      <c r="D5" s="215"/>
      <c r="E5" s="215"/>
      <c r="F5" s="215"/>
      <c r="G5" s="215"/>
      <c r="H5" s="492"/>
      <c r="I5" s="492"/>
      <c r="L5" s="612"/>
      <c r="M5" s="612"/>
      <c r="N5" s="612"/>
      <c r="O5" s="182"/>
      <c r="P5" s="182"/>
    </row>
    <row r="6" spans="1:19">
      <c r="A6" s="216"/>
      <c r="B6" s="614" t="s">
        <v>458</v>
      </c>
      <c r="C6" s="614" t="s">
        <v>459</v>
      </c>
      <c r="D6" s="614" t="s">
        <v>637</v>
      </c>
      <c r="E6" s="614" t="s">
        <v>638</v>
      </c>
      <c r="F6" s="614" t="s">
        <v>773</v>
      </c>
      <c r="G6" s="615" t="s">
        <v>774</v>
      </c>
      <c r="H6" s="621"/>
      <c r="I6" s="621"/>
      <c r="L6" s="612"/>
      <c r="M6" s="612"/>
      <c r="N6" s="612"/>
      <c r="O6" s="182"/>
      <c r="P6" s="182"/>
    </row>
    <row r="7" spans="1:19">
      <c r="A7" s="217"/>
      <c r="B7" s="621"/>
      <c r="C7" s="621" t="s">
        <v>455</v>
      </c>
      <c r="D7" s="621"/>
      <c r="E7" s="621"/>
      <c r="F7" s="177"/>
      <c r="G7" s="218"/>
      <c r="H7" s="177"/>
      <c r="I7" s="177"/>
      <c r="O7" s="182"/>
      <c r="P7" s="182"/>
    </row>
    <row r="8" spans="1:19">
      <c r="A8" s="217"/>
      <c r="B8" s="621" t="s">
        <v>455</v>
      </c>
      <c r="C8" s="621" t="s">
        <v>456</v>
      </c>
      <c r="D8" s="621" t="s">
        <v>777</v>
      </c>
      <c r="E8" s="621"/>
      <c r="F8" s="621"/>
      <c r="G8" s="218"/>
      <c r="H8" s="621"/>
      <c r="I8" s="621"/>
      <c r="L8" s="612"/>
      <c r="M8" s="612"/>
      <c r="N8" s="612"/>
      <c r="O8" s="182"/>
      <c r="P8" s="182"/>
    </row>
    <row r="9" spans="1:19">
      <c r="A9" s="217"/>
      <c r="B9" s="219" t="s">
        <v>791</v>
      </c>
      <c r="C9" s="219" t="s">
        <v>457</v>
      </c>
      <c r="D9" s="219" t="s">
        <v>531</v>
      </c>
      <c r="E9" s="219" t="s">
        <v>442</v>
      </c>
      <c r="F9" s="219" t="s">
        <v>335</v>
      </c>
      <c r="G9" s="220" t="s">
        <v>442</v>
      </c>
      <c r="H9" s="177"/>
      <c r="I9" s="219"/>
      <c r="J9" s="221"/>
      <c r="K9" s="221"/>
      <c r="L9" s="221"/>
      <c r="M9" s="221"/>
      <c r="N9" s="221"/>
      <c r="O9" s="182"/>
      <c r="P9" s="182"/>
    </row>
    <row r="10" spans="1:19" s="227" customFormat="1">
      <c r="A10" s="222"/>
      <c r="B10" s="223" t="s">
        <v>775</v>
      </c>
      <c r="C10" s="223" t="s">
        <v>776</v>
      </c>
      <c r="D10" s="223" t="s">
        <v>7</v>
      </c>
      <c r="E10" s="223" t="s">
        <v>1178</v>
      </c>
      <c r="F10" s="224"/>
      <c r="G10" s="225"/>
      <c r="H10" s="598"/>
      <c r="I10" s="223"/>
      <c r="J10" s="226"/>
      <c r="K10" s="226"/>
      <c r="L10" s="226"/>
      <c r="M10" s="226"/>
      <c r="N10" s="531"/>
      <c r="O10" s="531"/>
      <c r="P10" s="531"/>
      <c r="Q10" s="531"/>
      <c r="R10" s="531"/>
      <c r="S10" s="531"/>
    </row>
    <row r="11" spans="1:19">
      <c r="A11" s="217" t="s">
        <v>443</v>
      </c>
      <c r="B11" s="228">
        <f>E11-C11-D11</f>
        <v>2502</v>
      </c>
      <c r="C11" s="228">
        <f>'Schedule 5 Workpaper '!C10</f>
        <v>261</v>
      </c>
      <c r="D11" s="228">
        <f t="shared" ref="D11:D22" si="0">L53</f>
        <v>973</v>
      </c>
      <c r="E11" s="228">
        <f>'Schedule 5 Workpaper '!F10</f>
        <v>3736</v>
      </c>
      <c r="F11" s="621">
        <v>330</v>
      </c>
      <c r="G11" s="229">
        <f t="shared" ref="G11:G22" si="1">SUM(E11:F11)</f>
        <v>4066</v>
      </c>
      <c r="H11" s="177"/>
      <c r="I11" s="228"/>
      <c r="J11" s="231"/>
      <c r="K11" s="231"/>
      <c r="L11" s="230"/>
      <c r="M11" s="612"/>
      <c r="N11" s="612"/>
      <c r="O11" s="182"/>
      <c r="P11" s="182"/>
    </row>
    <row r="12" spans="1:19">
      <c r="A12" s="217" t="s">
        <v>444</v>
      </c>
      <c r="B12" s="228">
        <f t="shared" ref="B12:B22" si="2">E12-C12-D12</f>
        <v>2096</v>
      </c>
      <c r="C12" s="228">
        <f>'Schedule 5 Workpaper '!C11</f>
        <v>219</v>
      </c>
      <c r="D12" s="228">
        <f t="shared" si="0"/>
        <v>973</v>
      </c>
      <c r="E12" s="228">
        <f>'Schedule 5 Workpaper '!F11</f>
        <v>3288</v>
      </c>
      <c r="F12" s="621">
        <v>330</v>
      </c>
      <c r="G12" s="229">
        <f t="shared" si="1"/>
        <v>3618</v>
      </c>
      <c r="H12" s="177"/>
      <c r="I12" s="228"/>
      <c r="J12" s="231"/>
      <c r="K12" s="231"/>
      <c r="L12" s="230"/>
      <c r="M12" s="612"/>
      <c r="N12" s="612"/>
      <c r="O12" s="182"/>
      <c r="P12" s="182"/>
    </row>
    <row r="13" spans="1:19">
      <c r="A13" s="217" t="s">
        <v>445</v>
      </c>
      <c r="B13" s="228">
        <f t="shared" si="2"/>
        <v>1732</v>
      </c>
      <c r="C13" s="228">
        <f>'Schedule 5 Workpaper '!C12</f>
        <v>185</v>
      </c>
      <c r="D13" s="228">
        <f t="shared" si="0"/>
        <v>973</v>
      </c>
      <c r="E13" s="228">
        <f>'Schedule 5 Workpaper '!F12</f>
        <v>2890</v>
      </c>
      <c r="F13" s="621">
        <v>330</v>
      </c>
      <c r="G13" s="229">
        <f t="shared" si="1"/>
        <v>3220</v>
      </c>
      <c r="H13" s="177"/>
      <c r="I13" s="228"/>
      <c r="J13" s="231"/>
      <c r="K13" s="231"/>
      <c r="L13" s="231"/>
      <c r="M13" s="612"/>
      <c r="N13" s="612"/>
      <c r="O13" s="182"/>
      <c r="P13" s="182"/>
    </row>
    <row r="14" spans="1:19">
      <c r="A14" s="217" t="s">
        <v>446</v>
      </c>
      <c r="B14" s="228">
        <f t="shared" si="2"/>
        <v>1662</v>
      </c>
      <c r="C14" s="228">
        <f>'Schedule 5 Workpaper '!C13</f>
        <v>178</v>
      </c>
      <c r="D14" s="228">
        <f t="shared" si="0"/>
        <v>973</v>
      </c>
      <c r="E14" s="228">
        <f>'Schedule 5 Workpaper '!F13</f>
        <v>2813</v>
      </c>
      <c r="F14" s="621">
        <v>330</v>
      </c>
      <c r="G14" s="229">
        <f t="shared" si="1"/>
        <v>3143</v>
      </c>
      <c r="H14" s="177"/>
      <c r="I14" s="228"/>
      <c r="J14" s="231"/>
      <c r="K14" s="231"/>
      <c r="L14" s="231"/>
      <c r="M14" s="612"/>
      <c r="N14" s="612"/>
      <c r="O14" s="182"/>
      <c r="P14" s="182"/>
    </row>
    <row r="15" spans="1:19">
      <c r="A15" s="217" t="s">
        <v>447</v>
      </c>
      <c r="B15" s="228">
        <f t="shared" si="2"/>
        <v>2580</v>
      </c>
      <c r="C15" s="228">
        <f>'Schedule 5 Workpaper '!C14</f>
        <v>287</v>
      </c>
      <c r="D15" s="228">
        <f t="shared" si="0"/>
        <v>973</v>
      </c>
      <c r="E15" s="228">
        <f>'Schedule 5 Workpaper '!F14</f>
        <v>3840</v>
      </c>
      <c r="F15" s="621">
        <v>330</v>
      </c>
      <c r="G15" s="229">
        <f t="shared" si="1"/>
        <v>4170</v>
      </c>
      <c r="H15" s="177"/>
      <c r="I15" s="228"/>
      <c r="J15" s="231"/>
      <c r="K15" s="231"/>
      <c r="L15" s="231"/>
      <c r="M15" s="612"/>
      <c r="N15" s="612"/>
      <c r="O15" s="182"/>
      <c r="P15" s="182"/>
    </row>
    <row r="16" spans="1:19">
      <c r="A16" s="217" t="s">
        <v>448</v>
      </c>
      <c r="B16" s="228">
        <f t="shared" si="2"/>
        <v>3138</v>
      </c>
      <c r="C16" s="228">
        <f>'Schedule 5 Workpaper '!C15</f>
        <v>357</v>
      </c>
      <c r="D16" s="228">
        <f t="shared" si="0"/>
        <v>973</v>
      </c>
      <c r="E16" s="228">
        <f>'Schedule 5 Workpaper '!F15</f>
        <v>4468</v>
      </c>
      <c r="F16" s="621">
        <v>330</v>
      </c>
      <c r="G16" s="229">
        <f t="shared" si="1"/>
        <v>4798</v>
      </c>
      <c r="H16" s="177"/>
      <c r="I16" s="228"/>
      <c r="J16" s="231"/>
      <c r="K16" s="231"/>
      <c r="L16" s="231"/>
      <c r="M16" s="612"/>
      <c r="N16" s="612"/>
      <c r="O16" s="182"/>
      <c r="P16" s="182"/>
    </row>
    <row r="17" spans="1:16">
      <c r="A17" s="217" t="s">
        <v>449</v>
      </c>
      <c r="B17" s="228">
        <f t="shared" si="2"/>
        <v>3388</v>
      </c>
      <c r="C17" s="228">
        <f>'Schedule 5 Workpaper '!C16</f>
        <v>352</v>
      </c>
      <c r="D17" s="228">
        <f t="shared" si="0"/>
        <v>973</v>
      </c>
      <c r="E17" s="228">
        <f>'Schedule 5 Workpaper '!F16</f>
        <v>4713</v>
      </c>
      <c r="F17" s="621">
        <v>330</v>
      </c>
      <c r="G17" s="229">
        <f t="shared" si="1"/>
        <v>5043</v>
      </c>
      <c r="H17" s="177"/>
      <c r="I17" s="228"/>
      <c r="J17" s="231"/>
      <c r="K17" s="231"/>
      <c r="L17" s="231"/>
      <c r="M17" s="612"/>
      <c r="N17" s="612"/>
      <c r="O17" s="182"/>
      <c r="P17" s="182"/>
    </row>
    <row r="18" spans="1:16">
      <c r="A18" s="217" t="s">
        <v>450</v>
      </c>
      <c r="B18" s="228">
        <f t="shared" si="2"/>
        <v>3152</v>
      </c>
      <c r="C18" s="228">
        <f>'Schedule 5 Workpaper '!C17</f>
        <v>339</v>
      </c>
      <c r="D18" s="228">
        <f t="shared" si="0"/>
        <v>973</v>
      </c>
      <c r="E18" s="228">
        <f>'Schedule 5 Workpaper '!F17</f>
        <v>4464</v>
      </c>
      <c r="F18" s="621">
        <v>330</v>
      </c>
      <c r="G18" s="229">
        <f t="shared" si="1"/>
        <v>4794</v>
      </c>
      <c r="H18" s="177"/>
      <c r="I18" s="228"/>
      <c r="J18" s="231"/>
      <c r="K18" s="231"/>
      <c r="L18" s="231"/>
      <c r="M18" s="612"/>
      <c r="N18" s="612"/>
      <c r="O18" s="182"/>
      <c r="P18" s="182"/>
    </row>
    <row r="19" spans="1:16">
      <c r="A19" s="217" t="s">
        <v>451</v>
      </c>
      <c r="B19" s="228">
        <f t="shared" si="2"/>
        <v>2662</v>
      </c>
      <c r="C19" s="228">
        <f>'Schedule 5 Workpaper '!C18</f>
        <v>283</v>
      </c>
      <c r="D19" s="228">
        <f t="shared" si="0"/>
        <v>973</v>
      </c>
      <c r="E19" s="228">
        <f>'Schedule 5 Workpaper '!F18</f>
        <v>3918</v>
      </c>
      <c r="F19" s="621">
        <v>330</v>
      </c>
      <c r="G19" s="229">
        <f t="shared" si="1"/>
        <v>4248</v>
      </c>
      <c r="H19" s="177"/>
      <c r="I19" s="228"/>
      <c r="J19" s="231"/>
      <c r="K19" s="231"/>
      <c r="L19" s="231"/>
      <c r="M19" s="612"/>
      <c r="N19" s="612"/>
      <c r="O19" s="182"/>
      <c r="P19" s="182"/>
    </row>
    <row r="20" spans="1:16">
      <c r="A20" s="217" t="s">
        <v>452</v>
      </c>
      <c r="B20" s="228">
        <f t="shared" si="2"/>
        <v>1728</v>
      </c>
      <c r="C20" s="228">
        <f>'Schedule 5 Workpaper '!C19</f>
        <v>185</v>
      </c>
      <c r="D20" s="228">
        <f t="shared" si="0"/>
        <v>973</v>
      </c>
      <c r="E20" s="228">
        <f>'Schedule 5 Workpaper '!F19</f>
        <v>2886</v>
      </c>
      <c r="F20" s="621">
        <v>330</v>
      </c>
      <c r="G20" s="229">
        <f t="shared" si="1"/>
        <v>3216</v>
      </c>
      <c r="H20" s="177"/>
      <c r="I20" s="228"/>
      <c r="J20" s="231"/>
      <c r="K20" s="231"/>
      <c r="L20" s="231"/>
      <c r="M20" s="612"/>
      <c r="N20" s="612"/>
      <c r="O20" s="612"/>
      <c r="P20" s="612"/>
    </row>
    <row r="21" spans="1:16">
      <c r="A21" s="217" t="s">
        <v>453</v>
      </c>
      <c r="B21" s="228">
        <f t="shared" si="2"/>
        <v>1839</v>
      </c>
      <c r="C21" s="228">
        <f>'Schedule 5 Workpaper '!C20</f>
        <v>199</v>
      </c>
      <c r="D21" s="228">
        <f t="shared" si="0"/>
        <v>973</v>
      </c>
      <c r="E21" s="228">
        <f>'Schedule 5 Workpaper '!F20</f>
        <v>3011</v>
      </c>
      <c r="F21" s="621">
        <v>330</v>
      </c>
      <c r="G21" s="229">
        <f t="shared" si="1"/>
        <v>3341</v>
      </c>
      <c r="H21" s="177"/>
      <c r="I21" s="228"/>
      <c r="J21" s="231"/>
      <c r="K21" s="231"/>
      <c r="L21" s="231"/>
      <c r="M21" s="612"/>
      <c r="N21" s="612"/>
      <c r="O21" s="612"/>
      <c r="P21" s="612"/>
    </row>
    <row r="22" spans="1:16">
      <c r="A22" s="217" t="s">
        <v>454</v>
      </c>
      <c r="B22" s="228">
        <f t="shared" si="2"/>
        <v>2097</v>
      </c>
      <c r="C22" s="228">
        <f>'Schedule 5 Workpaper '!C21</f>
        <v>218</v>
      </c>
      <c r="D22" s="228">
        <f t="shared" si="0"/>
        <v>973</v>
      </c>
      <c r="E22" s="228">
        <f>'Schedule 5 Workpaper '!F21</f>
        <v>3288</v>
      </c>
      <c r="F22" s="621">
        <v>330</v>
      </c>
      <c r="G22" s="229">
        <f t="shared" si="1"/>
        <v>3618</v>
      </c>
      <c r="H22" s="177"/>
      <c r="I22" s="228"/>
      <c r="J22" s="231"/>
      <c r="K22" s="231"/>
      <c r="L22" s="231"/>
      <c r="M22" s="612"/>
      <c r="N22" s="612"/>
      <c r="O22" s="612"/>
      <c r="P22" s="612"/>
    </row>
    <row r="23" spans="1:16">
      <c r="A23" s="217"/>
      <c r="B23" s="621"/>
      <c r="C23" s="621"/>
      <c r="D23" s="621"/>
      <c r="E23" s="621"/>
      <c r="F23" s="177"/>
      <c r="G23" s="229"/>
      <c r="H23" s="177"/>
      <c r="I23" s="228"/>
      <c r="L23" s="231"/>
      <c r="M23" s="612"/>
      <c r="N23" s="612"/>
      <c r="O23" s="612"/>
      <c r="P23" s="612"/>
    </row>
    <row r="24" spans="1:16">
      <c r="A24" s="217" t="s">
        <v>520</v>
      </c>
      <c r="B24" s="228">
        <f>ROUND(SUM(B11:B22)/12,0)</f>
        <v>2381</v>
      </c>
      <c r="C24" s="228">
        <f>F44</f>
        <v>255</v>
      </c>
      <c r="D24" s="228">
        <f>L66</f>
        <v>973</v>
      </c>
      <c r="E24" s="228">
        <f>AVERAGE(E11:E22)</f>
        <v>3609.5833333333335</v>
      </c>
      <c r="F24" s="228">
        <f>AVERAGE(F11:F22)</f>
        <v>330</v>
      </c>
      <c r="G24" s="232">
        <f>SUM(E24:F24)</f>
        <v>3939.5833333333335</v>
      </c>
      <c r="H24" s="177"/>
      <c r="I24" s="228"/>
      <c r="J24" s="228"/>
      <c r="K24" s="228"/>
      <c r="L24" s="231"/>
      <c r="M24" s="612"/>
      <c r="N24" s="612"/>
      <c r="O24" s="612"/>
      <c r="P24" s="612"/>
    </row>
    <row r="25" spans="1:16">
      <c r="A25" s="217"/>
      <c r="B25" s="621"/>
      <c r="C25" s="621"/>
      <c r="D25" s="621"/>
      <c r="E25" s="621"/>
      <c r="F25" s="233"/>
      <c r="G25" s="218"/>
      <c r="H25" s="621"/>
      <c r="I25" s="621"/>
      <c r="L25" s="231"/>
      <c r="M25" s="612"/>
      <c r="N25" s="612"/>
      <c r="O25" s="612"/>
      <c r="P25" s="612"/>
    </row>
    <row r="26" spans="1:16">
      <c r="A26" s="596" t="s">
        <v>32</v>
      </c>
      <c r="B26" s="597"/>
      <c r="C26" s="234"/>
      <c r="D26" s="234"/>
      <c r="E26" s="234"/>
      <c r="F26" s="234"/>
      <c r="G26" s="367"/>
      <c r="H26" s="621"/>
      <c r="I26" s="621"/>
      <c r="L26" s="231"/>
      <c r="M26" s="612"/>
      <c r="N26" s="612"/>
      <c r="O26" s="612"/>
      <c r="P26" s="612"/>
    </row>
    <row r="27" spans="1:16">
      <c r="B27" s="182"/>
      <c r="C27" s="182"/>
      <c r="D27" s="182"/>
      <c r="E27" s="182"/>
      <c r="F27" s="182"/>
      <c r="G27" s="182"/>
      <c r="H27" s="182"/>
      <c r="I27" s="182"/>
      <c r="L27" s="231"/>
      <c r="M27" s="612"/>
      <c r="N27" s="612"/>
      <c r="O27" s="613"/>
      <c r="P27" s="613"/>
    </row>
    <row r="28" spans="1:16">
      <c r="A28" s="216"/>
      <c r="B28" s="668" t="s">
        <v>330</v>
      </c>
      <c r="C28" s="668"/>
      <c r="D28" s="668"/>
      <c r="E28" s="668"/>
      <c r="F28" s="668"/>
      <c r="G28" s="368"/>
    </row>
    <row r="29" spans="1:16" s="221" customFormat="1">
      <c r="A29" s="235"/>
      <c r="B29" s="219" t="s">
        <v>532</v>
      </c>
      <c r="C29" s="219" t="s">
        <v>533</v>
      </c>
      <c r="D29" s="219" t="s">
        <v>535</v>
      </c>
      <c r="E29" s="219" t="s">
        <v>536</v>
      </c>
      <c r="F29" s="220" t="s">
        <v>537</v>
      </c>
    </row>
    <row r="30" spans="1:16" s="221" customFormat="1">
      <c r="A30" s="235"/>
      <c r="B30" s="219"/>
      <c r="C30" s="219"/>
      <c r="D30" s="219"/>
      <c r="E30" s="219"/>
      <c r="F30" s="622" t="s">
        <v>525</v>
      </c>
    </row>
    <row r="31" spans="1:16">
      <c r="A31" s="217" t="s">
        <v>443</v>
      </c>
      <c r="B31" s="648">
        <v>0.47131000000000001</v>
      </c>
      <c r="C31" s="649">
        <v>0</v>
      </c>
      <c r="D31" s="649">
        <v>188</v>
      </c>
      <c r="E31" s="649">
        <v>73</v>
      </c>
      <c r="F31" s="229">
        <f t="shared" ref="F31:F42" si="3">SUM(B31:E31)</f>
        <v>261.47131000000002</v>
      </c>
      <c r="G31" s="612"/>
      <c r="H31" s="612"/>
      <c r="I31" s="612"/>
      <c r="L31" s="612"/>
      <c r="M31" s="612"/>
      <c r="N31" s="612"/>
      <c r="O31" s="612"/>
    </row>
    <row r="32" spans="1:16">
      <c r="A32" s="217" t="s">
        <v>444</v>
      </c>
      <c r="B32" s="648">
        <v>0.33012000000000002</v>
      </c>
      <c r="C32" s="649">
        <v>0</v>
      </c>
      <c r="D32" s="649">
        <v>162</v>
      </c>
      <c r="E32" s="649">
        <v>57</v>
      </c>
      <c r="F32" s="229">
        <f t="shared" si="3"/>
        <v>219.33011999999999</v>
      </c>
      <c r="G32" s="612"/>
      <c r="H32" s="612"/>
      <c r="I32" s="612"/>
      <c r="L32" s="612"/>
      <c r="M32" s="612"/>
      <c r="N32" s="612"/>
      <c r="O32" s="612"/>
    </row>
    <row r="33" spans="1:16">
      <c r="A33" s="217" t="s">
        <v>445</v>
      </c>
      <c r="B33" s="648">
        <v>0.26130999999999999</v>
      </c>
      <c r="C33" s="649">
        <v>0</v>
      </c>
      <c r="D33" s="649">
        <v>135</v>
      </c>
      <c r="E33" s="649">
        <v>50</v>
      </c>
      <c r="F33" s="229">
        <f t="shared" si="3"/>
        <v>185.26131000000001</v>
      </c>
      <c r="G33" s="612"/>
      <c r="H33" s="612"/>
      <c r="I33" s="612"/>
      <c r="L33" s="612"/>
      <c r="M33" s="612"/>
      <c r="N33" s="612"/>
      <c r="O33" s="612"/>
    </row>
    <row r="34" spans="1:16">
      <c r="A34" s="217" t="s">
        <v>446</v>
      </c>
      <c r="B34" s="648">
        <v>0.24556</v>
      </c>
      <c r="C34" s="649">
        <v>7</v>
      </c>
      <c r="D34" s="649">
        <v>125</v>
      </c>
      <c r="E34" s="649">
        <v>46</v>
      </c>
      <c r="F34" s="229">
        <f t="shared" si="3"/>
        <v>178.24556000000001</v>
      </c>
      <c r="G34" s="612"/>
      <c r="H34" s="612"/>
      <c r="I34" s="612"/>
      <c r="L34" s="612"/>
      <c r="M34" s="612"/>
      <c r="N34" s="612"/>
      <c r="O34" s="612"/>
    </row>
    <row r="35" spans="1:16">
      <c r="A35" s="217" t="s">
        <v>447</v>
      </c>
      <c r="B35" s="648">
        <v>0.21553</v>
      </c>
      <c r="C35" s="649">
        <v>51</v>
      </c>
      <c r="D35" s="649">
        <v>195</v>
      </c>
      <c r="E35" s="649">
        <v>41</v>
      </c>
      <c r="F35" s="229">
        <f t="shared" si="3"/>
        <v>287.21553</v>
      </c>
      <c r="G35" s="612"/>
      <c r="H35" s="612"/>
      <c r="I35" s="612"/>
      <c r="L35" s="612"/>
      <c r="M35" s="612"/>
      <c r="N35" s="612"/>
      <c r="O35" s="612"/>
    </row>
    <row r="36" spans="1:16">
      <c r="A36" s="217" t="s">
        <v>448</v>
      </c>
      <c r="B36" s="648">
        <v>0.27412000000000003</v>
      </c>
      <c r="C36" s="649">
        <v>69</v>
      </c>
      <c r="D36" s="649">
        <v>240</v>
      </c>
      <c r="E36" s="649">
        <v>48</v>
      </c>
      <c r="F36" s="229">
        <f t="shared" si="3"/>
        <v>357.27411999999998</v>
      </c>
      <c r="G36" s="612"/>
      <c r="H36" s="612"/>
      <c r="I36" s="612"/>
      <c r="L36" s="612"/>
      <c r="M36" s="612"/>
      <c r="N36" s="612"/>
      <c r="O36" s="612"/>
    </row>
    <row r="37" spans="1:16">
      <c r="A37" s="217" t="s">
        <v>449</v>
      </c>
      <c r="B37" s="648">
        <v>0.35217000000000004</v>
      </c>
      <c r="C37" s="649">
        <v>56</v>
      </c>
      <c r="D37" s="649">
        <v>240</v>
      </c>
      <c r="E37" s="649">
        <v>56</v>
      </c>
      <c r="F37" s="229">
        <f t="shared" si="3"/>
        <v>352.35217</v>
      </c>
      <c r="G37" s="612"/>
      <c r="H37" s="612"/>
      <c r="I37" s="612"/>
      <c r="L37" s="612"/>
      <c r="M37" s="612"/>
      <c r="N37" s="612"/>
      <c r="O37" s="612"/>
    </row>
    <row r="38" spans="1:16">
      <c r="A38" s="217" t="s">
        <v>450</v>
      </c>
      <c r="B38" s="648">
        <v>0.32977000000000001</v>
      </c>
      <c r="C38" s="649">
        <v>55</v>
      </c>
      <c r="D38" s="649">
        <v>229</v>
      </c>
      <c r="E38" s="649">
        <v>55</v>
      </c>
      <c r="F38" s="229">
        <f t="shared" si="3"/>
        <v>339.32977</v>
      </c>
      <c r="G38" s="612"/>
      <c r="H38" s="612"/>
      <c r="I38" s="612"/>
      <c r="L38" s="612"/>
      <c r="M38" s="612"/>
      <c r="N38" s="612"/>
      <c r="O38" s="612"/>
    </row>
    <row r="39" spans="1:16">
      <c r="A39" s="217" t="s">
        <v>451</v>
      </c>
      <c r="B39" s="648">
        <v>0.32011000000000001</v>
      </c>
      <c r="C39" s="649">
        <v>43</v>
      </c>
      <c r="D39" s="649">
        <v>189</v>
      </c>
      <c r="E39" s="649">
        <v>51</v>
      </c>
      <c r="F39" s="229">
        <f t="shared" si="3"/>
        <v>283.32011</v>
      </c>
      <c r="G39" s="612"/>
      <c r="H39" s="612"/>
      <c r="I39" s="612"/>
      <c r="L39" s="612"/>
      <c r="M39" s="612"/>
      <c r="N39" s="612"/>
      <c r="O39" s="612"/>
    </row>
    <row r="40" spans="1:16">
      <c r="A40" s="217" t="s">
        <v>452</v>
      </c>
      <c r="B40" s="648">
        <v>0.20502999999999999</v>
      </c>
      <c r="C40" s="649">
        <v>13</v>
      </c>
      <c r="D40" s="649">
        <v>126</v>
      </c>
      <c r="E40" s="649">
        <v>46</v>
      </c>
      <c r="F40" s="229">
        <f t="shared" si="3"/>
        <v>185.20502999999999</v>
      </c>
      <c r="G40" s="612"/>
      <c r="H40" s="612"/>
      <c r="I40" s="612"/>
      <c r="L40" s="612"/>
      <c r="M40" s="612"/>
      <c r="N40" s="612"/>
      <c r="O40" s="612"/>
    </row>
    <row r="41" spans="1:16">
      <c r="A41" s="217" t="s">
        <v>453</v>
      </c>
      <c r="B41" s="648">
        <v>0.28091000000000005</v>
      </c>
      <c r="C41" s="649">
        <v>0</v>
      </c>
      <c r="D41" s="649">
        <v>150</v>
      </c>
      <c r="E41" s="649">
        <v>49</v>
      </c>
      <c r="F41" s="229">
        <f t="shared" si="3"/>
        <v>199.28091000000001</v>
      </c>
      <c r="G41" s="612"/>
      <c r="H41" s="612"/>
      <c r="I41" s="612"/>
      <c r="L41" s="612"/>
      <c r="M41" s="612"/>
      <c r="N41" s="612"/>
      <c r="O41" s="612"/>
    </row>
    <row r="42" spans="1:16">
      <c r="A42" s="217" t="s">
        <v>454</v>
      </c>
      <c r="B42" s="648">
        <v>0.10445</v>
      </c>
      <c r="C42" s="649">
        <v>0</v>
      </c>
      <c r="D42" s="649">
        <v>160</v>
      </c>
      <c r="E42" s="649">
        <v>58</v>
      </c>
      <c r="F42" s="229">
        <f t="shared" si="3"/>
        <v>218.10445000000001</v>
      </c>
      <c r="G42" s="612"/>
      <c r="H42" s="612"/>
      <c r="I42" s="612"/>
      <c r="L42" s="612"/>
      <c r="M42" s="612"/>
      <c r="N42" s="612"/>
      <c r="O42" s="612"/>
    </row>
    <row r="43" spans="1:16">
      <c r="A43" s="217"/>
      <c r="B43" s="621"/>
      <c r="C43" s="621"/>
      <c r="D43" s="177"/>
      <c r="E43" s="177"/>
      <c r="F43" s="622"/>
      <c r="G43" s="612"/>
      <c r="H43" s="612"/>
      <c r="I43" s="612"/>
      <c r="J43" s="152"/>
      <c r="K43" s="152"/>
    </row>
    <row r="44" spans="1:16">
      <c r="A44" s="236" t="s">
        <v>520</v>
      </c>
      <c r="B44" s="237">
        <f>SUM(B31:B42)/12</f>
        <v>0.28253250000000002</v>
      </c>
      <c r="C44" s="237">
        <f>SUM(C31:C42)/12</f>
        <v>24.5</v>
      </c>
      <c r="D44" s="237">
        <f>SUM(D31:D42)/12</f>
        <v>178.25</v>
      </c>
      <c r="E44" s="237">
        <f>SUM(E31:E42)/12</f>
        <v>52.5</v>
      </c>
      <c r="F44" s="238">
        <f>TRUNC(SUM(F31:F42)/12,0)</f>
        <v>255</v>
      </c>
      <c r="G44" s="612"/>
      <c r="H44" s="612"/>
      <c r="I44" s="612"/>
      <c r="L44" s="612"/>
      <c r="M44" s="612"/>
      <c r="N44" s="612"/>
      <c r="O44" s="612"/>
    </row>
    <row r="45" spans="1:16">
      <c r="F45" s="612"/>
      <c r="G45" s="612"/>
      <c r="H45" s="612"/>
      <c r="I45" s="612"/>
      <c r="L45" s="612"/>
      <c r="M45" s="612"/>
      <c r="N45" s="612"/>
      <c r="O45" s="612"/>
      <c r="P45" s="612"/>
    </row>
    <row r="47" spans="1:16">
      <c r="A47" s="669" t="s">
        <v>538</v>
      </c>
      <c r="B47" s="670"/>
      <c r="C47" s="670"/>
      <c r="D47" s="670"/>
      <c r="E47" s="670"/>
      <c r="F47" s="670"/>
      <c r="G47" s="670"/>
      <c r="H47" s="670"/>
      <c r="I47" s="670"/>
      <c r="J47" s="670"/>
      <c r="K47" s="670"/>
      <c r="L47" s="671"/>
      <c r="N47" s="239"/>
    </row>
    <row r="48" spans="1:16">
      <c r="A48" s="240"/>
      <c r="B48" s="241" t="s">
        <v>539</v>
      </c>
      <c r="C48" s="241" t="s">
        <v>974</v>
      </c>
      <c r="D48" s="241" t="s">
        <v>827</v>
      </c>
      <c r="E48" s="241" t="s">
        <v>828</v>
      </c>
      <c r="F48" s="241" t="s">
        <v>828</v>
      </c>
      <c r="G48" s="241" t="s">
        <v>828</v>
      </c>
      <c r="H48" s="241" t="s">
        <v>828</v>
      </c>
      <c r="I48" s="241" t="s">
        <v>828</v>
      </c>
      <c r="J48" s="241" t="s">
        <v>1109</v>
      </c>
      <c r="K48" s="241" t="s">
        <v>1109</v>
      </c>
      <c r="L48" s="220" t="s">
        <v>442</v>
      </c>
    </row>
    <row r="49" spans="1:12" ht="66" customHeight="1">
      <c r="A49" s="242" t="s">
        <v>540</v>
      </c>
      <c r="B49" s="223">
        <v>81676557</v>
      </c>
      <c r="C49" s="223" t="s">
        <v>975</v>
      </c>
      <c r="D49" s="223">
        <v>77065697</v>
      </c>
      <c r="E49" s="223" t="s">
        <v>1069</v>
      </c>
      <c r="F49" s="223" t="s">
        <v>1070</v>
      </c>
      <c r="G49" s="223">
        <v>80381517</v>
      </c>
      <c r="H49" s="223" t="s">
        <v>1068</v>
      </c>
      <c r="I49" s="223">
        <v>81071591</v>
      </c>
      <c r="J49" s="223" t="s">
        <v>1110</v>
      </c>
      <c r="K49" s="223" t="s">
        <v>1111</v>
      </c>
      <c r="L49" s="218"/>
    </row>
    <row r="50" spans="1:12" ht="52.5" customHeight="1">
      <c r="A50" s="242" t="s">
        <v>1107</v>
      </c>
      <c r="B50" s="223" t="s">
        <v>1108</v>
      </c>
      <c r="C50" s="223" t="s">
        <v>1011</v>
      </c>
      <c r="D50" s="223" t="s">
        <v>1066</v>
      </c>
      <c r="E50" s="493" t="s">
        <v>1071</v>
      </c>
      <c r="F50" s="493" t="s">
        <v>1071</v>
      </c>
      <c r="G50" s="493" t="s">
        <v>1067</v>
      </c>
      <c r="H50" s="493" t="s">
        <v>1067</v>
      </c>
      <c r="I50" s="493" t="s">
        <v>1067</v>
      </c>
      <c r="J50" s="493" t="s">
        <v>1112</v>
      </c>
      <c r="K50" s="493" t="s">
        <v>1112</v>
      </c>
      <c r="L50" s="218"/>
    </row>
    <row r="51" spans="1:12">
      <c r="A51" s="242" t="s">
        <v>328</v>
      </c>
      <c r="B51" s="223" t="s">
        <v>885</v>
      </c>
      <c r="C51" s="223" t="s">
        <v>329</v>
      </c>
      <c r="D51" s="223" t="s">
        <v>829</v>
      </c>
      <c r="E51" s="223" t="s">
        <v>1072</v>
      </c>
      <c r="F51" s="493" t="s">
        <v>1045</v>
      </c>
      <c r="G51" s="493" t="s">
        <v>1045</v>
      </c>
      <c r="H51" s="493" t="s">
        <v>1073</v>
      </c>
      <c r="I51" s="493" t="s">
        <v>1045</v>
      </c>
      <c r="J51" s="493" t="s">
        <v>1113</v>
      </c>
      <c r="K51" s="493" t="s">
        <v>1114</v>
      </c>
      <c r="L51" s="218"/>
    </row>
    <row r="52" spans="1:12">
      <c r="A52" s="222"/>
      <c r="B52" s="243"/>
      <c r="C52" s="223"/>
      <c r="D52" s="223"/>
      <c r="E52" s="223"/>
      <c r="F52" s="223"/>
      <c r="G52" s="621"/>
      <c r="H52" s="177"/>
      <c r="I52" s="177"/>
      <c r="J52" s="177"/>
      <c r="K52" s="177"/>
      <c r="L52" s="218"/>
    </row>
    <row r="53" spans="1:12">
      <c r="A53" s="217" t="s">
        <v>443</v>
      </c>
      <c r="B53" s="621">
        <v>75</v>
      </c>
      <c r="C53" s="621">
        <v>87</v>
      </c>
      <c r="D53" s="621">
        <v>101</v>
      </c>
      <c r="E53" s="621">
        <v>124</v>
      </c>
      <c r="F53" s="621">
        <v>76</v>
      </c>
      <c r="G53" s="621">
        <v>60</v>
      </c>
      <c r="H53" s="621">
        <v>241</v>
      </c>
      <c r="I53" s="621">
        <v>9</v>
      </c>
      <c r="J53" s="621">
        <v>100</v>
      </c>
      <c r="K53" s="621">
        <v>100</v>
      </c>
      <c r="L53" s="622">
        <f>SUM(B53:K53)</f>
        <v>973</v>
      </c>
    </row>
    <row r="54" spans="1:12">
      <c r="A54" s="217" t="s">
        <v>444</v>
      </c>
      <c r="B54" s="621">
        <v>75</v>
      </c>
      <c r="C54" s="621">
        <v>87</v>
      </c>
      <c r="D54" s="621">
        <v>101</v>
      </c>
      <c r="E54" s="621">
        <v>124</v>
      </c>
      <c r="F54" s="621">
        <v>76</v>
      </c>
      <c r="G54" s="621">
        <v>60</v>
      </c>
      <c r="H54" s="621">
        <v>241</v>
      </c>
      <c r="I54" s="621">
        <v>9</v>
      </c>
      <c r="J54" s="621">
        <v>100</v>
      </c>
      <c r="K54" s="621">
        <v>100</v>
      </c>
      <c r="L54" s="622">
        <f t="shared" ref="L54:L64" si="4">SUM(B54:K54)</f>
        <v>973</v>
      </c>
    </row>
    <row r="55" spans="1:12">
      <c r="A55" s="217" t="s">
        <v>445</v>
      </c>
      <c r="B55" s="621">
        <v>75</v>
      </c>
      <c r="C55" s="621">
        <v>87</v>
      </c>
      <c r="D55" s="621">
        <v>101</v>
      </c>
      <c r="E55" s="621">
        <v>124</v>
      </c>
      <c r="F55" s="621">
        <v>76</v>
      </c>
      <c r="G55" s="621">
        <v>60</v>
      </c>
      <c r="H55" s="621">
        <v>241</v>
      </c>
      <c r="I55" s="621">
        <v>9</v>
      </c>
      <c r="J55" s="621">
        <v>100</v>
      </c>
      <c r="K55" s="621">
        <v>100</v>
      </c>
      <c r="L55" s="622">
        <f t="shared" si="4"/>
        <v>973</v>
      </c>
    </row>
    <row r="56" spans="1:12">
      <c r="A56" s="217" t="s">
        <v>446</v>
      </c>
      <c r="B56" s="621">
        <v>75</v>
      </c>
      <c r="C56" s="621">
        <v>87</v>
      </c>
      <c r="D56" s="621">
        <v>101</v>
      </c>
      <c r="E56" s="621">
        <v>124</v>
      </c>
      <c r="F56" s="621">
        <v>76</v>
      </c>
      <c r="G56" s="621">
        <v>60</v>
      </c>
      <c r="H56" s="621">
        <v>241</v>
      </c>
      <c r="I56" s="621">
        <v>9</v>
      </c>
      <c r="J56" s="621">
        <v>100</v>
      </c>
      <c r="K56" s="621">
        <v>100</v>
      </c>
      <c r="L56" s="622">
        <f t="shared" si="4"/>
        <v>973</v>
      </c>
    </row>
    <row r="57" spans="1:12">
      <c r="A57" s="217" t="s">
        <v>447</v>
      </c>
      <c r="B57" s="621">
        <v>75</v>
      </c>
      <c r="C57" s="621">
        <v>87</v>
      </c>
      <c r="D57" s="621">
        <v>101</v>
      </c>
      <c r="E57" s="621">
        <v>124</v>
      </c>
      <c r="F57" s="621">
        <v>76</v>
      </c>
      <c r="G57" s="621">
        <v>60</v>
      </c>
      <c r="H57" s="621">
        <v>241</v>
      </c>
      <c r="I57" s="621">
        <v>9</v>
      </c>
      <c r="J57" s="621">
        <v>100</v>
      </c>
      <c r="K57" s="621">
        <v>100</v>
      </c>
      <c r="L57" s="622">
        <f t="shared" si="4"/>
        <v>973</v>
      </c>
    </row>
    <row r="58" spans="1:12">
      <c r="A58" s="217" t="s">
        <v>448</v>
      </c>
      <c r="B58" s="621">
        <v>75</v>
      </c>
      <c r="C58" s="621">
        <v>87</v>
      </c>
      <c r="D58" s="621">
        <v>101</v>
      </c>
      <c r="E58" s="621">
        <v>124</v>
      </c>
      <c r="F58" s="621">
        <v>76</v>
      </c>
      <c r="G58" s="621">
        <v>60</v>
      </c>
      <c r="H58" s="621">
        <v>241</v>
      </c>
      <c r="I58" s="621">
        <v>9</v>
      </c>
      <c r="J58" s="621">
        <v>100</v>
      </c>
      <c r="K58" s="621">
        <v>100</v>
      </c>
      <c r="L58" s="622">
        <f t="shared" si="4"/>
        <v>973</v>
      </c>
    </row>
    <row r="59" spans="1:12">
      <c r="A59" s="217" t="s">
        <v>449</v>
      </c>
      <c r="B59" s="621">
        <v>75</v>
      </c>
      <c r="C59" s="621">
        <v>87</v>
      </c>
      <c r="D59" s="621">
        <v>101</v>
      </c>
      <c r="E59" s="621">
        <v>124</v>
      </c>
      <c r="F59" s="621">
        <v>76</v>
      </c>
      <c r="G59" s="621">
        <v>60</v>
      </c>
      <c r="H59" s="621">
        <v>241</v>
      </c>
      <c r="I59" s="621">
        <v>9</v>
      </c>
      <c r="J59" s="621">
        <v>100</v>
      </c>
      <c r="K59" s="621">
        <v>100</v>
      </c>
      <c r="L59" s="622">
        <f t="shared" si="4"/>
        <v>973</v>
      </c>
    </row>
    <row r="60" spans="1:12">
      <c r="A60" s="217" t="s">
        <v>450</v>
      </c>
      <c r="B60" s="621">
        <v>75</v>
      </c>
      <c r="C60" s="621">
        <v>87</v>
      </c>
      <c r="D60" s="621">
        <v>101</v>
      </c>
      <c r="E60" s="621">
        <v>124</v>
      </c>
      <c r="F60" s="621">
        <v>76</v>
      </c>
      <c r="G60" s="621">
        <v>60</v>
      </c>
      <c r="H60" s="621">
        <v>241</v>
      </c>
      <c r="I60" s="621">
        <v>9</v>
      </c>
      <c r="J60" s="621">
        <v>100</v>
      </c>
      <c r="K60" s="621">
        <v>100</v>
      </c>
      <c r="L60" s="622">
        <f t="shared" si="4"/>
        <v>973</v>
      </c>
    </row>
    <row r="61" spans="1:12">
      <c r="A61" s="217" t="s">
        <v>451</v>
      </c>
      <c r="B61" s="621">
        <v>75</v>
      </c>
      <c r="C61" s="621">
        <v>87</v>
      </c>
      <c r="D61" s="621">
        <v>101</v>
      </c>
      <c r="E61" s="621">
        <v>124</v>
      </c>
      <c r="F61" s="621">
        <v>76</v>
      </c>
      <c r="G61" s="621">
        <v>60</v>
      </c>
      <c r="H61" s="621">
        <v>241</v>
      </c>
      <c r="I61" s="621">
        <v>9</v>
      </c>
      <c r="J61" s="621">
        <v>100</v>
      </c>
      <c r="K61" s="621">
        <v>100</v>
      </c>
      <c r="L61" s="622">
        <f t="shared" si="4"/>
        <v>973</v>
      </c>
    </row>
    <row r="62" spans="1:12">
      <c r="A62" s="217" t="s">
        <v>452</v>
      </c>
      <c r="B62" s="621">
        <v>75</v>
      </c>
      <c r="C62" s="621">
        <v>87</v>
      </c>
      <c r="D62" s="621">
        <v>101</v>
      </c>
      <c r="E62" s="621">
        <v>124</v>
      </c>
      <c r="F62" s="621">
        <v>76</v>
      </c>
      <c r="G62" s="621">
        <v>60</v>
      </c>
      <c r="H62" s="621">
        <v>241</v>
      </c>
      <c r="I62" s="621">
        <v>9</v>
      </c>
      <c r="J62" s="621">
        <v>100</v>
      </c>
      <c r="K62" s="621">
        <v>100</v>
      </c>
      <c r="L62" s="622">
        <f t="shared" si="4"/>
        <v>973</v>
      </c>
    </row>
    <row r="63" spans="1:12">
      <c r="A63" s="217" t="s">
        <v>453</v>
      </c>
      <c r="B63" s="621">
        <v>75</v>
      </c>
      <c r="C63" s="621">
        <v>87</v>
      </c>
      <c r="D63" s="621">
        <v>101</v>
      </c>
      <c r="E63" s="621">
        <v>124</v>
      </c>
      <c r="F63" s="621">
        <v>76</v>
      </c>
      <c r="G63" s="621">
        <v>60</v>
      </c>
      <c r="H63" s="621">
        <v>241</v>
      </c>
      <c r="I63" s="621">
        <v>9</v>
      </c>
      <c r="J63" s="621">
        <v>100</v>
      </c>
      <c r="K63" s="621">
        <v>100</v>
      </c>
      <c r="L63" s="622">
        <f t="shared" si="4"/>
        <v>973</v>
      </c>
    </row>
    <row r="64" spans="1:12">
      <c r="A64" s="217" t="s">
        <v>454</v>
      </c>
      <c r="B64" s="621">
        <v>75</v>
      </c>
      <c r="C64" s="621">
        <v>87</v>
      </c>
      <c r="D64" s="621">
        <v>101</v>
      </c>
      <c r="E64" s="621">
        <v>124</v>
      </c>
      <c r="F64" s="621">
        <v>76</v>
      </c>
      <c r="G64" s="621">
        <v>60</v>
      </c>
      <c r="H64" s="621">
        <v>241</v>
      </c>
      <c r="I64" s="621">
        <v>9</v>
      </c>
      <c r="J64" s="621">
        <v>100</v>
      </c>
      <c r="K64" s="621">
        <v>100</v>
      </c>
      <c r="L64" s="622">
        <f t="shared" si="4"/>
        <v>973</v>
      </c>
    </row>
    <row r="65" spans="1:14">
      <c r="A65" s="217"/>
      <c r="B65" s="621"/>
      <c r="C65" s="621"/>
      <c r="D65" s="621"/>
      <c r="E65" s="621"/>
      <c r="F65" s="621"/>
      <c r="G65" s="621"/>
      <c r="H65" s="177"/>
      <c r="I65" s="177"/>
      <c r="J65" s="177"/>
      <c r="K65" s="177"/>
      <c r="L65" s="622"/>
    </row>
    <row r="66" spans="1:14">
      <c r="A66" s="236" t="s">
        <v>520</v>
      </c>
      <c r="B66" s="237">
        <f t="shared" ref="B66:L66" si="5">ROUND(AVERAGE(B53:B64),0)</f>
        <v>75</v>
      </c>
      <c r="C66" s="237">
        <f t="shared" si="5"/>
        <v>87</v>
      </c>
      <c r="D66" s="237">
        <f t="shared" si="5"/>
        <v>101</v>
      </c>
      <c r="E66" s="237">
        <f t="shared" si="5"/>
        <v>124</v>
      </c>
      <c r="F66" s="237">
        <f t="shared" si="5"/>
        <v>76</v>
      </c>
      <c r="G66" s="237">
        <f t="shared" si="5"/>
        <v>60</v>
      </c>
      <c r="H66" s="237">
        <f t="shared" si="5"/>
        <v>241</v>
      </c>
      <c r="I66" s="237">
        <f t="shared" si="5"/>
        <v>9</v>
      </c>
      <c r="J66" s="237">
        <f t="shared" si="5"/>
        <v>100</v>
      </c>
      <c r="K66" s="237">
        <f t="shared" si="5"/>
        <v>100</v>
      </c>
      <c r="L66" s="238">
        <f t="shared" si="5"/>
        <v>973</v>
      </c>
    </row>
    <row r="67" spans="1:14">
      <c r="D67" s="244"/>
      <c r="E67" s="244"/>
      <c r="F67" s="244"/>
      <c r="G67" s="612"/>
      <c r="H67" s="612"/>
      <c r="I67" s="612"/>
      <c r="J67" s="244"/>
      <c r="K67" s="244"/>
      <c r="L67" s="244"/>
      <c r="M67" s="244"/>
      <c r="N67" s="244"/>
    </row>
    <row r="68" spans="1:14">
      <c r="B68" s="621"/>
      <c r="C68" s="621"/>
      <c r="D68" s="621"/>
      <c r="E68" s="177"/>
      <c r="F68" s="177"/>
      <c r="G68" s="177"/>
      <c r="H68" s="177"/>
      <c r="I68" s="177"/>
      <c r="J68" s="621"/>
      <c r="K68" s="621"/>
      <c r="L68" s="177"/>
      <c r="M68" s="177"/>
      <c r="N68" s="177"/>
    </row>
    <row r="69" spans="1:14" ht="15.75" customHeight="1">
      <c r="A69" s="667"/>
      <c r="B69" s="667"/>
      <c r="C69" s="667"/>
      <c r="D69" s="667"/>
      <c r="E69" s="667"/>
      <c r="F69" s="667"/>
      <c r="G69" s="667"/>
      <c r="H69" s="667"/>
    </row>
  </sheetData>
  <sheetProtection formatCells="0"/>
  <mergeCells count="5">
    <mergeCell ref="A69:H69"/>
    <mergeCell ref="B28:F28"/>
    <mergeCell ref="A1:M1"/>
    <mergeCell ref="A2:M2"/>
    <mergeCell ref="A47:L47"/>
  </mergeCells>
  <phoneticPr fontId="0" type="noConversion"/>
  <printOptions horizontalCentered="1"/>
  <pageMargins left="0.75" right="0.75" top="1" bottom="1" header="0.5" footer="0.5"/>
  <pageSetup scale="47" orientation="portrait" r:id="rId1"/>
  <headerFooter alignWithMargins="0">
    <oddHeader>&amp;CIDAHO POWER COMPANY
Transmission Cost of Service Rate Development
12 Months Ended 12/31/2017</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2259"/>
  <sheetViews>
    <sheetView zoomScale="90" zoomScaleNormal="90" zoomScaleSheetLayoutView="100" zoomScalePageLayoutView="75" workbookViewId="0">
      <selection sqref="A1:I1"/>
    </sheetView>
  </sheetViews>
  <sheetFormatPr defaultRowHeight="12.75"/>
  <cols>
    <col min="1" max="1" width="3.7109375" style="612" customWidth="1"/>
    <col min="2" max="2" width="3.5703125" style="613" customWidth="1"/>
    <col min="3" max="3" width="25.5703125" style="152" customWidth="1"/>
    <col min="4" max="4" width="21.5703125" style="152" bestFit="1" customWidth="1"/>
    <col min="5" max="5" width="16.7109375" style="152" customWidth="1"/>
    <col min="6" max="6" width="14.7109375" style="152" customWidth="1"/>
    <col min="7" max="7" width="6.42578125" style="262" customWidth="1"/>
    <col min="8" max="8" width="16.42578125" style="262" customWidth="1"/>
    <col min="9" max="9" width="14.28515625" style="152" customWidth="1"/>
    <col min="10" max="16384" width="9.140625" style="152"/>
  </cols>
  <sheetData>
    <row r="1" spans="1:9" ht="15.75" customHeight="1">
      <c r="A1" s="666" t="s">
        <v>485</v>
      </c>
      <c r="B1" s="666"/>
      <c r="C1" s="666"/>
      <c r="D1" s="666"/>
      <c r="E1" s="666"/>
      <c r="F1" s="666"/>
      <c r="G1" s="666"/>
      <c r="H1" s="666"/>
      <c r="I1" s="666"/>
    </row>
    <row r="2" spans="1:9" ht="15.75" customHeight="1">
      <c r="A2" s="666" t="s">
        <v>51</v>
      </c>
      <c r="B2" s="666"/>
      <c r="C2" s="666"/>
      <c r="D2" s="666"/>
      <c r="E2" s="666"/>
      <c r="F2" s="666"/>
      <c r="G2" s="666"/>
      <c r="H2" s="666"/>
      <c r="I2" s="666"/>
    </row>
    <row r="3" spans="1:9">
      <c r="C3" s="156"/>
      <c r="D3" s="156"/>
      <c r="E3" s="156"/>
      <c r="G3" s="152"/>
      <c r="H3" s="167"/>
    </row>
    <row r="4" spans="1:9">
      <c r="C4" s="156"/>
      <c r="D4" s="156"/>
      <c r="E4" s="156"/>
      <c r="G4" s="152"/>
      <c r="H4" s="167"/>
    </row>
    <row r="5" spans="1:9">
      <c r="G5" s="152"/>
      <c r="H5" s="167"/>
    </row>
    <row r="6" spans="1:9">
      <c r="A6" s="612">
        <v>1</v>
      </c>
      <c r="B6" s="613" t="s">
        <v>458</v>
      </c>
      <c r="C6" s="156" t="s">
        <v>489</v>
      </c>
      <c r="D6" s="156"/>
      <c r="G6" s="152"/>
      <c r="H6" s="167"/>
    </row>
    <row r="7" spans="1:9">
      <c r="A7" s="612">
        <f>A6+1</f>
        <v>2</v>
      </c>
      <c r="E7" s="245" t="s">
        <v>407</v>
      </c>
      <c r="F7" s="245"/>
      <c r="G7" s="239"/>
      <c r="H7" s="246" t="s">
        <v>440</v>
      </c>
      <c r="I7" s="245"/>
    </row>
    <row r="8" spans="1:9">
      <c r="A8" s="612">
        <f t="shared" ref="A8:A42" si="0">A7+1</f>
        <v>3</v>
      </c>
      <c r="D8" s="152" t="s">
        <v>229</v>
      </c>
      <c r="E8" s="234" t="s">
        <v>230</v>
      </c>
      <c r="F8" s="234" t="s">
        <v>408</v>
      </c>
      <c r="G8" s="612"/>
      <c r="H8" s="247" t="s">
        <v>409</v>
      </c>
      <c r="I8" s="234" t="s">
        <v>410</v>
      </c>
    </row>
    <row r="9" spans="1:9">
      <c r="A9" s="612">
        <f t="shared" si="0"/>
        <v>4</v>
      </c>
      <c r="E9" s="248"/>
      <c r="F9" s="248"/>
      <c r="G9" s="248"/>
      <c r="H9" s="249"/>
      <c r="I9" s="248"/>
    </row>
    <row r="10" spans="1:9">
      <c r="A10" s="612">
        <f t="shared" si="0"/>
        <v>5</v>
      </c>
      <c r="E10" s="248"/>
      <c r="F10" s="496"/>
      <c r="G10" s="496"/>
      <c r="H10" s="496"/>
      <c r="I10" s="496"/>
    </row>
    <row r="11" spans="1:9">
      <c r="A11" s="612">
        <f t="shared" si="0"/>
        <v>6</v>
      </c>
      <c r="C11" s="152" t="s">
        <v>1064</v>
      </c>
      <c r="D11" s="152" t="s">
        <v>98</v>
      </c>
      <c r="E11" s="200">
        <f>'Schedule 6 Workpaper page 1'!G38*1000</f>
        <v>1745460000</v>
      </c>
      <c r="F11" s="497">
        <f>E11/E17</f>
        <v>0.45558678244065776</v>
      </c>
      <c r="G11" s="497"/>
      <c r="H11" s="497">
        <f>'Schedule 6 Workpaper page 1'!O38</f>
        <v>4.8697822793612823E-2</v>
      </c>
      <c r="I11" s="497">
        <f>H11*F11</f>
        <v>2.2186084398407389E-2</v>
      </c>
    </row>
    <row r="12" spans="1:9">
      <c r="A12" s="612">
        <f t="shared" si="0"/>
        <v>7</v>
      </c>
      <c r="E12" s="200"/>
      <c r="F12" s="497"/>
      <c r="G12" s="497"/>
      <c r="H12" s="497"/>
      <c r="I12" s="497"/>
    </row>
    <row r="13" spans="1:9">
      <c r="A13" s="612">
        <f t="shared" si="0"/>
        <v>8</v>
      </c>
      <c r="C13" s="152" t="s">
        <v>411</v>
      </c>
      <c r="D13" s="152" t="s">
        <v>1039</v>
      </c>
      <c r="E13" s="200">
        <v>0</v>
      </c>
      <c r="F13" s="497">
        <f>E13/E17</f>
        <v>0</v>
      </c>
      <c r="G13" s="497"/>
      <c r="H13" s="497">
        <v>0</v>
      </c>
      <c r="I13" s="497">
        <f>H13*F13</f>
        <v>0</v>
      </c>
    </row>
    <row r="14" spans="1:9">
      <c r="A14" s="612">
        <f t="shared" si="0"/>
        <v>9</v>
      </c>
      <c r="E14" s="200"/>
      <c r="F14" s="497"/>
      <c r="G14" s="497"/>
      <c r="H14" s="497"/>
      <c r="I14" s="497"/>
    </row>
    <row r="15" spans="1:9">
      <c r="A15" s="612">
        <f t="shared" si="0"/>
        <v>10</v>
      </c>
      <c r="C15" s="152" t="s">
        <v>412</v>
      </c>
      <c r="D15" s="152" t="s">
        <v>1040</v>
      </c>
      <c r="E15" s="647">
        <v>2085774942</v>
      </c>
      <c r="F15" s="498">
        <f>E15/E17</f>
        <v>0.54441321755934224</v>
      </c>
      <c r="G15" s="498"/>
      <c r="H15" s="497">
        <v>0.107</v>
      </c>
      <c r="I15" s="498">
        <f>H15*F15</f>
        <v>5.8252214278849621E-2</v>
      </c>
    </row>
    <row r="16" spans="1:9">
      <c r="A16" s="612">
        <f t="shared" si="0"/>
        <v>11</v>
      </c>
      <c r="E16" s="204"/>
      <c r="F16" s="498"/>
      <c r="G16" s="498"/>
      <c r="H16" s="497"/>
      <c r="I16" s="498"/>
    </row>
    <row r="17" spans="1:9">
      <c r="A17" s="612">
        <f t="shared" si="0"/>
        <v>12</v>
      </c>
      <c r="C17" s="152" t="s">
        <v>413</v>
      </c>
      <c r="E17" s="200">
        <f>SUM(E11:E15)</f>
        <v>3831234942</v>
      </c>
      <c r="F17" s="497">
        <f>SUM(F11:F15)</f>
        <v>1</v>
      </c>
      <c r="G17" s="497"/>
      <c r="H17" s="497"/>
      <c r="I17" s="497">
        <f>SUM(I11:I15)</f>
        <v>8.0438298677257006E-2</v>
      </c>
    </row>
    <row r="18" spans="1:9">
      <c r="A18" s="612">
        <f t="shared" si="0"/>
        <v>13</v>
      </c>
      <c r="E18" s="200"/>
      <c r="F18" s="250"/>
      <c r="G18" s="250"/>
      <c r="H18" s="167"/>
      <c r="I18" s="251"/>
    </row>
    <row r="19" spans="1:9">
      <c r="A19" s="612">
        <f t="shared" si="0"/>
        <v>14</v>
      </c>
      <c r="G19" s="152"/>
      <c r="H19" s="167"/>
    </row>
    <row r="20" spans="1:9" ht="12.75" customHeight="1">
      <c r="A20" s="612">
        <f t="shared" si="0"/>
        <v>15</v>
      </c>
      <c r="E20" s="252" t="s">
        <v>401</v>
      </c>
      <c r="G20" s="152"/>
      <c r="H20" s="253" t="s">
        <v>406</v>
      </c>
      <c r="I20" s="495">
        <f>I17</f>
        <v>8.0438298677257006E-2</v>
      </c>
    </row>
    <row r="21" spans="1:9" ht="12.75" customHeight="1">
      <c r="A21" s="612">
        <f t="shared" si="0"/>
        <v>16</v>
      </c>
      <c r="E21" s="252"/>
      <c r="G21" s="152"/>
      <c r="H21" s="254"/>
      <c r="I21" s="251"/>
    </row>
    <row r="22" spans="1:9" ht="12.75" customHeight="1">
      <c r="A22" s="612">
        <f t="shared" si="0"/>
        <v>17</v>
      </c>
      <c r="B22" s="613" t="s">
        <v>459</v>
      </c>
      <c r="C22" s="156" t="s">
        <v>486</v>
      </c>
      <c r="D22" s="156"/>
      <c r="E22" s="156"/>
      <c r="G22" s="167"/>
      <c r="H22" s="254"/>
      <c r="I22" s="251"/>
    </row>
    <row r="23" spans="1:9" ht="12.75" customHeight="1">
      <c r="A23" s="612">
        <f t="shared" si="0"/>
        <v>18</v>
      </c>
      <c r="G23" s="167"/>
      <c r="H23" s="254"/>
      <c r="I23" s="251"/>
    </row>
    <row r="24" spans="1:9" ht="12.75" customHeight="1">
      <c r="A24" s="612">
        <f t="shared" si="0"/>
        <v>19</v>
      </c>
      <c r="C24" s="152" t="s">
        <v>487</v>
      </c>
      <c r="E24" s="191">
        <v>0.35</v>
      </c>
      <c r="G24" s="152"/>
      <c r="H24" s="254"/>
      <c r="I24" s="251"/>
    </row>
    <row r="25" spans="1:9" ht="12.75" customHeight="1">
      <c r="A25" s="612">
        <f t="shared" si="0"/>
        <v>20</v>
      </c>
      <c r="C25" s="152" t="s">
        <v>488</v>
      </c>
      <c r="E25" s="191">
        <f>'Schedule 6 Workpaper page 2'!F9</f>
        <v>6.3E-2</v>
      </c>
      <c r="F25" s="152" t="s">
        <v>106</v>
      </c>
      <c r="G25" s="152"/>
      <c r="H25" s="254"/>
      <c r="I25" s="251"/>
    </row>
    <row r="26" spans="1:9" ht="12.75" customHeight="1">
      <c r="A26" s="612">
        <f t="shared" si="0"/>
        <v>21</v>
      </c>
      <c r="G26" s="167"/>
      <c r="H26" s="254"/>
      <c r="I26" s="251"/>
    </row>
    <row r="27" spans="1:9">
      <c r="A27" s="612">
        <f t="shared" si="0"/>
        <v>22</v>
      </c>
      <c r="C27" s="255" t="s">
        <v>490</v>
      </c>
      <c r="D27" s="255"/>
      <c r="E27" s="177"/>
      <c r="F27" s="177"/>
      <c r="G27" s="201"/>
      <c r="H27" s="256"/>
      <c r="I27" s="257"/>
    </row>
    <row r="28" spans="1:9">
      <c r="A28" s="612">
        <f t="shared" si="0"/>
        <v>23</v>
      </c>
      <c r="C28" s="177" t="s">
        <v>492</v>
      </c>
      <c r="D28" s="177"/>
      <c r="E28" s="177"/>
      <c r="F28" s="177"/>
      <c r="G28" s="201"/>
      <c r="H28" s="179"/>
      <c r="I28" s="499">
        <f>ROUND((((($I$20-$I$11) +((E38 + E39)/'Rate Calculation'!$E$26))*$E$24)/(1-$E$24)),5)</f>
        <v>3.0980000000000001E-2</v>
      </c>
    </row>
    <row r="29" spans="1:9">
      <c r="A29" s="612">
        <f t="shared" si="0"/>
        <v>24</v>
      </c>
      <c r="C29" s="177"/>
      <c r="D29" s="177"/>
      <c r="E29" s="177"/>
      <c r="F29" s="177"/>
      <c r="G29" s="201"/>
      <c r="H29" s="179"/>
      <c r="I29" s="499"/>
    </row>
    <row r="30" spans="1:9">
      <c r="A30" s="612">
        <f t="shared" si="0"/>
        <v>25</v>
      </c>
      <c r="C30" s="255" t="s">
        <v>491</v>
      </c>
      <c r="D30" s="255"/>
      <c r="E30" s="177"/>
      <c r="F30" s="177"/>
      <c r="G30" s="201"/>
      <c r="H30" s="179"/>
      <c r="I30" s="499"/>
    </row>
    <row r="31" spans="1:9">
      <c r="A31" s="612">
        <f t="shared" si="0"/>
        <v>26</v>
      </c>
      <c r="C31" s="177" t="s">
        <v>493</v>
      </c>
      <c r="D31" s="177"/>
      <c r="E31" s="177"/>
      <c r="F31" s="177"/>
      <c r="G31" s="201"/>
      <c r="H31" s="179"/>
      <c r="I31" s="499">
        <f>ROUND(((($I$20-$I$11)+((E38 + E39) / 'Rate Calculation'!$E$26) + $I$28)*$E$25)/(1-$E$25),5)</f>
        <v>5.9500000000000004E-3</v>
      </c>
    </row>
    <row r="32" spans="1:9">
      <c r="A32" s="612">
        <f t="shared" si="0"/>
        <v>27</v>
      </c>
      <c r="C32" s="177"/>
      <c r="D32" s="177"/>
      <c r="E32" s="177"/>
      <c r="F32" s="180" t="s">
        <v>401</v>
      </c>
      <c r="G32" s="179"/>
      <c r="H32" s="179"/>
      <c r="I32" s="500" t="s">
        <v>401</v>
      </c>
    </row>
    <row r="33" spans="1:9">
      <c r="A33" s="612">
        <f t="shared" si="0"/>
        <v>28</v>
      </c>
      <c r="C33" s="177"/>
      <c r="D33" s="177"/>
      <c r="E33" s="177"/>
      <c r="F33" s="177"/>
      <c r="G33" s="179"/>
      <c r="H33" s="179"/>
      <c r="I33" s="499"/>
    </row>
    <row r="34" spans="1:9">
      <c r="A34" s="612">
        <f t="shared" si="0"/>
        <v>29</v>
      </c>
      <c r="C34" s="177"/>
      <c r="D34" s="177"/>
      <c r="E34" s="177"/>
      <c r="F34" s="258" t="s">
        <v>494</v>
      </c>
      <c r="G34" s="259"/>
      <c r="H34" s="178"/>
      <c r="I34" s="501">
        <f>ROUND(SUM(I28:I31),5)</f>
        <v>3.6929999999999998E-2</v>
      </c>
    </row>
    <row r="35" spans="1:9">
      <c r="A35" s="612">
        <f t="shared" si="0"/>
        <v>30</v>
      </c>
      <c r="C35" s="177"/>
      <c r="D35" s="177"/>
      <c r="E35" s="177"/>
      <c r="F35" s="258"/>
      <c r="G35" s="259"/>
      <c r="H35" s="178"/>
      <c r="I35" s="178"/>
    </row>
    <row r="36" spans="1:9">
      <c r="A36" s="612">
        <f t="shared" si="0"/>
        <v>31</v>
      </c>
      <c r="C36" s="177"/>
      <c r="D36" s="177"/>
      <c r="E36" s="177"/>
      <c r="F36" s="258"/>
      <c r="G36" s="259"/>
      <c r="H36" s="178"/>
      <c r="I36" s="178"/>
    </row>
    <row r="37" spans="1:9">
      <c r="A37" s="612">
        <f t="shared" si="0"/>
        <v>32</v>
      </c>
      <c r="C37" s="177"/>
      <c r="D37" s="177"/>
      <c r="E37" s="177"/>
      <c r="F37" s="178"/>
      <c r="G37" s="259"/>
      <c r="H37" s="179"/>
      <c r="I37" s="177"/>
    </row>
    <row r="38" spans="1:9">
      <c r="A38" s="612">
        <f t="shared" si="0"/>
        <v>33</v>
      </c>
      <c r="C38" s="178" t="s">
        <v>495</v>
      </c>
      <c r="D38" s="178"/>
      <c r="E38" s="489">
        <f>'Schedule 6 Workpaper page 3'!G17</f>
        <v>84315</v>
      </c>
      <c r="F38" s="239" t="s">
        <v>107</v>
      </c>
      <c r="G38" s="259"/>
      <c r="H38" s="179"/>
      <c r="I38" s="177"/>
    </row>
    <row r="39" spans="1:9">
      <c r="A39" s="612">
        <f t="shared" si="0"/>
        <v>34</v>
      </c>
      <c r="C39" s="178" t="s">
        <v>496</v>
      </c>
      <c r="D39" s="178"/>
      <c r="E39" s="204">
        <f>'Rate Calculation'!E38</f>
        <v>-618829.2326932</v>
      </c>
      <c r="F39" s="180" t="s">
        <v>243</v>
      </c>
      <c r="G39" s="259"/>
      <c r="H39" s="179"/>
      <c r="I39" s="177"/>
    </row>
    <row r="40" spans="1:9">
      <c r="A40" s="612">
        <f t="shared" si="0"/>
        <v>35</v>
      </c>
      <c r="C40" s="177"/>
      <c r="D40" s="177"/>
      <c r="E40" s="177"/>
      <c r="F40" s="177"/>
      <c r="G40" s="259"/>
      <c r="H40" s="179"/>
      <c r="I40" s="177"/>
    </row>
    <row r="41" spans="1:9" ht="29.25" customHeight="1">
      <c r="A41" s="612">
        <f t="shared" si="0"/>
        <v>36</v>
      </c>
      <c r="C41" s="672" t="s">
        <v>1061</v>
      </c>
      <c r="D41" s="672"/>
      <c r="E41" s="672"/>
      <c r="F41" s="672"/>
      <c r="G41" s="672"/>
      <c r="H41" s="672"/>
      <c r="I41" s="672"/>
    </row>
    <row r="42" spans="1:9">
      <c r="A42" s="612">
        <f t="shared" si="0"/>
        <v>37</v>
      </c>
      <c r="C42" s="177" t="s">
        <v>1063</v>
      </c>
      <c r="D42" s="177"/>
      <c r="E42" s="177"/>
      <c r="F42" s="177"/>
      <c r="G42" s="179"/>
      <c r="H42" s="179"/>
      <c r="I42" s="177"/>
    </row>
    <row r="43" spans="1:9">
      <c r="C43" s="177"/>
      <c r="D43" s="177"/>
      <c r="E43" s="201"/>
      <c r="F43" s="177"/>
      <c r="G43" s="179"/>
      <c r="H43" s="179"/>
      <c r="I43" s="177"/>
    </row>
    <row r="44" spans="1:9">
      <c r="C44" s="177"/>
      <c r="D44" s="177"/>
      <c r="E44" s="177"/>
      <c r="F44" s="177"/>
      <c r="G44" s="179"/>
      <c r="H44" s="179"/>
      <c r="I44" s="177"/>
    </row>
    <row r="45" spans="1:9">
      <c r="C45" s="177"/>
      <c r="D45" s="177"/>
      <c r="E45" s="177"/>
      <c r="F45" s="177"/>
      <c r="G45" s="179"/>
      <c r="H45" s="179"/>
      <c r="I45" s="177"/>
    </row>
    <row r="46" spans="1:9">
      <c r="C46" s="177"/>
      <c r="D46" s="177"/>
      <c r="E46" s="177"/>
      <c r="F46" s="177"/>
      <c r="G46" s="179"/>
      <c r="H46" s="179"/>
      <c r="I46" s="177"/>
    </row>
    <row r="47" spans="1:9">
      <c r="C47" s="255"/>
      <c r="D47" s="255"/>
      <c r="E47" s="177"/>
      <c r="F47" s="177"/>
      <c r="G47" s="179"/>
      <c r="H47" s="179"/>
      <c r="I47" s="177"/>
    </row>
    <row r="48" spans="1:9">
      <c r="C48" s="177"/>
      <c r="D48" s="177"/>
      <c r="E48" s="177"/>
      <c r="F48" s="177"/>
      <c r="G48" s="179"/>
      <c r="H48" s="179"/>
      <c r="I48" s="177"/>
    </row>
    <row r="49" spans="3:9">
      <c r="C49" s="177"/>
      <c r="D49" s="177"/>
      <c r="E49" s="177"/>
      <c r="F49" s="177"/>
      <c r="G49" s="179"/>
      <c r="H49" s="179"/>
      <c r="I49" s="177"/>
    </row>
    <row r="50" spans="3:9">
      <c r="C50" s="177"/>
      <c r="D50" s="177"/>
      <c r="E50" s="177"/>
      <c r="F50" s="177"/>
      <c r="G50" s="179"/>
      <c r="H50" s="179"/>
      <c r="I50" s="177"/>
    </row>
    <row r="51" spans="3:9">
      <c r="C51" s="257"/>
      <c r="D51" s="257"/>
      <c r="E51" s="177"/>
      <c r="F51" s="177"/>
      <c r="G51" s="179"/>
      <c r="H51" s="179"/>
      <c r="I51" s="177"/>
    </row>
    <row r="52" spans="3:9">
      <c r="C52" s="261"/>
      <c r="D52" s="261"/>
      <c r="E52" s="177"/>
      <c r="F52" s="177"/>
      <c r="G52" s="179"/>
      <c r="H52" s="179"/>
      <c r="I52" s="177"/>
    </row>
    <row r="53" spans="3:9">
      <c r="C53" s="261"/>
      <c r="D53" s="261"/>
      <c r="E53" s="177"/>
      <c r="F53" s="177"/>
      <c r="G53" s="179"/>
      <c r="H53" s="179"/>
      <c r="I53" s="177"/>
    </row>
    <row r="54" spans="3:9">
      <c r="C54" s="177"/>
      <c r="D54" s="177"/>
      <c r="E54" s="177"/>
      <c r="F54" s="177"/>
      <c r="G54" s="179"/>
      <c r="H54" s="179"/>
      <c r="I54" s="177"/>
    </row>
    <row r="55" spans="3:9">
      <c r="C55" s="177"/>
      <c r="D55" s="177"/>
      <c r="E55" s="177"/>
      <c r="F55" s="177"/>
      <c r="G55" s="179"/>
      <c r="H55" s="179"/>
      <c r="I55" s="177"/>
    </row>
    <row r="56" spans="3:9">
      <c r="C56" s="177"/>
      <c r="D56" s="177"/>
      <c r="E56" s="177"/>
      <c r="F56" s="177"/>
      <c r="G56" s="179"/>
      <c r="H56" s="179"/>
      <c r="I56" s="177"/>
    </row>
    <row r="57" spans="3:9">
      <c r="C57" s="177"/>
      <c r="D57" s="177"/>
      <c r="E57" s="177"/>
      <c r="F57" s="177"/>
      <c r="G57" s="179"/>
      <c r="H57" s="179"/>
      <c r="I57" s="177"/>
    </row>
    <row r="58" spans="3:9">
      <c r="C58" s="177"/>
      <c r="D58" s="177"/>
      <c r="E58" s="177"/>
      <c r="F58" s="177"/>
      <c r="G58" s="179"/>
      <c r="H58" s="179"/>
      <c r="I58" s="177"/>
    </row>
    <row r="59" spans="3:9">
      <c r="C59" s="177"/>
      <c r="D59" s="177"/>
      <c r="E59" s="177"/>
      <c r="F59" s="177"/>
      <c r="G59" s="179"/>
      <c r="H59" s="179"/>
      <c r="I59" s="177"/>
    </row>
    <row r="60" spans="3:9">
      <c r="C60" s="177"/>
      <c r="D60" s="177"/>
      <c r="E60" s="177"/>
      <c r="F60" s="177"/>
      <c r="G60" s="179"/>
      <c r="H60" s="179"/>
      <c r="I60" s="177"/>
    </row>
    <row r="61" spans="3:9">
      <c r="C61" s="177"/>
      <c r="D61" s="177"/>
      <c r="E61" s="177"/>
      <c r="F61" s="177"/>
      <c r="G61" s="179"/>
      <c r="H61" s="179"/>
      <c r="I61" s="177"/>
    </row>
    <row r="62" spans="3:9">
      <c r="C62" s="177"/>
      <c r="D62" s="177"/>
      <c r="E62" s="177"/>
      <c r="F62" s="177"/>
      <c r="G62" s="179"/>
      <c r="H62" s="179"/>
      <c r="I62" s="177"/>
    </row>
    <row r="63" spans="3:9">
      <c r="C63" s="177"/>
      <c r="D63" s="177"/>
      <c r="E63" s="177"/>
      <c r="F63" s="177"/>
      <c r="G63" s="179"/>
      <c r="H63" s="179"/>
      <c r="I63" s="177"/>
    </row>
    <row r="64" spans="3:9">
      <c r="C64" s="177"/>
      <c r="D64" s="177"/>
      <c r="E64" s="177"/>
      <c r="F64" s="177"/>
      <c r="G64" s="179"/>
      <c r="H64" s="179"/>
      <c r="I64" s="177"/>
    </row>
    <row r="65" spans="3:9">
      <c r="C65" s="177"/>
      <c r="D65" s="177"/>
      <c r="E65" s="177"/>
      <c r="F65" s="177"/>
      <c r="G65" s="179"/>
      <c r="H65" s="179"/>
      <c r="I65" s="177"/>
    </row>
    <row r="66" spans="3:9">
      <c r="C66" s="177"/>
      <c r="D66" s="177"/>
      <c r="E66" s="177"/>
      <c r="F66" s="177"/>
      <c r="G66" s="179"/>
      <c r="H66" s="179"/>
      <c r="I66" s="177"/>
    </row>
    <row r="67" spans="3:9">
      <c r="C67" s="177"/>
      <c r="D67" s="177"/>
      <c r="E67" s="177"/>
      <c r="F67" s="177"/>
      <c r="G67" s="179"/>
      <c r="H67" s="179"/>
      <c r="I67" s="177"/>
    </row>
    <row r="68" spans="3:9">
      <c r="C68" s="177"/>
      <c r="D68" s="177"/>
      <c r="E68" s="177"/>
      <c r="F68" s="177"/>
      <c r="G68" s="179"/>
      <c r="H68" s="179"/>
      <c r="I68" s="177"/>
    </row>
    <row r="69" spans="3:9">
      <c r="C69" s="177"/>
      <c r="D69" s="177"/>
      <c r="E69" s="177"/>
      <c r="F69" s="177"/>
      <c r="G69" s="179"/>
      <c r="H69" s="179"/>
      <c r="I69" s="177"/>
    </row>
    <row r="70" spans="3:9">
      <c r="C70" s="177"/>
      <c r="D70" s="177"/>
      <c r="E70" s="177"/>
      <c r="F70" s="177"/>
      <c r="G70" s="179"/>
      <c r="H70" s="179"/>
      <c r="I70" s="177"/>
    </row>
    <row r="71" spans="3:9">
      <c r="C71" s="177"/>
      <c r="D71" s="177"/>
      <c r="E71" s="177"/>
      <c r="F71" s="177"/>
      <c r="G71" s="179"/>
      <c r="H71" s="179"/>
      <c r="I71" s="177"/>
    </row>
    <row r="72" spans="3:9">
      <c r="C72" s="177"/>
      <c r="D72" s="177"/>
      <c r="E72" s="177"/>
      <c r="F72" s="177"/>
      <c r="G72" s="179"/>
      <c r="H72" s="179"/>
      <c r="I72" s="177"/>
    </row>
    <row r="73" spans="3:9">
      <c r="C73" s="177"/>
      <c r="D73" s="177"/>
      <c r="E73" s="177"/>
      <c r="F73" s="177"/>
      <c r="G73" s="179"/>
      <c r="H73" s="179"/>
      <c r="I73" s="177"/>
    </row>
    <row r="74" spans="3:9">
      <c r="C74" s="177"/>
      <c r="D74" s="177"/>
      <c r="E74" s="177"/>
      <c r="F74" s="177"/>
      <c r="G74" s="179"/>
      <c r="H74" s="179"/>
      <c r="I74" s="177"/>
    </row>
    <row r="75" spans="3:9">
      <c r="C75" s="177"/>
      <c r="D75" s="177"/>
      <c r="E75" s="177"/>
      <c r="F75" s="177"/>
      <c r="G75" s="179"/>
      <c r="H75" s="179"/>
      <c r="I75" s="177"/>
    </row>
    <row r="76" spans="3:9">
      <c r="C76" s="177"/>
      <c r="D76" s="177"/>
      <c r="E76" s="177"/>
      <c r="F76" s="177"/>
      <c r="G76" s="179"/>
      <c r="H76" s="179"/>
      <c r="I76" s="177"/>
    </row>
    <row r="77" spans="3:9">
      <c r="C77" s="177"/>
      <c r="D77" s="177"/>
      <c r="E77" s="177"/>
      <c r="F77" s="177"/>
      <c r="G77" s="179"/>
      <c r="H77" s="179"/>
      <c r="I77" s="177"/>
    </row>
    <row r="78" spans="3:9">
      <c r="C78" s="177"/>
      <c r="D78" s="177"/>
      <c r="E78" s="177"/>
      <c r="F78" s="177"/>
      <c r="G78" s="179"/>
      <c r="H78" s="179"/>
      <c r="I78" s="177"/>
    </row>
    <row r="79" spans="3:9">
      <c r="C79" s="177"/>
      <c r="D79" s="177"/>
      <c r="E79" s="177"/>
      <c r="F79" s="177"/>
      <c r="G79" s="179"/>
      <c r="H79" s="179"/>
      <c r="I79" s="177"/>
    </row>
    <row r="80" spans="3:9">
      <c r="C80" s="177"/>
      <c r="D80" s="177"/>
      <c r="E80" s="177"/>
      <c r="F80" s="177"/>
      <c r="G80" s="179"/>
      <c r="H80" s="179"/>
      <c r="I80" s="177"/>
    </row>
    <row r="81" spans="3:9">
      <c r="C81" s="177"/>
      <c r="D81" s="177"/>
      <c r="E81" s="177"/>
      <c r="F81" s="177"/>
      <c r="G81" s="179"/>
      <c r="H81" s="179"/>
      <c r="I81" s="177"/>
    </row>
    <row r="82" spans="3:9">
      <c r="C82" s="177"/>
      <c r="D82" s="177"/>
      <c r="E82" s="177"/>
      <c r="F82" s="177"/>
      <c r="G82" s="179"/>
      <c r="H82" s="179"/>
      <c r="I82" s="177"/>
    </row>
    <row r="83" spans="3:9">
      <c r="C83" s="177"/>
      <c r="D83" s="177"/>
      <c r="E83" s="177"/>
      <c r="F83" s="177"/>
      <c r="G83" s="179"/>
      <c r="H83" s="179"/>
      <c r="I83" s="177"/>
    </row>
    <row r="84" spans="3:9">
      <c r="C84" s="177"/>
      <c r="D84" s="177"/>
      <c r="E84" s="177"/>
      <c r="F84" s="177"/>
      <c r="G84" s="179"/>
      <c r="H84" s="179"/>
      <c r="I84" s="177"/>
    </row>
    <row r="85" spans="3:9">
      <c r="C85" s="177"/>
      <c r="D85" s="177"/>
      <c r="E85" s="177"/>
      <c r="F85" s="177"/>
      <c r="G85" s="179"/>
      <c r="H85" s="179"/>
      <c r="I85" s="177"/>
    </row>
    <row r="86" spans="3:9">
      <c r="C86" s="177"/>
      <c r="D86" s="177"/>
      <c r="E86" s="177"/>
      <c r="F86" s="177"/>
      <c r="G86" s="179"/>
      <c r="H86" s="179"/>
      <c r="I86" s="177"/>
    </row>
    <row r="87" spans="3:9">
      <c r="C87" s="177"/>
      <c r="D87" s="177"/>
      <c r="E87" s="177"/>
      <c r="F87" s="177"/>
      <c r="G87" s="179"/>
      <c r="H87" s="179"/>
      <c r="I87" s="177"/>
    </row>
    <row r="88" spans="3:9">
      <c r="C88" s="177"/>
      <c r="D88" s="177"/>
      <c r="E88" s="177"/>
      <c r="F88" s="177"/>
      <c r="G88" s="179"/>
      <c r="H88" s="179"/>
      <c r="I88" s="177"/>
    </row>
    <row r="89" spans="3:9">
      <c r="C89" s="177"/>
      <c r="D89" s="177"/>
      <c r="E89" s="177"/>
      <c r="F89" s="177"/>
      <c r="G89" s="179"/>
      <c r="H89" s="179"/>
      <c r="I89" s="177"/>
    </row>
    <row r="90" spans="3:9">
      <c r="C90" s="177"/>
      <c r="D90" s="177"/>
      <c r="E90" s="177"/>
      <c r="F90" s="177"/>
      <c r="G90" s="179"/>
      <c r="H90" s="179"/>
      <c r="I90" s="177"/>
    </row>
    <row r="91" spans="3:9">
      <c r="C91" s="177"/>
      <c r="D91" s="177"/>
      <c r="E91" s="177"/>
      <c r="F91" s="177"/>
      <c r="G91" s="179"/>
      <c r="H91" s="179"/>
      <c r="I91" s="177"/>
    </row>
    <row r="92" spans="3:9">
      <c r="C92" s="177"/>
      <c r="D92" s="177"/>
      <c r="E92" s="177"/>
      <c r="F92" s="177"/>
      <c r="G92" s="179"/>
      <c r="H92" s="179"/>
      <c r="I92" s="177"/>
    </row>
    <row r="93" spans="3:9">
      <c r="C93" s="177"/>
      <c r="D93" s="177"/>
      <c r="E93" s="177"/>
      <c r="F93" s="177"/>
      <c r="G93" s="179"/>
      <c r="H93" s="179"/>
      <c r="I93" s="177"/>
    </row>
    <row r="94" spans="3:9">
      <c r="C94" s="177"/>
      <c r="D94" s="177"/>
      <c r="E94" s="177"/>
      <c r="F94" s="177"/>
      <c r="G94" s="179"/>
      <c r="H94" s="179"/>
      <c r="I94" s="177"/>
    </row>
    <row r="95" spans="3:9">
      <c r="C95" s="177"/>
      <c r="D95" s="177"/>
      <c r="E95" s="177"/>
      <c r="F95" s="177"/>
      <c r="G95" s="179"/>
      <c r="H95" s="179"/>
      <c r="I95" s="177"/>
    </row>
    <row r="96" spans="3:9">
      <c r="C96" s="177"/>
      <c r="D96" s="177"/>
      <c r="E96" s="177"/>
      <c r="F96" s="177"/>
      <c r="G96" s="179"/>
      <c r="H96" s="179"/>
      <c r="I96" s="177"/>
    </row>
    <row r="97" spans="3:9">
      <c r="C97" s="177"/>
      <c r="D97" s="177"/>
      <c r="E97" s="177"/>
      <c r="F97" s="177"/>
      <c r="G97" s="179"/>
      <c r="H97" s="179"/>
      <c r="I97" s="177"/>
    </row>
    <row r="98" spans="3:9">
      <c r="C98" s="177"/>
      <c r="D98" s="177"/>
      <c r="E98" s="177"/>
      <c r="F98" s="177"/>
      <c r="G98" s="179"/>
      <c r="H98" s="179"/>
      <c r="I98" s="177"/>
    </row>
    <row r="99" spans="3:9">
      <c r="C99" s="177"/>
      <c r="D99" s="177"/>
      <c r="E99" s="177"/>
      <c r="F99" s="177"/>
      <c r="G99" s="179"/>
      <c r="H99" s="179"/>
      <c r="I99" s="177"/>
    </row>
    <row r="100" spans="3:9">
      <c r="C100" s="177"/>
      <c r="D100" s="177"/>
      <c r="E100" s="177"/>
      <c r="F100" s="177"/>
      <c r="G100" s="179"/>
      <c r="H100" s="179"/>
      <c r="I100" s="177"/>
    </row>
    <row r="101" spans="3:9">
      <c r="C101" s="177"/>
      <c r="D101" s="177"/>
      <c r="E101" s="177"/>
      <c r="F101" s="177"/>
      <c r="G101" s="179"/>
      <c r="H101" s="179"/>
      <c r="I101" s="177"/>
    </row>
    <row r="102" spans="3:9">
      <c r="C102" s="177"/>
      <c r="D102" s="177"/>
      <c r="E102" s="177"/>
      <c r="F102" s="177"/>
      <c r="G102" s="179"/>
      <c r="H102" s="179"/>
      <c r="I102" s="177"/>
    </row>
    <row r="103" spans="3:9">
      <c r="C103" s="177"/>
      <c r="D103" s="177"/>
      <c r="E103" s="177"/>
      <c r="F103" s="177"/>
      <c r="G103" s="179"/>
      <c r="H103" s="179"/>
      <c r="I103" s="177"/>
    </row>
    <row r="104" spans="3:9">
      <c r="C104" s="177"/>
      <c r="D104" s="177"/>
      <c r="E104" s="177"/>
      <c r="F104" s="177"/>
      <c r="G104" s="179"/>
      <c r="H104" s="179"/>
      <c r="I104" s="177"/>
    </row>
    <row r="105" spans="3:9">
      <c r="C105" s="177"/>
      <c r="D105" s="177"/>
      <c r="E105" s="177"/>
      <c r="F105" s="177"/>
      <c r="G105" s="179"/>
      <c r="H105" s="179"/>
      <c r="I105" s="177"/>
    </row>
    <row r="106" spans="3:9">
      <c r="C106" s="177"/>
      <c r="D106" s="177"/>
      <c r="E106" s="177"/>
      <c r="F106" s="177"/>
      <c r="G106" s="179"/>
      <c r="H106" s="179"/>
      <c r="I106" s="177"/>
    </row>
    <row r="107" spans="3:9">
      <c r="C107" s="177"/>
      <c r="D107" s="177"/>
      <c r="E107" s="177"/>
      <c r="F107" s="177"/>
      <c r="G107" s="179"/>
      <c r="H107" s="179"/>
      <c r="I107" s="177"/>
    </row>
    <row r="108" spans="3:9">
      <c r="C108" s="177"/>
      <c r="D108" s="177"/>
      <c r="E108" s="177"/>
      <c r="F108" s="177"/>
      <c r="G108" s="179"/>
      <c r="H108" s="179"/>
      <c r="I108" s="177"/>
    </row>
    <row r="109" spans="3:9">
      <c r="C109" s="177"/>
      <c r="D109" s="177"/>
      <c r="E109" s="177"/>
      <c r="F109" s="177"/>
      <c r="G109" s="179"/>
      <c r="H109" s="179"/>
      <c r="I109" s="177"/>
    </row>
    <row r="110" spans="3:9">
      <c r="C110" s="177"/>
      <c r="D110" s="177"/>
      <c r="E110" s="177"/>
      <c r="F110" s="177"/>
      <c r="G110" s="179"/>
      <c r="H110" s="179"/>
      <c r="I110" s="177"/>
    </row>
    <row r="111" spans="3:9">
      <c r="C111" s="177"/>
      <c r="D111" s="177"/>
      <c r="E111" s="177"/>
      <c r="F111" s="177"/>
      <c r="G111" s="179"/>
      <c r="H111" s="179"/>
      <c r="I111" s="177"/>
    </row>
    <row r="112" spans="3:9">
      <c r="C112" s="177"/>
      <c r="D112" s="177"/>
      <c r="E112" s="177"/>
      <c r="F112" s="177"/>
      <c r="G112" s="179"/>
      <c r="H112" s="179"/>
      <c r="I112" s="177"/>
    </row>
    <row r="113" spans="3:9">
      <c r="C113" s="177"/>
      <c r="D113" s="177"/>
      <c r="E113" s="177"/>
      <c r="F113" s="177"/>
      <c r="G113" s="179"/>
      <c r="H113" s="179"/>
      <c r="I113" s="177"/>
    </row>
    <row r="114" spans="3:9">
      <c r="C114" s="177"/>
      <c r="D114" s="177"/>
      <c r="E114" s="177"/>
      <c r="F114" s="177"/>
      <c r="G114" s="179"/>
      <c r="H114" s="179"/>
      <c r="I114" s="177"/>
    </row>
    <row r="115" spans="3:9">
      <c r="C115" s="177"/>
      <c r="D115" s="177"/>
      <c r="E115" s="177"/>
      <c r="F115" s="177"/>
      <c r="G115" s="179"/>
      <c r="H115" s="179"/>
      <c r="I115" s="177"/>
    </row>
    <row r="116" spans="3:9">
      <c r="C116" s="177"/>
      <c r="D116" s="177"/>
      <c r="E116" s="177"/>
      <c r="F116" s="177"/>
      <c r="G116" s="179"/>
      <c r="H116" s="179"/>
      <c r="I116" s="177"/>
    </row>
    <row r="117" spans="3:9">
      <c r="C117" s="177"/>
      <c r="D117" s="177"/>
      <c r="E117" s="177"/>
      <c r="F117" s="177"/>
      <c r="G117" s="179"/>
      <c r="H117" s="179"/>
      <c r="I117" s="177"/>
    </row>
    <row r="118" spans="3:9">
      <c r="C118" s="177"/>
      <c r="D118" s="177"/>
      <c r="E118" s="177"/>
      <c r="F118" s="177"/>
      <c r="G118" s="179"/>
      <c r="H118" s="179"/>
      <c r="I118" s="177"/>
    </row>
    <row r="119" spans="3:9">
      <c r="C119" s="177"/>
      <c r="D119" s="177"/>
      <c r="E119" s="177"/>
      <c r="F119" s="177"/>
      <c r="G119" s="179"/>
      <c r="H119" s="179"/>
      <c r="I119" s="177"/>
    </row>
    <row r="120" spans="3:9">
      <c r="C120" s="177"/>
      <c r="D120" s="177"/>
      <c r="E120" s="177"/>
      <c r="F120" s="177"/>
      <c r="G120" s="179"/>
      <c r="H120" s="179"/>
      <c r="I120" s="177"/>
    </row>
    <row r="121" spans="3:9">
      <c r="C121" s="177"/>
      <c r="D121" s="177"/>
      <c r="E121" s="177"/>
      <c r="F121" s="177"/>
      <c r="G121" s="179"/>
      <c r="H121" s="179"/>
      <c r="I121" s="177"/>
    </row>
    <row r="122" spans="3:9">
      <c r="C122" s="177"/>
      <c r="D122" s="177"/>
      <c r="E122" s="177"/>
      <c r="F122" s="177"/>
      <c r="G122" s="179"/>
      <c r="H122" s="179"/>
      <c r="I122" s="177"/>
    </row>
    <row r="123" spans="3:9">
      <c r="C123" s="177"/>
      <c r="D123" s="177"/>
      <c r="E123" s="177"/>
      <c r="F123" s="177"/>
      <c r="G123" s="179"/>
      <c r="H123" s="179"/>
      <c r="I123" s="177"/>
    </row>
    <row r="124" spans="3:9">
      <c r="C124" s="177"/>
      <c r="D124" s="177"/>
      <c r="E124" s="177"/>
      <c r="F124" s="177"/>
      <c r="G124" s="179"/>
      <c r="H124" s="179"/>
      <c r="I124" s="177"/>
    </row>
    <row r="125" spans="3:9">
      <c r="C125" s="177"/>
      <c r="D125" s="177"/>
      <c r="E125" s="177"/>
      <c r="F125" s="177"/>
      <c r="G125" s="179"/>
      <c r="H125" s="179"/>
      <c r="I125" s="177"/>
    </row>
    <row r="126" spans="3:9">
      <c r="C126" s="177"/>
      <c r="D126" s="177"/>
      <c r="E126" s="177"/>
      <c r="F126" s="177"/>
      <c r="G126" s="179"/>
      <c r="H126" s="179"/>
      <c r="I126" s="177"/>
    </row>
    <row r="127" spans="3:9">
      <c r="C127" s="177"/>
      <c r="D127" s="177"/>
      <c r="E127" s="177"/>
      <c r="F127" s="177"/>
      <c r="G127" s="179"/>
      <c r="H127" s="179"/>
      <c r="I127" s="177"/>
    </row>
    <row r="128" spans="3:9">
      <c r="C128" s="177"/>
      <c r="D128" s="177"/>
      <c r="E128" s="177"/>
      <c r="F128" s="177"/>
      <c r="G128" s="179"/>
      <c r="H128" s="179"/>
      <c r="I128" s="177"/>
    </row>
    <row r="129" spans="3:9">
      <c r="C129" s="177"/>
      <c r="D129" s="177"/>
      <c r="E129" s="177"/>
      <c r="F129" s="177"/>
      <c r="G129" s="179"/>
      <c r="H129" s="179"/>
      <c r="I129" s="177"/>
    </row>
    <row r="130" spans="3:9">
      <c r="C130" s="177"/>
      <c r="D130" s="177"/>
      <c r="E130" s="177"/>
      <c r="F130" s="177"/>
      <c r="G130" s="179"/>
      <c r="H130" s="179"/>
      <c r="I130" s="177"/>
    </row>
    <row r="131" spans="3:9">
      <c r="C131" s="177"/>
      <c r="D131" s="177"/>
      <c r="E131" s="177"/>
      <c r="F131" s="177"/>
      <c r="G131" s="179"/>
      <c r="H131" s="179"/>
      <c r="I131" s="177"/>
    </row>
    <row r="132" spans="3:9">
      <c r="C132" s="177"/>
      <c r="D132" s="177"/>
      <c r="E132" s="177"/>
      <c r="F132" s="177"/>
      <c r="G132" s="179"/>
      <c r="H132" s="179"/>
      <c r="I132" s="177"/>
    </row>
    <row r="133" spans="3:9">
      <c r="C133" s="177"/>
      <c r="D133" s="177"/>
      <c r="E133" s="177"/>
      <c r="F133" s="177"/>
      <c r="G133" s="179"/>
      <c r="H133" s="179"/>
      <c r="I133" s="177"/>
    </row>
    <row r="134" spans="3:9">
      <c r="C134" s="177"/>
      <c r="D134" s="177"/>
      <c r="E134" s="177"/>
      <c r="F134" s="177"/>
      <c r="G134" s="179"/>
      <c r="H134" s="179"/>
      <c r="I134" s="177"/>
    </row>
    <row r="135" spans="3:9">
      <c r="C135" s="177"/>
      <c r="D135" s="177"/>
      <c r="E135" s="177"/>
      <c r="F135" s="177"/>
      <c r="G135" s="179"/>
      <c r="H135" s="179"/>
      <c r="I135" s="177"/>
    </row>
    <row r="136" spans="3:9">
      <c r="C136" s="177"/>
      <c r="D136" s="177"/>
      <c r="E136" s="177"/>
      <c r="F136" s="177"/>
      <c r="G136" s="179"/>
      <c r="H136" s="179"/>
      <c r="I136" s="177"/>
    </row>
    <row r="137" spans="3:9">
      <c r="C137" s="177"/>
      <c r="D137" s="177"/>
      <c r="E137" s="177"/>
      <c r="F137" s="177"/>
      <c r="G137" s="179"/>
      <c r="H137" s="179"/>
      <c r="I137" s="177"/>
    </row>
    <row r="138" spans="3:9">
      <c r="C138" s="177"/>
      <c r="D138" s="177"/>
      <c r="E138" s="177"/>
      <c r="F138" s="177"/>
      <c r="G138" s="179"/>
      <c r="H138" s="179"/>
      <c r="I138" s="177"/>
    </row>
    <row r="139" spans="3:9">
      <c r="C139" s="177"/>
      <c r="D139" s="177"/>
      <c r="E139" s="177"/>
      <c r="F139" s="177"/>
      <c r="G139" s="179"/>
      <c r="H139" s="179"/>
      <c r="I139" s="177"/>
    </row>
    <row r="140" spans="3:9">
      <c r="C140" s="177"/>
      <c r="D140" s="177"/>
      <c r="E140" s="177"/>
      <c r="F140" s="177"/>
      <c r="G140" s="179"/>
      <c r="H140" s="179"/>
      <c r="I140" s="177"/>
    </row>
    <row r="141" spans="3:9">
      <c r="C141" s="177"/>
      <c r="D141" s="177"/>
      <c r="E141" s="177"/>
      <c r="F141" s="177"/>
      <c r="G141" s="179"/>
      <c r="H141" s="179"/>
      <c r="I141" s="177"/>
    </row>
    <row r="142" spans="3:9">
      <c r="C142" s="177"/>
      <c r="D142" s="177"/>
      <c r="E142" s="177"/>
      <c r="F142" s="177"/>
      <c r="G142" s="179"/>
      <c r="H142" s="179"/>
      <c r="I142" s="177"/>
    </row>
    <row r="143" spans="3:9">
      <c r="C143" s="177"/>
      <c r="D143" s="177"/>
      <c r="E143" s="177"/>
      <c r="F143" s="177"/>
      <c r="G143" s="179"/>
      <c r="H143" s="179"/>
      <c r="I143" s="177"/>
    </row>
    <row r="144" spans="3:9">
      <c r="C144" s="177"/>
      <c r="D144" s="177"/>
      <c r="E144" s="177"/>
      <c r="F144" s="177"/>
      <c r="G144" s="179"/>
      <c r="H144" s="179"/>
      <c r="I144" s="177"/>
    </row>
    <row r="145" spans="3:9">
      <c r="C145" s="177"/>
      <c r="D145" s="177"/>
      <c r="E145" s="177"/>
      <c r="F145" s="177"/>
      <c r="G145" s="179"/>
      <c r="H145" s="179"/>
      <c r="I145" s="177"/>
    </row>
    <row r="146" spans="3:9">
      <c r="C146" s="177"/>
      <c r="D146" s="177"/>
      <c r="E146" s="177"/>
      <c r="F146" s="177"/>
      <c r="G146" s="179"/>
      <c r="H146" s="179"/>
      <c r="I146" s="177"/>
    </row>
    <row r="147" spans="3:9">
      <c r="C147" s="177"/>
      <c r="D147" s="177"/>
      <c r="E147" s="177"/>
      <c r="F147" s="177"/>
      <c r="G147" s="179"/>
      <c r="H147" s="179"/>
      <c r="I147" s="177"/>
    </row>
    <row r="148" spans="3:9">
      <c r="C148" s="177"/>
      <c r="D148" s="177"/>
      <c r="E148" s="177"/>
      <c r="F148" s="177"/>
      <c r="G148" s="179"/>
      <c r="H148" s="179"/>
      <c r="I148" s="177"/>
    </row>
    <row r="149" spans="3:9">
      <c r="C149" s="177"/>
      <c r="D149" s="177"/>
      <c r="E149" s="177"/>
      <c r="F149" s="177"/>
      <c r="G149" s="179"/>
      <c r="H149" s="179"/>
      <c r="I149" s="177"/>
    </row>
    <row r="150" spans="3:9">
      <c r="C150" s="177"/>
      <c r="D150" s="177"/>
      <c r="E150" s="177"/>
      <c r="F150" s="177"/>
      <c r="G150" s="179"/>
      <c r="H150" s="179"/>
      <c r="I150" s="177"/>
    </row>
    <row r="151" spans="3:9">
      <c r="C151" s="177"/>
      <c r="D151" s="177"/>
      <c r="E151" s="177"/>
      <c r="F151" s="177"/>
      <c r="G151" s="179"/>
      <c r="H151" s="179"/>
      <c r="I151" s="177"/>
    </row>
    <row r="152" spans="3:9">
      <c r="C152" s="177"/>
      <c r="D152" s="177"/>
      <c r="E152" s="177"/>
      <c r="F152" s="177"/>
      <c r="G152" s="179"/>
      <c r="H152" s="179"/>
      <c r="I152" s="177"/>
    </row>
    <row r="153" spans="3:9">
      <c r="C153" s="177"/>
      <c r="D153" s="177"/>
      <c r="E153" s="177"/>
      <c r="F153" s="177"/>
      <c r="G153" s="179"/>
      <c r="H153" s="179"/>
      <c r="I153" s="177"/>
    </row>
    <row r="154" spans="3:9">
      <c r="C154" s="177"/>
      <c r="D154" s="177"/>
      <c r="E154" s="177"/>
      <c r="F154" s="177"/>
      <c r="G154" s="179"/>
      <c r="H154" s="179"/>
      <c r="I154" s="177"/>
    </row>
    <row r="155" spans="3:9">
      <c r="C155" s="177"/>
      <c r="D155" s="177"/>
      <c r="E155" s="177"/>
      <c r="F155" s="177"/>
      <c r="G155" s="179"/>
      <c r="H155" s="179"/>
      <c r="I155" s="177"/>
    </row>
    <row r="156" spans="3:9">
      <c r="C156" s="177"/>
      <c r="D156" s="177"/>
      <c r="E156" s="177"/>
      <c r="F156" s="177"/>
      <c r="G156" s="179"/>
      <c r="H156" s="179"/>
      <c r="I156" s="177"/>
    </row>
    <row r="157" spans="3:9">
      <c r="C157" s="177"/>
      <c r="D157" s="177"/>
      <c r="E157" s="177"/>
      <c r="F157" s="177"/>
      <c r="G157" s="179"/>
      <c r="H157" s="179"/>
      <c r="I157" s="177"/>
    </row>
    <row r="158" spans="3:9">
      <c r="C158" s="177"/>
      <c r="D158" s="177"/>
      <c r="E158" s="177"/>
      <c r="F158" s="177"/>
      <c r="G158" s="179"/>
      <c r="H158" s="179"/>
      <c r="I158" s="177"/>
    </row>
    <row r="159" spans="3:9">
      <c r="C159" s="177"/>
      <c r="D159" s="177"/>
      <c r="E159" s="177"/>
      <c r="F159" s="177"/>
      <c r="G159" s="179"/>
      <c r="H159" s="179"/>
      <c r="I159" s="177"/>
    </row>
    <row r="160" spans="3:9">
      <c r="C160" s="177"/>
      <c r="D160" s="177"/>
      <c r="E160" s="177"/>
      <c r="F160" s="177"/>
      <c r="G160" s="179"/>
      <c r="H160" s="179"/>
      <c r="I160" s="177"/>
    </row>
    <row r="161" spans="3:9">
      <c r="C161" s="177"/>
      <c r="D161" s="177"/>
      <c r="E161" s="177"/>
      <c r="F161" s="177"/>
      <c r="G161" s="179"/>
      <c r="H161" s="179"/>
      <c r="I161" s="177"/>
    </row>
    <row r="162" spans="3:9">
      <c r="C162" s="177"/>
      <c r="D162" s="177"/>
      <c r="E162" s="177"/>
      <c r="F162" s="177"/>
      <c r="G162" s="179"/>
      <c r="H162" s="179"/>
      <c r="I162" s="177"/>
    </row>
    <row r="163" spans="3:9">
      <c r="C163" s="177"/>
      <c r="D163" s="177"/>
      <c r="E163" s="177"/>
      <c r="F163" s="177"/>
      <c r="G163" s="179"/>
      <c r="H163" s="179"/>
      <c r="I163" s="177"/>
    </row>
    <row r="164" spans="3:9">
      <c r="C164" s="177"/>
      <c r="D164" s="177"/>
      <c r="E164" s="177"/>
      <c r="F164" s="177"/>
      <c r="G164" s="179"/>
      <c r="H164" s="179"/>
      <c r="I164" s="177"/>
    </row>
    <row r="165" spans="3:9">
      <c r="C165" s="177"/>
      <c r="D165" s="177"/>
      <c r="E165" s="177"/>
      <c r="F165" s="177"/>
      <c r="G165" s="179"/>
      <c r="H165" s="179"/>
      <c r="I165" s="177"/>
    </row>
    <row r="166" spans="3:9">
      <c r="C166" s="177"/>
      <c r="D166" s="177"/>
      <c r="E166" s="177"/>
      <c r="F166" s="177"/>
      <c r="G166" s="179"/>
      <c r="H166" s="179"/>
      <c r="I166" s="177"/>
    </row>
    <row r="167" spans="3:9">
      <c r="C167" s="177"/>
      <c r="D167" s="177"/>
      <c r="E167" s="177"/>
      <c r="F167" s="177"/>
      <c r="G167" s="179"/>
      <c r="H167" s="179"/>
      <c r="I167" s="177"/>
    </row>
    <row r="168" spans="3:9">
      <c r="C168" s="177"/>
      <c r="D168" s="177"/>
      <c r="E168" s="177"/>
      <c r="F168" s="177"/>
      <c r="G168" s="179"/>
      <c r="H168" s="179"/>
      <c r="I168" s="177"/>
    </row>
    <row r="169" spans="3:9">
      <c r="C169" s="177"/>
      <c r="D169" s="177"/>
      <c r="E169" s="177"/>
      <c r="F169" s="177"/>
      <c r="G169" s="179"/>
      <c r="H169" s="179"/>
      <c r="I169" s="177"/>
    </row>
    <row r="170" spans="3:9">
      <c r="C170" s="177"/>
      <c r="D170" s="177"/>
      <c r="E170" s="177"/>
      <c r="F170" s="177"/>
      <c r="G170" s="179"/>
      <c r="H170" s="179"/>
      <c r="I170" s="177"/>
    </row>
    <row r="171" spans="3:9">
      <c r="C171" s="177"/>
      <c r="D171" s="177"/>
      <c r="E171" s="177"/>
      <c r="F171" s="177"/>
      <c r="G171" s="179"/>
      <c r="H171" s="179"/>
      <c r="I171" s="177"/>
    </row>
    <row r="172" spans="3:9">
      <c r="C172" s="177"/>
      <c r="D172" s="177"/>
      <c r="E172" s="177"/>
      <c r="F172" s="177"/>
      <c r="G172" s="179"/>
      <c r="H172" s="179"/>
      <c r="I172" s="177"/>
    </row>
    <row r="173" spans="3:9">
      <c r="C173" s="177"/>
      <c r="D173" s="177"/>
      <c r="E173" s="177"/>
      <c r="F173" s="177"/>
      <c r="G173" s="179"/>
      <c r="H173" s="179"/>
      <c r="I173" s="177"/>
    </row>
    <row r="174" spans="3:9">
      <c r="C174" s="177"/>
      <c r="D174" s="177"/>
      <c r="E174" s="177"/>
      <c r="F174" s="177"/>
      <c r="G174" s="179"/>
      <c r="H174" s="179"/>
      <c r="I174" s="177"/>
    </row>
    <row r="175" spans="3:9">
      <c r="C175" s="177"/>
      <c r="D175" s="177"/>
      <c r="E175" s="177"/>
      <c r="F175" s="177"/>
      <c r="G175" s="179"/>
      <c r="H175" s="179"/>
      <c r="I175" s="177"/>
    </row>
    <row r="176" spans="3:9">
      <c r="C176" s="177"/>
      <c r="D176" s="177"/>
      <c r="E176" s="177"/>
      <c r="F176" s="177"/>
      <c r="G176" s="179"/>
      <c r="H176" s="179"/>
      <c r="I176" s="177"/>
    </row>
    <row r="177" spans="3:9">
      <c r="C177" s="177"/>
      <c r="D177" s="177"/>
      <c r="E177" s="177"/>
      <c r="F177" s="177"/>
      <c r="G177" s="179"/>
      <c r="H177" s="179"/>
      <c r="I177" s="177"/>
    </row>
    <row r="178" spans="3:9">
      <c r="C178" s="177"/>
      <c r="D178" s="177"/>
      <c r="E178" s="177"/>
      <c r="F178" s="177"/>
      <c r="G178" s="179"/>
      <c r="H178" s="179"/>
      <c r="I178" s="177"/>
    </row>
    <row r="179" spans="3:9">
      <c r="C179" s="177"/>
      <c r="D179" s="177"/>
      <c r="E179" s="177"/>
      <c r="F179" s="177"/>
      <c r="G179" s="179"/>
      <c r="H179" s="179"/>
      <c r="I179" s="177"/>
    </row>
    <row r="180" spans="3:9">
      <c r="C180" s="177"/>
      <c r="D180" s="177"/>
      <c r="E180" s="177"/>
      <c r="F180" s="177"/>
      <c r="G180" s="179"/>
      <c r="H180" s="179"/>
      <c r="I180" s="177"/>
    </row>
    <row r="181" spans="3:9">
      <c r="C181" s="177"/>
      <c r="D181" s="177"/>
      <c r="E181" s="177"/>
      <c r="F181" s="177"/>
      <c r="G181" s="179"/>
      <c r="H181" s="179"/>
      <c r="I181" s="177"/>
    </row>
    <row r="182" spans="3:9">
      <c r="C182" s="177"/>
      <c r="D182" s="177"/>
      <c r="E182" s="177"/>
      <c r="F182" s="177"/>
      <c r="G182" s="179"/>
      <c r="H182" s="179"/>
      <c r="I182" s="177"/>
    </row>
    <row r="183" spans="3:9">
      <c r="C183" s="177"/>
      <c r="D183" s="177"/>
      <c r="E183" s="177"/>
      <c r="F183" s="177"/>
      <c r="G183" s="179"/>
      <c r="H183" s="179"/>
      <c r="I183" s="177"/>
    </row>
    <row r="184" spans="3:9">
      <c r="C184" s="177"/>
      <c r="D184" s="177"/>
      <c r="E184" s="177"/>
      <c r="F184" s="177"/>
      <c r="G184" s="179"/>
      <c r="H184" s="179"/>
      <c r="I184" s="177"/>
    </row>
    <row r="185" spans="3:9">
      <c r="C185" s="177"/>
      <c r="D185" s="177"/>
      <c r="E185" s="177"/>
      <c r="F185" s="177"/>
      <c r="G185" s="179"/>
      <c r="H185" s="179"/>
      <c r="I185" s="177"/>
    </row>
    <row r="186" spans="3:9">
      <c r="C186" s="177"/>
      <c r="D186" s="177"/>
      <c r="E186" s="177"/>
      <c r="F186" s="177"/>
      <c r="G186" s="179"/>
      <c r="H186" s="179"/>
      <c r="I186" s="177"/>
    </row>
    <row r="187" spans="3:9">
      <c r="C187" s="177"/>
      <c r="D187" s="177"/>
      <c r="E187" s="177"/>
      <c r="F187" s="177"/>
      <c r="G187" s="179"/>
      <c r="H187" s="179"/>
      <c r="I187" s="177"/>
    </row>
    <row r="188" spans="3:9">
      <c r="C188" s="177"/>
      <c r="D188" s="177"/>
      <c r="E188" s="177"/>
      <c r="F188" s="177"/>
      <c r="G188" s="179"/>
      <c r="H188" s="179"/>
      <c r="I188" s="177"/>
    </row>
    <row r="189" spans="3:9">
      <c r="C189" s="177"/>
      <c r="D189" s="177"/>
      <c r="E189" s="177"/>
      <c r="F189" s="177"/>
      <c r="G189" s="179"/>
      <c r="H189" s="179"/>
      <c r="I189" s="177"/>
    </row>
    <row r="190" spans="3:9">
      <c r="C190" s="177"/>
      <c r="D190" s="177"/>
      <c r="E190" s="177"/>
      <c r="F190" s="177"/>
      <c r="G190" s="179"/>
      <c r="H190" s="179"/>
      <c r="I190" s="177"/>
    </row>
    <row r="191" spans="3:9">
      <c r="C191" s="177"/>
      <c r="D191" s="177"/>
      <c r="E191" s="177"/>
      <c r="F191" s="177"/>
      <c r="G191" s="179"/>
      <c r="H191" s="179"/>
      <c r="I191" s="177"/>
    </row>
    <row r="192" spans="3:9">
      <c r="C192" s="177"/>
      <c r="D192" s="177"/>
      <c r="E192" s="177"/>
      <c r="F192" s="177"/>
      <c r="G192" s="179"/>
      <c r="H192" s="179"/>
      <c r="I192" s="177"/>
    </row>
    <row r="193" spans="3:9">
      <c r="C193" s="177"/>
      <c r="D193" s="177"/>
      <c r="E193" s="177"/>
      <c r="F193" s="177"/>
      <c r="G193" s="179"/>
      <c r="H193" s="179"/>
      <c r="I193" s="177"/>
    </row>
    <row r="194" spans="3:9">
      <c r="C194" s="177"/>
      <c r="D194" s="177"/>
      <c r="E194" s="177"/>
      <c r="F194" s="177"/>
      <c r="G194" s="179"/>
      <c r="H194" s="179"/>
      <c r="I194" s="177"/>
    </row>
    <row r="195" spans="3:9">
      <c r="C195" s="177"/>
      <c r="D195" s="177"/>
      <c r="E195" s="177"/>
      <c r="F195" s="177"/>
      <c r="G195" s="179"/>
      <c r="H195" s="179"/>
      <c r="I195" s="177"/>
    </row>
    <row r="196" spans="3:9">
      <c r="C196" s="177"/>
      <c r="D196" s="177"/>
      <c r="E196" s="177"/>
      <c r="F196" s="177"/>
      <c r="G196" s="179"/>
      <c r="H196" s="179"/>
      <c r="I196" s="177"/>
    </row>
    <row r="197" spans="3:9">
      <c r="C197" s="177"/>
      <c r="D197" s="177"/>
      <c r="E197" s="177"/>
      <c r="F197" s="177"/>
      <c r="G197" s="179"/>
      <c r="H197" s="179"/>
      <c r="I197" s="177"/>
    </row>
    <row r="198" spans="3:9">
      <c r="C198" s="177"/>
      <c r="D198" s="177"/>
      <c r="E198" s="177"/>
      <c r="F198" s="177"/>
      <c r="G198" s="179"/>
      <c r="H198" s="179"/>
      <c r="I198" s="177"/>
    </row>
    <row r="199" spans="3:9">
      <c r="C199" s="177"/>
      <c r="D199" s="177"/>
      <c r="E199" s="177"/>
      <c r="F199" s="177"/>
      <c r="G199" s="179"/>
      <c r="H199" s="179"/>
      <c r="I199" s="177"/>
    </row>
    <row r="200" spans="3:9">
      <c r="C200" s="177"/>
      <c r="D200" s="177"/>
      <c r="E200" s="177"/>
      <c r="F200" s="177"/>
      <c r="G200" s="179"/>
      <c r="H200" s="179"/>
      <c r="I200" s="177"/>
    </row>
    <row r="201" spans="3:9">
      <c r="C201" s="177"/>
      <c r="D201" s="177"/>
      <c r="E201" s="177"/>
      <c r="F201" s="177"/>
      <c r="G201" s="179"/>
      <c r="H201" s="179"/>
      <c r="I201" s="177"/>
    </row>
    <row r="202" spans="3:9">
      <c r="C202" s="177"/>
      <c r="D202" s="177"/>
      <c r="E202" s="177"/>
      <c r="F202" s="177"/>
      <c r="G202" s="179"/>
      <c r="H202" s="179"/>
      <c r="I202" s="177"/>
    </row>
    <row r="203" spans="3:9">
      <c r="C203" s="177"/>
      <c r="D203" s="177"/>
      <c r="E203" s="177"/>
      <c r="F203" s="177"/>
      <c r="G203" s="179"/>
      <c r="H203" s="179"/>
      <c r="I203" s="177"/>
    </row>
    <row r="204" spans="3:9">
      <c r="C204" s="177"/>
      <c r="D204" s="177"/>
      <c r="E204" s="177"/>
      <c r="F204" s="177"/>
      <c r="G204" s="179"/>
      <c r="H204" s="179"/>
      <c r="I204" s="177"/>
    </row>
    <row r="205" spans="3:9">
      <c r="C205" s="177"/>
      <c r="D205" s="177"/>
      <c r="E205" s="177"/>
      <c r="F205" s="177"/>
      <c r="G205" s="179"/>
      <c r="H205" s="179"/>
      <c r="I205" s="177"/>
    </row>
    <row r="206" spans="3:9">
      <c r="C206" s="177"/>
      <c r="D206" s="177"/>
      <c r="E206" s="177"/>
      <c r="F206" s="177"/>
      <c r="G206" s="179"/>
      <c r="H206" s="179"/>
      <c r="I206" s="177"/>
    </row>
    <row r="207" spans="3:9">
      <c r="C207" s="177"/>
      <c r="D207" s="177"/>
      <c r="E207" s="177"/>
      <c r="F207" s="177"/>
      <c r="G207" s="179"/>
      <c r="H207" s="179"/>
      <c r="I207" s="177"/>
    </row>
    <row r="208" spans="3:9">
      <c r="C208" s="177"/>
      <c r="D208" s="177"/>
      <c r="E208" s="177"/>
      <c r="F208" s="177"/>
      <c r="G208" s="179"/>
      <c r="H208" s="179"/>
      <c r="I208" s="177"/>
    </row>
    <row r="209" spans="3:9">
      <c r="C209" s="177"/>
      <c r="D209" s="177"/>
      <c r="E209" s="177"/>
      <c r="F209" s="177"/>
      <c r="G209" s="179"/>
      <c r="H209" s="179"/>
      <c r="I209" s="177"/>
    </row>
    <row r="210" spans="3:9">
      <c r="C210" s="177"/>
      <c r="D210" s="177"/>
      <c r="E210" s="177"/>
      <c r="F210" s="177"/>
      <c r="G210" s="179"/>
      <c r="H210" s="179"/>
      <c r="I210" s="177"/>
    </row>
    <row r="211" spans="3:9">
      <c r="C211" s="177"/>
      <c r="D211" s="177"/>
      <c r="E211" s="177"/>
      <c r="F211" s="177"/>
      <c r="G211" s="179"/>
      <c r="H211" s="179"/>
      <c r="I211" s="177"/>
    </row>
    <row r="212" spans="3:9">
      <c r="C212" s="177"/>
      <c r="D212" s="177"/>
      <c r="E212" s="177"/>
      <c r="F212" s="177"/>
      <c r="G212" s="179"/>
      <c r="H212" s="179"/>
      <c r="I212" s="177"/>
    </row>
    <row r="213" spans="3:9">
      <c r="C213" s="177"/>
      <c r="D213" s="177"/>
      <c r="E213" s="177"/>
      <c r="F213" s="177"/>
      <c r="G213" s="179"/>
      <c r="H213" s="179"/>
      <c r="I213" s="177"/>
    </row>
    <row r="214" spans="3:9">
      <c r="C214" s="177"/>
      <c r="D214" s="177"/>
      <c r="E214" s="177"/>
      <c r="F214" s="177"/>
      <c r="G214" s="179"/>
      <c r="H214" s="179"/>
      <c r="I214" s="177"/>
    </row>
    <row r="215" spans="3:9">
      <c r="C215" s="177"/>
      <c r="D215" s="177"/>
      <c r="E215" s="177"/>
      <c r="F215" s="177"/>
      <c r="G215" s="179"/>
      <c r="H215" s="179"/>
      <c r="I215" s="177"/>
    </row>
    <row r="216" spans="3:9">
      <c r="C216" s="177"/>
      <c r="D216" s="177"/>
      <c r="E216" s="177"/>
      <c r="F216" s="177"/>
      <c r="G216" s="179"/>
      <c r="H216" s="179"/>
      <c r="I216" s="177"/>
    </row>
    <row r="217" spans="3:9">
      <c r="C217" s="177"/>
      <c r="D217" s="177"/>
      <c r="E217" s="177"/>
      <c r="F217" s="177"/>
      <c r="G217" s="179"/>
      <c r="H217" s="179"/>
      <c r="I217" s="177"/>
    </row>
    <row r="218" spans="3:9">
      <c r="C218" s="177"/>
      <c r="D218" s="177"/>
      <c r="E218" s="177"/>
      <c r="F218" s="177"/>
      <c r="G218" s="179"/>
      <c r="H218" s="179"/>
      <c r="I218" s="177"/>
    </row>
    <row r="219" spans="3:9">
      <c r="C219" s="177"/>
      <c r="D219" s="177"/>
      <c r="E219" s="177"/>
      <c r="F219" s="177"/>
      <c r="G219" s="179"/>
      <c r="H219" s="179"/>
      <c r="I219" s="177"/>
    </row>
    <row r="220" spans="3:9">
      <c r="C220" s="177"/>
      <c r="D220" s="177"/>
      <c r="E220" s="177"/>
      <c r="F220" s="177"/>
      <c r="G220" s="179"/>
      <c r="H220" s="179"/>
      <c r="I220" s="177"/>
    </row>
    <row r="221" spans="3:9">
      <c r="C221" s="177"/>
      <c r="D221" s="177"/>
      <c r="E221" s="177"/>
      <c r="F221" s="177"/>
      <c r="G221" s="179"/>
      <c r="H221" s="179"/>
      <c r="I221" s="177"/>
    </row>
    <row r="222" spans="3:9">
      <c r="C222" s="177"/>
      <c r="D222" s="177"/>
      <c r="E222" s="177"/>
      <c r="F222" s="177"/>
      <c r="G222" s="179"/>
      <c r="H222" s="179"/>
      <c r="I222" s="177"/>
    </row>
    <row r="223" spans="3:9">
      <c r="C223" s="177"/>
      <c r="D223" s="177"/>
      <c r="E223" s="177"/>
      <c r="F223" s="177"/>
      <c r="G223" s="179"/>
      <c r="H223" s="179"/>
      <c r="I223" s="177"/>
    </row>
    <row r="224" spans="3:9">
      <c r="C224" s="177"/>
      <c r="D224" s="177"/>
      <c r="E224" s="177"/>
      <c r="F224" s="177"/>
      <c r="G224" s="179"/>
      <c r="H224" s="179"/>
      <c r="I224" s="177"/>
    </row>
    <row r="225" spans="3:9">
      <c r="C225" s="177"/>
      <c r="D225" s="177"/>
      <c r="E225" s="177"/>
      <c r="F225" s="177"/>
      <c r="G225" s="179"/>
      <c r="H225" s="179"/>
      <c r="I225" s="177"/>
    </row>
    <row r="226" spans="3:9">
      <c r="C226" s="177"/>
      <c r="D226" s="177"/>
      <c r="E226" s="177"/>
      <c r="F226" s="177"/>
      <c r="G226" s="179"/>
      <c r="H226" s="179"/>
      <c r="I226" s="177"/>
    </row>
    <row r="227" spans="3:9">
      <c r="C227" s="177"/>
      <c r="D227" s="177"/>
      <c r="E227" s="177"/>
      <c r="F227" s="177"/>
      <c r="G227" s="179"/>
      <c r="H227" s="179"/>
      <c r="I227" s="177"/>
    </row>
    <row r="228" spans="3:9">
      <c r="C228" s="177"/>
      <c r="D228" s="177"/>
      <c r="E228" s="177"/>
      <c r="F228" s="177"/>
      <c r="G228" s="179"/>
      <c r="H228" s="179"/>
      <c r="I228" s="177"/>
    </row>
    <row r="229" spans="3:9">
      <c r="C229" s="177"/>
      <c r="D229" s="177"/>
      <c r="E229" s="177"/>
      <c r="F229" s="177"/>
      <c r="G229" s="179"/>
      <c r="H229" s="179"/>
      <c r="I229" s="177"/>
    </row>
    <row r="230" spans="3:9">
      <c r="C230" s="177"/>
      <c r="D230" s="177"/>
      <c r="E230" s="177"/>
      <c r="F230" s="177"/>
      <c r="G230" s="179"/>
      <c r="H230" s="179"/>
      <c r="I230" s="177"/>
    </row>
    <row r="231" spans="3:9">
      <c r="C231" s="177"/>
      <c r="D231" s="177"/>
      <c r="E231" s="177"/>
      <c r="F231" s="177"/>
      <c r="G231" s="179"/>
      <c r="H231" s="179"/>
      <c r="I231" s="177"/>
    </row>
    <row r="232" spans="3:9">
      <c r="C232" s="177"/>
      <c r="D232" s="177"/>
      <c r="E232" s="177"/>
      <c r="F232" s="177"/>
      <c r="G232" s="179"/>
      <c r="H232" s="179"/>
      <c r="I232" s="177"/>
    </row>
    <row r="233" spans="3:9">
      <c r="C233" s="177"/>
      <c r="D233" s="177"/>
      <c r="E233" s="177"/>
      <c r="F233" s="177"/>
      <c r="G233" s="179"/>
      <c r="H233" s="179"/>
      <c r="I233" s="177"/>
    </row>
    <row r="234" spans="3:9">
      <c r="C234" s="177"/>
      <c r="D234" s="177"/>
      <c r="E234" s="177"/>
      <c r="F234" s="177"/>
      <c r="G234" s="179"/>
      <c r="H234" s="179"/>
      <c r="I234" s="177"/>
    </row>
    <row r="235" spans="3:9">
      <c r="C235" s="177"/>
      <c r="D235" s="177"/>
      <c r="E235" s="177"/>
      <c r="F235" s="177"/>
      <c r="G235" s="179"/>
      <c r="H235" s="179"/>
      <c r="I235" s="177"/>
    </row>
    <row r="236" spans="3:9">
      <c r="C236" s="177"/>
      <c r="D236" s="177"/>
      <c r="E236" s="177"/>
      <c r="F236" s="177"/>
      <c r="G236" s="179"/>
      <c r="H236" s="179"/>
      <c r="I236" s="177"/>
    </row>
    <row r="237" spans="3:9">
      <c r="C237" s="177"/>
      <c r="D237" s="177"/>
      <c r="E237" s="177"/>
      <c r="F237" s="177"/>
      <c r="G237" s="179"/>
      <c r="H237" s="179"/>
      <c r="I237" s="177"/>
    </row>
    <row r="238" spans="3:9">
      <c r="C238" s="177"/>
      <c r="D238" s="177"/>
      <c r="E238" s="177"/>
      <c r="F238" s="177"/>
      <c r="G238" s="179"/>
      <c r="H238" s="179"/>
      <c r="I238" s="177"/>
    </row>
    <row r="239" spans="3:9">
      <c r="C239" s="177"/>
      <c r="D239" s="177"/>
      <c r="E239" s="177"/>
      <c r="F239" s="177"/>
      <c r="G239" s="179"/>
      <c r="H239" s="179"/>
      <c r="I239" s="177"/>
    </row>
    <row r="240" spans="3:9">
      <c r="C240" s="177"/>
      <c r="D240" s="177"/>
      <c r="E240" s="177"/>
      <c r="F240" s="177"/>
      <c r="G240" s="179"/>
      <c r="H240" s="179"/>
      <c r="I240" s="177"/>
    </row>
    <row r="241" spans="3:9">
      <c r="C241" s="177"/>
      <c r="D241" s="177"/>
      <c r="E241" s="177"/>
      <c r="F241" s="177"/>
      <c r="G241" s="179"/>
      <c r="H241" s="179"/>
      <c r="I241" s="177"/>
    </row>
    <row r="242" spans="3:9">
      <c r="C242" s="177"/>
      <c r="D242" s="177"/>
      <c r="E242" s="177"/>
      <c r="F242" s="177"/>
      <c r="G242" s="179"/>
      <c r="H242" s="179"/>
      <c r="I242" s="177"/>
    </row>
    <row r="243" spans="3:9">
      <c r="C243" s="177"/>
      <c r="D243" s="177"/>
      <c r="E243" s="177"/>
      <c r="F243" s="177"/>
      <c r="G243" s="179"/>
      <c r="H243" s="179"/>
      <c r="I243" s="177"/>
    </row>
    <row r="244" spans="3:9">
      <c r="C244" s="177"/>
      <c r="D244" s="177"/>
      <c r="E244" s="177"/>
      <c r="F244" s="177"/>
      <c r="G244" s="179"/>
      <c r="H244" s="179"/>
      <c r="I244" s="177"/>
    </row>
    <row r="245" spans="3:9">
      <c r="C245" s="177"/>
      <c r="D245" s="177"/>
      <c r="E245" s="177"/>
      <c r="F245" s="177"/>
      <c r="G245" s="179"/>
      <c r="H245" s="179"/>
      <c r="I245" s="177"/>
    </row>
    <row r="246" spans="3:9">
      <c r="C246" s="177"/>
      <c r="D246" s="177"/>
      <c r="E246" s="177"/>
      <c r="F246" s="177"/>
      <c r="G246" s="179"/>
      <c r="H246" s="179"/>
      <c r="I246" s="177"/>
    </row>
    <row r="247" spans="3:9">
      <c r="C247" s="177"/>
      <c r="D247" s="177"/>
      <c r="E247" s="177"/>
      <c r="F247" s="177"/>
      <c r="G247" s="179"/>
      <c r="H247" s="179"/>
      <c r="I247" s="177"/>
    </row>
    <row r="248" spans="3:9">
      <c r="C248" s="177"/>
      <c r="D248" s="177"/>
      <c r="E248" s="177"/>
      <c r="F248" s="177"/>
      <c r="G248" s="179"/>
      <c r="H248" s="179"/>
      <c r="I248" s="177"/>
    </row>
    <row r="249" spans="3:9">
      <c r="C249" s="177"/>
      <c r="D249" s="177"/>
      <c r="E249" s="177"/>
      <c r="F249" s="177"/>
      <c r="G249" s="179"/>
      <c r="H249" s="179"/>
      <c r="I249" s="177"/>
    </row>
    <row r="250" spans="3:9">
      <c r="C250" s="177"/>
      <c r="D250" s="177"/>
      <c r="E250" s="177"/>
      <c r="F250" s="177"/>
      <c r="G250" s="179"/>
      <c r="H250" s="179"/>
      <c r="I250" s="177"/>
    </row>
    <row r="251" spans="3:9">
      <c r="C251" s="177"/>
      <c r="D251" s="177"/>
      <c r="E251" s="177"/>
      <c r="F251" s="177"/>
      <c r="G251" s="179"/>
      <c r="H251" s="179"/>
      <c r="I251" s="177"/>
    </row>
    <row r="252" spans="3:9">
      <c r="C252" s="177"/>
      <c r="D252" s="177"/>
      <c r="E252" s="177"/>
      <c r="F252" s="177"/>
      <c r="G252" s="179"/>
      <c r="H252" s="179"/>
      <c r="I252" s="177"/>
    </row>
    <row r="253" spans="3:9">
      <c r="C253" s="177"/>
      <c r="D253" s="177"/>
      <c r="E253" s="177"/>
      <c r="F253" s="177"/>
      <c r="G253" s="179"/>
      <c r="H253" s="179"/>
      <c r="I253" s="177"/>
    </row>
    <row r="254" spans="3:9">
      <c r="C254" s="177"/>
      <c r="D254" s="177"/>
      <c r="E254" s="177"/>
      <c r="F254" s="177"/>
      <c r="G254" s="179"/>
      <c r="H254" s="179"/>
      <c r="I254" s="177"/>
    </row>
    <row r="255" spans="3:9">
      <c r="C255" s="177"/>
      <c r="D255" s="177"/>
      <c r="E255" s="177"/>
      <c r="F255" s="177"/>
      <c r="G255" s="179"/>
      <c r="H255" s="179"/>
      <c r="I255" s="177"/>
    </row>
    <row r="256" spans="3:9">
      <c r="C256" s="177"/>
      <c r="D256" s="177"/>
      <c r="E256" s="177"/>
      <c r="F256" s="177"/>
      <c r="G256" s="179"/>
      <c r="H256" s="179"/>
      <c r="I256" s="177"/>
    </row>
    <row r="257" spans="3:9">
      <c r="C257" s="177"/>
      <c r="D257" s="177"/>
      <c r="E257" s="177"/>
      <c r="F257" s="177"/>
      <c r="G257" s="179"/>
      <c r="H257" s="179"/>
      <c r="I257" s="177"/>
    </row>
    <row r="258" spans="3:9">
      <c r="C258" s="177"/>
      <c r="D258" s="177"/>
      <c r="E258" s="177"/>
      <c r="F258" s="177"/>
      <c r="G258" s="179"/>
      <c r="H258" s="179"/>
      <c r="I258" s="177"/>
    </row>
    <row r="259" spans="3:9">
      <c r="C259" s="177"/>
      <c r="D259" s="177"/>
      <c r="E259" s="177"/>
      <c r="F259" s="177"/>
      <c r="G259" s="179"/>
      <c r="H259" s="179"/>
      <c r="I259" s="177"/>
    </row>
    <row r="260" spans="3:9">
      <c r="C260" s="177"/>
      <c r="D260" s="177"/>
      <c r="E260" s="177"/>
      <c r="F260" s="177"/>
      <c r="G260" s="179"/>
      <c r="H260" s="179"/>
      <c r="I260" s="177"/>
    </row>
    <row r="261" spans="3:9">
      <c r="C261" s="177"/>
      <c r="D261" s="177"/>
      <c r="E261" s="177"/>
      <c r="F261" s="177"/>
      <c r="G261" s="179"/>
      <c r="H261" s="179"/>
      <c r="I261" s="177"/>
    </row>
    <row r="262" spans="3:9">
      <c r="C262" s="177"/>
      <c r="D262" s="177"/>
      <c r="E262" s="177"/>
      <c r="F262" s="177"/>
      <c r="G262" s="179"/>
      <c r="H262" s="179"/>
      <c r="I262" s="177"/>
    </row>
    <row r="263" spans="3:9">
      <c r="C263" s="177"/>
      <c r="D263" s="177"/>
      <c r="E263" s="177"/>
      <c r="F263" s="177"/>
      <c r="G263" s="179"/>
      <c r="H263" s="179"/>
      <c r="I263" s="177"/>
    </row>
    <row r="264" spans="3:9">
      <c r="C264" s="177"/>
      <c r="D264" s="177"/>
      <c r="E264" s="177"/>
      <c r="F264" s="177"/>
      <c r="G264" s="179"/>
      <c r="H264" s="179"/>
      <c r="I264" s="177"/>
    </row>
    <row r="265" spans="3:9">
      <c r="C265" s="177"/>
      <c r="D265" s="177"/>
      <c r="E265" s="177"/>
      <c r="F265" s="177"/>
      <c r="G265" s="179"/>
      <c r="H265" s="179"/>
      <c r="I265" s="177"/>
    </row>
    <row r="266" spans="3:9">
      <c r="C266" s="177"/>
      <c r="D266" s="177"/>
      <c r="E266" s="177"/>
      <c r="F266" s="177"/>
      <c r="G266" s="179"/>
      <c r="H266" s="179"/>
      <c r="I266" s="177"/>
    </row>
    <row r="267" spans="3:9">
      <c r="C267" s="177"/>
      <c r="D267" s="177"/>
      <c r="E267" s="177"/>
      <c r="F267" s="177"/>
      <c r="G267" s="179"/>
      <c r="H267" s="179"/>
      <c r="I267" s="177"/>
    </row>
    <row r="268" spans="3:9">
      <c r="C268" s="177"/>
      <c r="D268" s="177"/>
      <c r="E268" s="177"/>
      <c r="F268" s="177"/>
      <c r="G268" s="179"/>
      <c r="H268" s="179"/>
      <c r="I268" s="177"/>
    </row>
    <row r="269" spans="3:9">
      <c r="C269" s="177"/>
      <c r="D269" s="177"/>
      <c r="E269" s="177"/>
      <c r="F269" s="177"/>
      <c r="G269" s="179"/>
      <c r="H269" s="179"/>
      <c r="I269" s="177"/>
    </row>
    <row r="270" spans="3:9">
      <c r="C270" s="177"/>
      <c r="D270" s="177"/>
      <c r="E270" s="177"/>
      <c r="F270" s="177"/>
      <c r="G270" s="179"/>
      <c r="H270" s="179"/>
      <c r="I270" s="177"/>
    </row>
    <row r="271" spans="3:9">
      <c r="C271" s="177"/>
      <c r="D271" s="177"/>
      <c r="E271" s="177"/>
      <c r="F271" s="177"/>
      <c r="G271" s="179"/>
      <c r="H271" s="179"/>
      <c r="I271" s="177"/>
    </row>
    <row r="272" spans="3:9">
      <c r="C272" s="177"/>
      <c r="D272" s="177"/>
      <c r="E272" s="177"/>
      <c r="F272" s="177"/>
      <c r="G272" s="179"/>
      <c r="H272" s="179"/>
      <c r="I272" s="177"/>
    </row>
    <row r="273" spans="3:9">
      <c r="C273" s="177"/>
      <c r="D273" s="177"/>
      <c r="E273" s="177"/>
      <c r="F273" s="177"/>
      <c r="G273" s="179"/>
      <c r="H273" s="179"/>
      <c r="I273" s="177"/>
    </row>
    <row r="274" spans="3:9">
      <c r="C274" s="177"/>
      <c r="D274" s="177"/>
      <c r="E274" s="177"/>
      <c r="F274" s="177"/>
      <c r="G274" s="179"/>
      <c r="H274" s="179"/>
      <c r="I274" s="177"/>
    </row>
    <row r="275" spans="3:9">
      <c r="C275" s="177"/>
      <c r="D275" s="177"/>
      <c r="E275" s="177"/>
      <c r="F275" s="177"/>
      <c r="G275" s="179"/>
      <c r="H275" s="179"/>
      <c r="I275" s="177"/>
    </row>
    <row r="276" spans="3:9">
      <c r="C276" s="177"/>
      <c r="D276" s="177"/>
      <c r="E276" s="177"/>
      <c r="F276" s="177"/>
      <c r="G276" s="179"/>
      <c r="H276" s="179"/>
      <c r="I276" s="177"/>
    </row>
    <row r="277" spans="3:9">
      <c r="C277" s="177"/>
      <c r="D277" s="177"/>
      <c r="E277" s="177"/>
      <c r="F277" s="177"/>
      <c r="G277" s="179"/>
      <c r="H277" s="179"/>
      <c r="I277" s="177"/>
    </row>
    <row r="278" spans="3:9">
      <c r="C278" s="177"/>
      <c r="D278" s="177"/>
      <c r="E278" s="177"/>
      <c r="F278" s="177"/>
      <c r="G278" s="179"/>
      <c r="H278" s="179"/>
      <c r="I278" s="177"/>
    </row>
    <row r="279" spans="3:9">
      <c r="C279" s="177"/>
      <c r="D279" s="177"/>
      <c r="E279" s="177"/>
      <c r="F279" s="177"/>
      <c r="G279" s="179"/>
      <c r="H279" s="179"/>
      <c r="I279" s="177"/>
    </row>
    <row r="280" spans="3:9">
      <c r="C280" s="177"/>
      <c r="D280" s="177"/>
      <c r="E280" s="177"/>
      <c r="F280" s="177"/>
      <c r="G280" s="179"/>
      <c r="H280" s="179"/>
      <c r="I280" s="177"/>
    </row>
    <row r="281" spans="3:9">
      <c r="C281" s="177"/>
      <c r="D281" s="177"/>
      <c r="E281" s="177"/>
      <c r="F281" s="177"/>
      <c r="G281" s="179"/>
      <c r="H281" s="179"/>
      <c r="I281" s="177"/>
    </row>
    <row r="282" spans="3:9">
      <c r="C282" s="177"/>
      <c r="D282" s="177"/>
      <c r="E282" s="177"/>
      <c r="F282" s="177"/>
      <c r="G282" s="179"/>
      <c r="H282" s="179"/>
      <c r="I282" s="177"/>
    </row>
    <row r="283" spans="3:9">
      <c r="C283" s="177"/>
      <c r="D283" s="177"/>
      <c r="E283" s="177"/>
      <c r="F283" s="177"/>
      <c r="G283" s="179"/>
      <c r="H283" s="179"/>
      <c r="I283" s="177"/>
    </row>
    <row r="284" spans="3:9">
      <c r="C284" s="177"/>
      <c r="D284" s="177"/>
      <c r="E284" s="177"/>
      <c r="F284" s="177"/>
      <c r="G284" s="179"/>
      <c r="H284" s="179"/>
      <c r="I284" s="177"/>
    </row>
    <row r="285" spans="3:9">
      <c r="C285" s="177"/>
      <c r="D285" s="177"/>
      <c r="E285" s="177"/>
      <c r="F285" s="177"/>
      <c r="G285" s="179"/>
      <c r="H285" s="179"/>
      <c r="I285" s="177"/>
    </row>
    <row r="286" spans="3:9">
      <c r="C286" s="177"/>
      <c r="D286" s="177"/>
      <c r="E286" s="177"/>
      <c r="F286" s="177"/>
      <c r="G286" s="179"/>
      <c r="H286" s="179"/>
      <c r="I286" s="177"/>
    </row>
    <row r="287" spans="3:9">
      <c r="C287" s="177"/>
      <c r="D287" s="177"/>
      <c r="E287" s="177"/>
      <c r="F287" s="177"/>
      <c r="G287" s="179"/>
      <c r="H287" s="179"/>
      <c r="I287" s="177"/>
    </row>
    <row r="288" spans="3:9">
      <c r="C288" s="177"/>
      <c r="D288" s="177"/>
      <c r="E288" s="177"/>
      <c r="F288" s="177"/>
      <c r="G288" s="179"/>
      <c r="H288" s="179"/>
      <c r="I288" s="177"/>
    </row>
    <row r="289" spans="3:9">
      <c r="C289" s="177"/>
      <c r="D289" s="177"/>
      <c r="E289" s="177"/>
      <c r="F289" s="177"/>
      <c r="G289" s="179"/>
      <c r="H289" s="179"/>
      <c r="I289" s="177"/>
    </row>
    <row r="290" spans="3:9">
      <c r="C290" s="177"/>
      <c r="D290" s="177"/>
      <c r="E290" s="177"/>
      <c r="F290" s="177"/>
      <c r="G290" s="179"/>
      <c r="H290" s="179"/>
      <c r="I290" s="177"/>
    </row>
    <row r="291" spans="3:9">
      <c r="C291" s="177"/>
      <c r="D291" s="177"/>
      <c r="E291" s="177"/>
      <c r="F291" s="177"/>
      <c r="G291" s="179"/>
      <c r="H291" s="179"/>
      <c r="I291" s="177"/>
    </row>
    <row r="292" spans="3:9">
      <c r="C292" s="177"/>
      <c r="D292" s="177"/>
      <c r="E292" s="177"/>
      <c r="F292" s="177"/>
      <c r="G292" s="179"/>
      <c r="H292" s="179"/>
      <c r="I292" s="177"/>
    </row>
    <row r="293" spans="3:9">
      <c r="C293" s="177"/>
      <c r="D293" s="177"/>
      <c r="E293" s="177"/>
      <c r="F293" s="177"/>
      <c r="G293" s="179"/>
      <c r="H293" s="179"/>
      <c r="I293" s="177"/>
    </row>
    <row r="294" spans="3:9">
      <c r="C294" s="177"/>
      <c r="D294" s="177"/>
      <c r="E294" s="177"/>
      <c r="F294" s="177"/>
      <c r="G294" s="179"/>
      <c r="H294" s="179"/>
      <c r="I294" s="177"/>
    </row>
    <row r="295" spans="3:9">
      <c r="C295" s="177"/>
      <c r="D295" s="177"/>
      <c r="E295" s="177"/>
      <c r="F295" s="177"/>
      <c r="G295" s="179"/>
      <c r="H295" s="179"/>
      <c r="I295" s="177"/>
    </row>
    <row r="296" spans="3:9">
      <c r="C296" s="177"/>
      <c r="D296" s="177"/>
      <c r="E296" s="177"/>
      <c r="F296" s="177"/>
      <c r="G296" s="179"/>
      <c r="H296" s="179"/>
      <c r="I296" s="177"/>
    </row>
    <row r="297" spans="3:9">
      <c r="C297" s="177"/>
      <c r="D297" s="177"/>
      <c r="E297" s="177"/>
      <c r="F297" s="177"/>
      <c r="G297" s="179"/>
      <c r="H297" s="179"/>
      <c r="I297" s="177"/>
    </row>
    <row r="298" spans="3:9">
      <c r="C298" s="177"/>
      <c r="D298" s="177"/>
      <c r="E298" s="177"/>
      <c r="F298" s="177"/>
      <c r="G298" s="179"/>
      <c r="H298" s="179"/>
      <c r="I298" s="177"/>
    </row>
    <row r="299" spans="3:9">
      <c r="C299" s="177"/>
      <c r="D299" s="177"/>
      <c r="E299" s="177"/>
      <c r="F299" s="177"/>
      <c r="G299" s="179"/>
      <c r="H299" s="179"/>
      <c r="I299" s="177"/>
    </row>
    <row r="300" spans="3:9">
      <c r="C300" s="177"/>
      <c r="D300" s="177"/>
      <c r="E300" s="177"/>
      <c r="F300" s="177"/>
      <c r="G300" s="179"/>
      <c r="H300" s="179"/>
      <c r="I300" s="177"/>
    </row>
    <row r="301" spans="3:9">
      <c r="C301" s="177"/>
      <c r="D301" s="177"/>
      <c r="E301" s="177"/>
      <c r="F301" s="177"/>
      <c r="G301" s="179"/>
      <c r="H301" s="179"/>
      <c r="I301" s="177"/>
    </row>
    <row r="302" spans="3:9">
      <c r="C302" s="177"/>
      <c r="D302" s="177"/>
      <c r="E302" s="177"/>
      <c r="F302" s="177"/>
      <c r="G302" s="179"/>
      <c r="H302" s="179"/>
      <c r="I302" s="177"/>
    </row>
    <row r="303" spans="3:9">
      <c r="C303" s="177"/>
      <c r="D303" s="177"/>
      <c r="E303" s="177"/>
      <c r="F303" s="177"/>
      <c r="G303" s="179"/>
      <c r="H303" s="179"/>
      <c r="I303" s="177"/>
    </row>
    <row r="304" spans="3:9">
      <c r="C304" s="177"/>
      <c r="D304" s="177"/>
      <c r="E304" s="177"/>
      <c r="F304" s="177"/>
      <c r="G304" s="179"/>
      <c r="H304" s="179"/>
      <c r="I304" s="177"/>
    </row>
    <row r="305" spans="3:9">
      <c r="C305" s="177"/>
      <c r="D305" s="177"/>
      <c r="E305" s="177"/>
      <c r="F305" s="177"/>
      <c r="G305" s="179"/>
      <c r="H305" s="179"/>
      <c r="I305" s="177"/>
    </row>
    <row r="306" spans="3:9">
      <c r="C306" s="177"/>
      <c r="D306" s="177"/>
      <c r="E306" s="177"/>
      <c r="F306" s="177"/>
      <c r="G306" s="179"/>
      <c r="H306" s="179"/>
      <c r="I306" s="177"/>
    </row>
    <row r="307" spans="3:9">
      <c r="C307" s="177"/>
      <c r="D307" s="177"/>
      <c r="E307" s="177"/>
      <c r="F307" s="177"/>
      <c r="G307" s="179"/>
      <c r="H307" s="179"/>
      <c r="I307" s="177"/>
    </row>
    <row r="308" spans="3:9">
      <c r="C308" s="177"/>
      <c r="D308" s="177"/>
      <c r="E308" s="177"/>
      <c r="F308" s="177"/>
      <c r="G308" s="179"/>
      <c r="H308" s="179"/>
      <c r="I308" s="177"/>
    </row>
    <row r="309" spans="3:9">
      <c r="C309" s="177"/>
      <c r="D309" s="177"/>
      <c r="E309" s="177"/>
      <c r="F309" s="177"/>
      <c r="G309" s="179"/>
      <c r="H309" s="179"/>
      <c r="I309" s="177"/>
    </row>
    <row r="310" spans="3:9">
      <c r="C310" s="177"/>
      <c r="D310" s="177"/>
      <c r="E310" s="177"/>
      <c r="F310" s="177"/>
      <c r="G310" s="179"/>
      <c r="H310" s="179"/>
      <c r="I310" s="177"/>
    </row>
    <row r="311" spans="3:9">
      <c r="C311" s="177"/>
      <c r="D311" s="177"/>
      <c r="E311" s="177"/>
      <c r="F311" s="177"/>
      <c r="G311" s="179"/>
      <c r="H311" s="179"/>
      <c r="I311" s="177"/>
    </row>
    <row r="312" spans="3:9">
      <c r="C312" s="177"/>
      <c r="D312" s="177"/>
      <c r="E312" s="177"/>
      <c r="F312" s="177"/>
      <c r="G312" s="179"/>
      <c r="H312" s="179"/>
      <c r="I312" s="177"/>
    </row>
    <row r="313" spans="3:9">
      <c r="C313" s="177"/>
      <c r="D313" s="177"/>
      <c r="E313" s="177"/>
      <c r="F313" s="177"/>
      <c r="G313" s="179"/>
      <c r="H313" s="179"/>
      <c r="I313" s="177"/>
    </row>
    <row r="314" spans="3:9">
      <c r="C314" s="177"/>
      <c r="D314" s="177"/>
      <c r="E314" s="177"/>
      <c r="F314" s="177"/>
      <c r="G314" s="179"/>
      <c r="H314" s="179"/>
      <c r="I314" s="177"/>
    </row>
    <row r="315" spans="3:9">
      <c r="C315" s="177"/>
      <c r="D315" s="177"/>
      <c r="E315" s="177"/>
      <c r="F315" s="177"/>
      <c r="G315" s="179"/>
      <c r="H315" s="179"/>
      <c r="I315" s="177"/>
    </row>
    <row r="316" spans="3:9">
      <c r="C316" s="177"/>
      <c r="D316" s="177"/>
      <c r="E316" s="177"/>
      <c r="F316" s="177"/>
      <c r="G316" s="179"/>
      <c r="H316" s="179"/>
      <c r="I316" s="177"/>
    </row>
    <row r="317" spans="3:9">
      <c r="C317" s="177"/>
      <c r="D317" s="177"/>
      <c r="E317" s="177"/>
      <c r="F317" s="177"/>
      <c r="G317" s="179"/>
      <c r="H317" s="179"/>
      <c r="I317" s="177"/>
    </row>
    <row r="318" spans="3:9">
      <c r="C318" s="177"/>
      <c r="D318" s="177"/>
      <c r="E318" s="177"/>
      <c r="F318" s="177"/>
      <c r="G318" s="179"/>
      <c r="H318" s="179"/>
      <c r="I318" s="177"/>
    </row>
    <row r="319" spans="3:9">
      <c r="C319" s="177"/>
      <c r="D319" s="177"/>
      <c r="E319" s="177"/>
      <c r="F319" s="177"/>
      <c r="G319" s="179"/>
      <c r="H319" s="179"/>
      <c r="I319" s="177"/>
    </row>
    <row r="320" spans="3:9">
      <c r="C320" s="177"/>
      <c r="D320" s="177"/>
      <c r="E320" s="177"/>
      <c r="F320" s="177"/>
      <c r="G320" s="179"/>
      <c r="H320" s="179"/>
      <c r="I320" s="177"/>
    </row>
    <row r="321" spans="3:9">
      <c r="C321" s="177"/>
      <c r="D321" s="177"/>
      <c r="E321" s="177"/>
      <c r="F321" s="177"/>
      <c r="G321" s="179"/>
      <c r="H321" s="179"/>
      <c r="I321" s="177"/>
    </row>
    <row r="322" spans="3:9">
      <c r="C322" s="177"/>
      <c r="D322" s="177"/>
      <c r="E322" s="177"/>
      <c r="F322" s="177"/>
      <c r="G322" s="179"/>
      <c r="H322" s="179"/>
      <c r="I322" s="177"/>
    </row>
    <row r="323" spans="3:9">
      <c r="C323" s="177"/>
      <c r="D323" s="177"/>
      <c r="E323" s="177"/>
      <c r="F323" s="177"/>
      <c r="G323" s="179"/>
      <c r="H323" s="179"/>
      <c r="I323" s="177"/>
    </row>
    <row r="324" spans="3:9">
      <c r="C324" s="177"/>
      <c r="D324" s="177"/>
      <c r="E324" s="177"/>
      <c r="F324" s="177"/>
      <c r="G324" s="179"/>
      <c r="H324" s="179"/>
      <c r="I324" s="177"/>
    </row>
    <row r="325" spans="3:9">
      <c r="C325" s="177"/>
      <c r="D325" s="177"/>
      <c r="E325" s="177"/>
      <c r="F325" s="177"/>
      <c r="G325" s="179"/>
      <c r="H325" s="179"/>
      <c r="I325" s="177"/>
    </row>
    <row r="326" spans="3:9">
      <c r="C326" s="177"/>
      <c r="D326" s="177"/>
      <c r="E326" s="177"/>
      <c r="F326" s="177"/>
      <c r="G326" s="179"/>
      <c r="H326" s="179"/>
      <c r="I326" s="177"/>
    </row>
    <row r="327" spans="3:9">
      <c r="C327" s="177"/>
      <c r="D327" s="177"/>
      <c r="E327" s="177"/>
      <c r="F327" s="177"/>
      <c r="G327" s="179"/>
      <c r="H327" s="179"/>
      <c r="I327" s="177"/>
    </row>
    <row r="328" spans="3:9">
      <c r="C328" s="177"/>
      <c r="D328" s="177"/>
      <c r="E328" s="177"/>
      <c r="F328" s="177"/>
      <c r="G328" s="179"/>
      <c r="H328" s="179"/>
      <c r="I328" s="177"/>
    </row>
    <row r="329" spans="3:9">
      <c r="C329" s="177"/>
      <c r="D329" s="177"/>
      <c r="E329" s="177"/>
      <c r="F329" s="177"/>
      <c r="G329" s="179"/>
      <c r="H329" s="179"/>
      <c r="I329" s="177"/>
    </row>
    <row r="330" spans="3:9">
      <c r="C330" s="177"/>
      <c r="D330" s="177"/>
      <c r="E330" s="177"/>
      <c r="F330" s="177"/>
      <c r="G330" s="179"/>
      <c r="H330" s="179"/>
      <c r="I330" s="177"/>
    </row>
    <row r="331" spans="3:9">
      <c r="C331" s="177"/>
      <c r="D331" s="177"/>
      <c r="E331" s="177"/>
      <c r="F331" s="177"/>
      <c r="G331" s="179"/>
      <c r="H331" s="179"/>
      <c r="I331" s="177"/>
    </row>
    <row r="332" spans="3:9">
      <c r="C332" s="177"/>
      <c r="D332" s="177"/>
      <c r="E332" s="177"/>
      <c r="F332" s="177"/>
      <c r="G332" s="179"/>
      <c r="H332" s="179"/>
      <c r="I332" s="177"/>
    </row>
    <row r="333" spans="3:9">
      <c r="C333" s="177"/>
      <c r="D333" s="177"/>
      <c r="E333" s="177"/>
      <c r="F333" s="177"/>
      <c r="G333" s="179"/>
      <c r="H333" s="179"/>
      <c r="I333" s="177"/>
    </row>
    <row r="334" spans="3:9">
      <c r="C334" s="177"/>
      <c r="D334" s="177"/>
      <c r="E334" s="177"/>
      <c r="F334" s="177"/>
      <c r="G334" s="179"/>
      <c r="H334" s="179"/>
      <c r="I334" s="177"/>
    </row>
    <row r="335" spans="3:9">
      <c r="C335" s="177"/>
      <c r="D335" s="177"/>
      <c r="E335" s="177"/>
      <c r="F335" s="177"/>
      <c r="G335" s="179"/>
      <c r="H335" s="179"/>
      <c r="I335" s="177"/>
    </row>
    <row r="336" spans="3:9">
      <c r="C336" s="177"/>
      <c r="D336" s="177"/>
      <c r="E336" s="177"/>
      <c r="F336" s="177"/>
      <c r="G336" s="179"/>
      <c r="H336" s="179"/>
      <c r="I336" s="177"/>
    </row>
    <row r="337" spans="3:9">
      <c r="C337" s="177"/>
      <c r="D337" s="177"/>
      <c r="E337" s="177"/>
      <c r="F337" s="177"/>
      <c r="G337" s="179"/>
      <c r="H337" s="179"/>
      <c r="I337" s="177"/>
    </row>
    <row r="338" spans="3:9">
      <c r="C338" s="177"/>
      <c r="D338" s="177"/>
      <c r="E338" s="177"/>
      <c r="F338" s="177"/>
      <c r="G338" s="179"/>
      <c r="H338" s="179"/>
      <c r="I338" s="177"/>
    </row>
    <row r="339" spans="3:9">
      <c r="C339" s="177"/>
      <c r="D339" s="177"/>
      <c r="E339" s="177"/>
      <c r="F339" s="177"/>
      <c r="G339" s="179"/>
      <c r="H339" s="179"/>
      <c r="I339" s="177"/>
    </row>
    <row r="340" spans="3:9">
      <c r="C340" s="177"/>
      <c r="D340" s="177"/>
      <c r="E340" s="177"/>
      <c r="F340" s="177"/>
      <c r="G340" s="179"/>
      <c r="H340" s="179"/>
      <c r="I340" s="177"/>
    </row>
    <row r="341" spans="3:9">
      <c r="C341" s="177"/>
      <c r="D341" s="177"/>
      <c r="E341" s="177"/>
      <c r="F341" s="177"/>
      <c r="G341" s="179"/>
      <c r="H341" s="179"/>
      <c r="I341" s="177"/>
    </row>
    <row r="342" spans="3:9">
      <c r="C342" s="177"/>
      <c r="D342" s="177"/>
      <c r="E342" s="177"/>
      <c r="F342" s="177"/>
      <c r="G342" s="179"/>
      <c r="H342" s="179"/>
      <c r="I342" s="177"/>
    </row>
    <row r="343" spans="3:9">
      <c r="C343" s="177"/>
      <c r="D343" s="177"/>
      <c r="E343" s="177"/>
      <c r="F343" s="177"/>
      <c r="G343" s="179"/>
      <c r="H343" s="179"/>
      <c r="I343" s="177"/>
    </row>
    <row r="344" spans="3:9">
      <c r="C344" s="177"/>
      <c r="D344" s="177"/>
      <c r="E344" s="177"/>
      <c r="F344" s="177"/>
      <c r="G344" s="179"/>
      <c r="H344" s="179"/>
      <c r="I344" s="177"/>
    </row>
    <row r="345" spans="3:9">
      <c r="C345" s="177"/>
      <c r="D345" s="177"/>
      <c r="E345" s="177"/>
      <c r="F345" s="177"/>
      <c r="G345" s="179"/>
      <c r="H345" s="179"/>
      <c r="I345" s="177"/>
    </row>
    <row r="346" spans="3:9">
      <c r="C346" s="177"/>
      <c r="D346" s="177"/>
      <c r="E346" s="177"/>
      <c r="F346" s="177"/>
      <c r="G346" s="179"/>
      <c r="H346" s="179"/>
      <c r="I346" s="177"/>
    </row>
    <row r="347" spans="3:9">
      <c r="C347" s="177"/>
      <c r="D347" s="177"/>
      <c r="E347" s="177"/>
      <c r="F347" s="177"/>
      <c r="G347" s="179"/>
      <c r="H347" s="179"/>
      <c r="I347" s="177"/>
    </row>
    <row r="348" spans="3:9">
      <c r="C348" s="177"/>
      <c r="D348" s="177"/>
      <c r="E348" s="177"/>
      <c r="F348" s="177"/>
      <c r="G348" s="179"/>
      <c r="H348" s="179"/>
      <c r="I348" s="177"/>
    </row>
    <row r="349" spans="3:9">
      <c r="C349" s="177"/>
      <c r="D349" s="177"/>
      <c r="E349" s="177"/>
      <c r="F349" s="177"/>
      <c r="G349" s="179"/>
      <c r="H349" s="179"/>
      <c r="I349" s="177"/>
    </row>
    <row r="350" spans="3:9">
      <c r="C350" s="177"/>
      <c r="D350" s="177"/>
      <c r="E350" s="177"/>
      <c r="F350" s="177"/>
      <c r="G350" s="179"/>
      <c r="H350" s="179"/>
      <c r="I350" s="177"/>
    </row>
    <row r="351" spans="3:9">
      <c r="C351" s="177"/>
      <c r="D351" s="177"/>
      <c r="E351" s="177"/>
      <c r="F351" s="177"/>
      <c r="G351" s="179"/>
      <c r="H351" s="179"/>
      <c r="I351" s="177"/>
    </row>
    <row r="352" spans="3:9">
      <c r="C352" s="177"/>
      <c r="D352" s="177"/>
      <c r="E352" s="177"/>
      <c r="F352" s="177"/>
      <c r="G352" s="179"/>
      <c r="H352" s="179"/>
      <c r="I352" s="177"/>
    </row>
    <row r="353" spans="3:9">
      <c r="C353" s="177"/>
      <c r="D353" s="177"/>
      <c r="E353" s="177"/>
      <c r="F353" s="177"/>
      <c r="G353" s="179"/>
      <c r="H353" s="179"/>
      <c r="I353" s="177"/>
    </row>
    <row r="354" spans="3:9">
      <c r="C354" s="177"/>
      <c r="D354" s="177"/>
      <c r="E354" s="177"/>
      <c r="F354" s="177"/>
      <c r="G354" s="179"/>
      <c r="H354" s="179"/>
      <c r="I354" s="177"/>
    </row>
    <row r="355" spans="3:9">
      <c r="C355" s="177"/>
      <c r="D355" s="177"/>
      <c r="E355" s="177"/>
      <c r="F355" s="177"/>
      <c r="G355" s="179"/>
      <c r="H355" s="179"/>
      <c r="I355" s="177"/>
    </row>
    <row r="356" spans="3:9">
      <c r="C356" s="177"/>
      <c r="D356" s="177"/>
      <c r="E356" s="177"/>
      <c r="F356" s="177"/>
      <c r="G356" s="179"/>
      <c r="H356" s="179"/>
      <c r="I356" s="177"/>
    </row>
    <row r="357" spans="3:9">
      <c r="C357" s="177"/>
      <c r="D357" s="177"/>
      <c r="E357" s="177"/>
      <c r="F357" s="177"/>
      <c r="G357" s="179"/>
      <c r="H357" s="179"/>
      <c r="I357" s="177"/>
    </row>
    <row r="358" spans="3:9">
      <c r="C358" s="177"/>
      <c r="D358" s="177"/>
      <c r="E358" s="177"/>
      <c r="F358" s="177"/>
      <c r="G358" s="179"/>
      <c r="H358" s="179"/>
      <c r="I358" s="177"/>
    </row>
    <row r="359" spans="3:9">
      <c r="C359" s="177"/>
      <c r="D359" s="177"/>
      <c r="E359" s="177"/>
      <c r="F359" s="177"/>
      <c r="G359" s="179"/>
      <c r="H359" s="179"/>
      <c r="I359" s="177"/>
    </row>
    <row r="360" spans="3:9">
      <c r="C360" s="177"/>
      <c r="D360" s="177"/>
      <c r="E360" s="177"/>
      <c r="F360" s="177"/>
      <c r="G360" s="179"/>
      <c r="H360" s="179"/>
      <c r="I360" s="177"/>
    </row>
    <row r="361" spans="3:9">
      <c r="C361" s="177"/>
      <c r="D361" s="177"/>
      <c r="E361" s="177"/>
      <c r="F361" s="177"/>
      <c r="G361" s="179"/>
      <c r="H361" s="179"/>
      <c r="I361" s="177"/>
    </row>
    <row r="362" spans="3:9">
      <c r="C362" s="177"/>
      <c r="D362" s="177"/>
      <c r="E362" s="177"/>
      <c r="F362" s="177"/>
      <c r="G362" s="179"/>
      <c r="H362" s="179"/>
      <c r="I362" s="177"/>
    </row>
    <row r="363" spans="3:9">
      <c r="C363" s="177"/>
      <c r="D363" s="177"/>
      <c r="E363" s="177"/>
      <c r="F363" s="177"/>
      <c r="G363" s="179"/>
      <c r="H363" s="179"/>
      <c r="I363" s="177"/>
    </row>
    <row r="364" spans="3:9">
      <c r="C364" s="177"/>
      <c r="D364" s="177"/>
      <c r="E364" s="177"/>
      <c r="F364" s="177"/>
      <c r="G364" s="179"/>
      <c r="H364" s="179"/>
      <c r="I364" s="177"/>
    </row>
    <row r="365" spans="3:9">
      <c r="C365" s="177"/>
      <c r="D365" s="177"/>
      <c r="E365" s="177"/>
      <c r="F365" s="177"/>
      <c r="G365" s="179"/>
      <c r="H365" s="179"/>
      <c r="I365" s="177"/>
    </row>
    <row r="366" spans="3:9">
      <c r="C366" s="177"/>
      <c r="D366" s="177"/>
      <c r="E366" s="177"/>
      <c r="F366" s="177"/>
      <c r="G366" s="179"/>
      <c r="H366" s="179"/>
      <c r="I366" s="177"/>
    </row>
    <row r="367" spans="3:9">
      <c r="C367" s="177"/>
      <c r="D367" s="177"/>
      <c r="E367" s="177"/>
      <c r="F367" s="177"/>
      <c r="G367" s="179"/>
      <c r="H367" s="179"/>
      <c r="I367" s="177"/>
    </row>
    <row r="368" spans="3:9">
      <c r="C368" s="177"/>
      <c r="D368" s="177"/>
      <c r="E368" s="177"/>
      <c r="F368" s="177"/>
      <c r="G368" s="179"/>
      <c r="H368" s="179"/>
      <c r="I368" s="177"/>
    </row>
    <row r="369" spans="3:9">
      <c r="C369" s="177"/>
      <c r="D369" s="177"/>
      <c r="E369" s="177"/>
      <c r="F369" s="177"/>
      <c r="G369" s="179"/>
      <c r="H369" s="179"/>
      <c r="I369" s="177"/>
    </row>
    <row r="370" spans="3:9">
      <c r="C370" s="177"/>
      <c r="D370" s="177"/>
      <c r="E370" s="177"/>
      <c r="F370" s="177"/>
      <c r="G370" s="179"/>
      <c r="H370" s="179"/>
      <c r="I370" s="177"/>
    </row>
    <row r="371" spans="3:9">
      <c r="C371" s="177"/>
      <c r="D371" s="177"/>
      <c r="E371" s="177"/>
      <c r="F371" s="177"/>
      <c r="G371" s="179"/>
      <c r="H371" s="179"/>
      <c r="I371" s="177"/>
    </row>
    <row r="372" spans="3:9">
      <c r="C372" s="177"/>
      <c r="D372" s="177"/>
      <c r="E372" s="177"/>
      <c r="F372" s="177"/>
      <c r="G372" s="179"/>
      <c r="H372" s="179"/>
      <c r="I372" s="177"/>
    </row>
    <row r="373" spans="3:9">
      <c r="C373" s="177"/>
      <c r="D373" s="177"/>
      <c r="E373" s="177"/>
      <c r="F373" s="177"/>
      <c r="G373" s="179"/>
      <c r="H373" s="179"/>
      <c r="I373" s="177"/>
    </row>
    <row r="374" spans="3:9">
      <c r="C374" s="177"/>
      <c r="D374" s="177"/>
      <c r="E374" s="177"/>
      <c r="F374" s="177"/>
      <c r="G374" s="179"/>
      <c r="H374" s="179"/>
      <c r="I374" s="177"/>
    </row>
    <row r="375" spans="3:9">
      <c r="C375" s="177"/>
      <c r="D375" s="177"/>
      <c r="E375" s="177"/>
      <c r="F375" s="177"/>
      <c r="G375" s="179"/>
      <c r="H375" s="179"/>
      <c r="I375" s="177"/>
    </row>
    <row r="376" spans="3:9">
      <c r="C376" s="177"/>
      <c r="D376" s="177"/>
      <c r="E376" s="177"/>
      <c r="F376" s="177"/>
      <c r="G376" s="179"/>
      <c r="H376" s="179"/>
      <c r="I376" s="177"/>
    </row>
    <row r="377" spans="3:9">
      <c r="C377" s="177"/>
      <c r="D377" s="177"/>
      <c r="E377" s="177"/>
      <c r="F377" s="177"/>
      <c r="G377" s="179"/>
      <c r="H377" s="179"/>
      <c r="I377" s="177"/>
    </row>
    <row r="378" spans="3:9">
      <c r="C378" s="177"/>
      <c r="D378" s="177"/>
      <c r="E378" s="177"/>
      <c r="F378" s="177"/>
      <c r="G378" s="179"/>
      <c r="H378" s="179"/>
      <c r="I378" s="177"/>
    </row>
    <row r="379" spans="3:9">
      <c r="C379" s="177"/>
      <c r="D379" s="177"/>
      <c r="E379" s="177"/>
      <c r="F379" s="177"/>
      <c r="G379" s="179"/>
      <c r="H379" s="179"/>
      <c r="I379" s="177"/>
    </row>
    <row r="380" spans="3:9">
      <c r="C380" s="177"/>
      <c r="D380" s="177"/>
      <c r="E380" s="177"/>
      <c r="F380" s="177"/>
      <c r="G380" s="179"/>
      <c r="H380" s="179"/>
      <c r="I380" s="177"/>
    </row>
    <row r="381" spans="3:9">
      <c r="C381" s="177"/>
      <c r="D381" s="177"/>
      <c r="E381" s="177"/>
      <c r="F381" s="177"/>
      <c r="G381" s="179"/>
      <c r="H381" s="179"/>
      <c r="I381" s="177"/>
    </row>
    <row r="382" spans="3:9">
      <c r="C382" s="177"/>
      <c r="D382" s="177"/>
      <c r="E382" s="177"/>
      <c r="F382" s="177"/>
      <c r="G382" s="179"/>
      <c r="H382" s="179"/>
      <c r="I382" s="177"/>
    </row>
    <row r="383" spans="3:9">
      <c r="C383" s="177"/>
      <c r="D383" s="177"/>
      <c r="E383" s="177"/>
      <c r="F383" s="177"/>
      <c r="G383" s="179"/>
      <c r="H383" s="179"/>
      <c r="I383" s="177"/>
    </row>
    <row r="384" spans="3:9">
      <c r="C384" s="177"/>
      <c r="D384" s="177"/>
      <c r="E384" s="177"/>
      <c r="F384" s="177"/>
      <c r="G384" s="179"/>
      <c r="H384" s="179"/>
      <c r="I384" s="177"/>
    </row>
    <row r="385" spans="3:9">
      <c r="C385" s="177"/>
      <c r="D385" s="177"/>
      <c r="E385" s="177"/>
      <c r="F385" s="177"/>
      <c r="G385" s="179"/>
      <c r="H385" s="179"/>
      <c r="I385" s="177"/>
    </row>
    <row r="386" spans="3:9">
      <c r="C386" s="177"/>
      <c r="D386" s="177"/>
      <c r="E386" s="177"/>
      <c r="F386" s="177"/>
      <c r="G386" s="179"/>
      <c r="H386" s="179"/>
      <c r="I386" s="177"/>
    </row>
    <row r="387" spans="3:9">
      <c r="C387" s="177"/>
      <c r="D387" s="177"/>
      <c r="E387" s="177"/>
      <c r="F387" s="177"/>
      <c r="G387" s="179"/>
      <c r="H387" s="179"/>
      <c r="I387" s="177"/>
    </row>
    <row r="388" spans="3:9">
      <c r="C388" s="177"/>
      <c r="D388" s="177"/>
      <c r="E388" s="177"/>
      <c r="F388" s="177"/>
      <c r="G388" s="179"/>
      <c r="H388" s="179"/>
      <c r="I388" s="177"/>
    </row>
    <row r="389" spans="3:9">
      <c r="C389" s="177"/>
      <c r="D389" s="177"/>
      <c r="E389" s="177"/>
      <c r="F389" s="177"/>
      <c r="G389" s="179"/>
      <c r="H389" s="179"/>
      <c r="I389" s="177"/>
    </row>
    <row r="390" spans="3:9">
      <c r="C390" s="177"/>
      <c r="D390" s="177"/>
      <c r="E390" s="177"/>
      <c r="F390" s="177"/>
      <c r="G390" s="179"/>
      <c r="H390" s="179"/>
      <c r="I390" s="177"/>
    </row>
    <row r="391" spans="3:9">
      <c r="C391" s="177"/>
      <c r="D391" s="177"/>
      <c r="E391" s="177"/>
      <c r="F391" s="177"/>
      <c r="G391" s="179"/>
      <c r="H391" s="179"/>
      <c r="I391" s="177"/>
    </row>
    <row r="392" spans="3:9">
      <c r="C392" s="177"/>
      <c r="D392" s="177"/>
      <c r="E392" s="177"/>
      <c r="F392" s="177"/>
      <c r="G392" s="179"/>
      <c r="H392" s="179"/>
      <c r="I392" s="177"/>
    </row>
    <row r="393" spans="3:9">
      <c r="C393" s="177"/>
      <c r="D393" s="177"/>
      <c r="E393" s="177"/>
      <c r="F393" s="177"/>
      <c r="G393" s="179"/>
      <c r="H393" s="179"/>
      <c r="I393" s="177"/>
    </row>
    <row r="394" spans="3:9">
      <c r="C394" s="177"/>
      <c r="D394" s="177"/>
      <c r="E394" s="177"/>
      <c r="F394" s="177"/>
      <c r="G394" s="179"/>
      <c r="H394" s="179"/>
      <c r="I394" s="177"/>
    </row>
    <row r="395" spans="3:9">
      <c r="C395" s="177"/>
      <c r="D395" s="177"/>
      <c r="E395" s="177"/>
      <c r="F395" s="177"/>
      <c r="G395" s="179"/>
      <c r="H395" s="179"/>
      <c r="I395" s="177"/>
    </row>
    <row r="396" spans="3:9">
      <c r="C396" s="177"/>
      <c r="D396" s="177"/>
      <c r="E396" s="177"/>
      <c r="F396" s="177"/>
      <c r="G396" s="179"/>
      <c r="H396" s="179"/>
      <c r="I396" s="177"/>
    </row>
    <row r="397" spans="3:9">
      <c r="C397" s="177"/>
      <c r="D397" s="177"/>
      <c r="E397" s="177"/>
      <c r="F397" s="177"/>
      <c r="G397" s="179"/>
      <c r="H397" s="179"/>
      <c r="I397" s="177"/>
    </row>
    <row r="398" spans="3:9">
      <c r="C398" s="177"/>
      <c r="D398" s="177"/>
      <c r="E398" s="177"/>
      <c r="F398" s="177"/>
      <c r="G398" s="179"/>
      <c r="H398" s="179"/>
      <c r="I398" s="177"/>
    </row>
    <row r="399" spans="3:9">
      <c r="C399" s="177"/>
      <c r="D399" s="177"/>
      <c r="E399" s="177"/>
      <c r="F399" s="177"/>
      <c r="G399" s="179"/>
      <c r="H399" s="179"/>
      <c r="I399" s="177"/>
    </row>
    <row r="400" spans="3:9">
      <c r="C400" s="177"/>
      <c r="D400" s="177"/>
      <c r="E400" s="177"/>
      <c r="F400" s="177"/>
      <c r="G400" s="179"/>
      <c r="H400" s="179"/>
      <c r="I400" s="177"/>
    </row>
    <row r="401" spans="3:9">
      <c r="C401" s="177"/>
      <c r="D401" s="177"/>
      <c r="E401" s="177"/>
      <c r="F401" s="177"/>
      <c r="G401" s="179"/>
      <c r="H401" s="179"/>
      <c r="I401" s="177"/>
    </row>
    <row r="402" spans="3:9">
      <c r="C402" s="177"/>
      <c r="D402" s="177"/>
      <c r="E402" s="177"/>
      <c r="F402" s="177"/>
      <c r="G402" s="179"/>
      <c r="H402" s="179"/>
      <c r="I402" s="177"/>
    </row>
    <row r="403" spans="3:9">
      <c r="C403" s="177"/>
      <c r="D403" s="177"/>
      <c r="E403" s="177"/>
      <c r="F403" s="177"/>
      <c r="G403" s="179"/>
      <c r="H403" s="179"/>
      <c r="I403" s="177"/>
    </row>
    <row r="404" spans="3:9">
      <c r="C404" s="177"/>
      <c r="D404" s="177"/>
      <c r="E404" s="177"/>
      <c r="F404" s="177"/>
      <c r="G404" s="179"/>
      <c r="H404" s="179"/>
      <c r="I404" s="177"/>
    </row>
    <row r="405" spans="3:9">
      <c r="C405" s="177"/>
      <c r="D405" s="177"/>
      <c r="E405" s="177"/>
      <c r="F405" s="177"/>
      <c r="G405" s="179"/>
      <c r="H405" s="179"/>
      <c r="I405" s="177"/>
    </row>
    <row r="406" spans="3:9">
      <c r="C406" s="177"/>
      <c r="D406" s="177"/>
      <c r="E406" s="177"/>
      <c r="F406" s="177"/>
      <c r="G406" s="179"/>
      <c r="H406" s="179"/>
      <c r="I406" s="177"/>
    </row>
    <row r="407" spans="3:9">
      <c r="C407" s="177"/>
      <c r="D407" s="177"/>
      <c r="E407" s="177"/>
      <c r="F407" s="177"/>
      <c r="G407" s="179"/>
      <c r="H407" s="179"/>
      <c r="I407" s="177"/>
    </row>
    <row r="408" spans="3:9">
      <c r="C408" s="177"/>
      <c r="D408" s="177"/>
      <c r="E408" s="177"/>
      <c r="F408" s="177"/>
      <c r="G408" s="179"/>
      <c r="H408" s="179"/>
      <c r="I408" s="177"/>
    </row>
    <row r="409" spans="3:9">
      <c r="C409" s="177"/>
      <c r="D409" s="177"/>
      <c r="E409" s="177"/>
      <c r="F409" s="177"/>
      <c r="G409" s="179"/>
      <c r="H409" s="179"/>
      <c r="I409" s="177"/>
    </row>
    <row r="410" spans="3:9">
      <c r="C410" s="177"/>
      <c r="D410" s="177"/>
      <c r="E410" s="177"/>
      <c r="F410" s="177"/>
      <c r="G410" s="179"/>
      <c r="H410" s="179"/>
      <c r="I410" s="177"/>
    </row>
    <row r="411" spans="3:9">
      <c r="C411" s="177"/>
      <c r="D411" s="177"/>
      <c r="E411" s="177"/>
      <c r="F411" s="177"/>
      <c r="G411" s="179"/>
      <c r="H411" s="179"/>
      <c r="I411" s="177"/>
    </row>
    <row r="412" spans="3:9">
      <c r="C412" s="177"/>
      <c r="D412" s="177"/>
      <c r="E412" s="177"/>
      <c r="F412" s="177"/>
      <c r="G412" s="179"/>
      <c r="H412" s="179"/>
      <c r="I412" s="177"/>
    </row>
    <row r="413" spans="3:9">
      <c r="C413" s="177"/>
      <c r="D413" s="177"/>
      <c r="E413" s="177"/>
      <c r="F413" s="177"/>
      <c r="G413" s="179"/>
      <c r="H413" s="179"/>
      <c r="I413" s="177"/>
    </row>
    <row r="414" spans="3:9">
      <c r="C414" s="177"/>
      <c r="D414" s="177"/>
      <c r="E414" s="177"/>
      <c r="F414" s="177"/>
      <c r="G414" s="179"/>
      <c r="H414" s="179"/>
      <c r="I414" s="177"/>
    </row>
    <row r="415" spans="3:9">
      <c r="C415" s="177"/>
      <c r="D415" s="177"/>
      <c r="E415" s="177"/>
      <c r="F415" s="177"/>
      <c r="G415" s="179"/>
      <c r="H415" s="179"/>
      <c r="I415" s="177"/>
    </row>
    <row r="416" spans="3:9">
      <c r="C416" s="177"/>
      <c r="D416" s="177"/>
      <c r="E416" s="177"/>
      <c r="F416" s="177"/>
      <c r="G416" s="179"/>
      <c r="H416" s="179"/>
      <c r="I416" s="177"/>
    </row>
    <row r="417" spans="3:9">
      <c r="C417" s="177"/>
      <c r="D417" s="177"/>
      <c r="E417" s="177"/>
      <c r="F417" s="177"/>
      <c r="G417" s="179"/>
      <c r="H417" s="179"/>
      <c r="I417" s="177"/>
    </row>
    <row r="418" spans="3:9">
      <c r="C418" s="177"/>
      <c r="D418" s="177"/>
      <c r="E418" s="177"/>
      <c r="F418" s="177"/>
      <c r="G418" s="179"/>
      <c r="H418" s="179"/>
      <c r="I418" s="177"/>
    </row>
    <row r="419" spans="3:9">
      <c r="C419" s="177"/>
      <c r="D419" s="177"/>
      <c r="E419" s="177"/>
      <c r="F419" s="177"/>
      <c r="G419" s="179"/>
      <c r="H419" s="179"/>
      <c r="I419" s="177"/>
    </row>
    <row r="420" spans="3:9">
      <c r="C420" s="177"/>
      <c r="D420" s="177"/>
      <c r="E420" s="177"/>
      <c r="F420" s="177"/>
      <c r="G420" s="179"/>
      <c r="H420" s="179"/>
      <c r="I420" s="177"/>
    </row>
    <row r="421" spans="3:9">
      <c r="C421" s="177"/>
      <c r="D421" s="177"/>
      <c r="E421" s="177"/>
      <c r="F421" s="177"/>
      <c r="G421" s="179"/>
      <c r="H421" s="179"/>
      <c r="I421" s="177"/>
    </row>
    <row r="422" spans="3:9">
      <c r="C422" s="177"/>
      <c r="D422" s="177"/>
      <c r="E422" s="177"/>
      <c r="F422" s="177"/>
      <c r="G422" s="179"/>
      <c r="H422" s="179"/>
      <c r="I422" s="177"/>
    </row>
    <row r="423" spans="3:9">
      <c r="C423" s="177"/>
      <c r="D423" s="177"/>
      <c r="E423" s="177"/>
      <c r="F423" s="177"/>
      <c r="G423" s="179"/>
      <c r="H423" s="179"/>
      <c r="I423" s="177"/>
    </row>
    <row r="424" spans="3:9">
      <c r="C424" s="177"/>
      <c r="D424" s="177"/>
      <c r="E424" s="177"/>
      <c r="F424" s="177"/>
      <c r="G424" s="179"/>
      <c r="H424" s="179"/>
      <c r="I424" s="177"/>
    </row>
    <row r="425" spans="3:9">
      <c r="C425" s="177"/>
      <c r="D425" s="177"/>
      <c r="E425" s="177"/>
      <c r="F425" s="177"/>
      <c r="G425" s="179"/>
      <c r="H425" s="179"/>
      <c r="I425" s="177"/>
    </row>
    <row r="426" spans="3:9">
      <c r="C426" s="177"/>
      <c r="D426" s="177"/>
      <c r="E426" s="177"/>
      <c r="F426" s="177"/>
      <c r="G426" s="179"/>
      <c r="H426" s="179"/>
      <c r="I426" s="177"/>
    </row>
    <row r="427" spans="3:9">
      <c r="C427" s="177"/>
      <c r="D427" s="177"/>
      <c r="E427" s="177"/>
      <c r="F427" s="177"/>
      <c r="G427" s="179"/>
      <c r="H427" s="179"/>
      <c r="I427" s="177"/>
    </row>
    <row r="428" spans="3:9">
      <c r="C428" s="177"/>
      <c r="D428" s="177"/>
      <c r="E428" s="177"/>
      <c r="F428" s="177"/>
      <c r="G428" s="179"/>
      <c r="H428" s="179"/>
      <c r="I428" s="177"/>
    </row>
    <row r="429" spans="3:9">
      <c r="C429" s="177"/>
      <c r="D429" s="177"/>
      <c r="E429" s="177"/>
      <c r="F429" s="177"/>
      <c r="G429" s="179"/>
      <c r="H429" s="179"/>
      <c r="I429" s="177"/>
    </row>
    <row r="430" spans="3:9">
      <c r="C430" s="177"/>
      <c r="D430" s="177"/>
      <c r="E430" s="177"/>
      <c r="F430" s="177"/>
      <c r="G430" s="179"/>
      <c r="H430" s="179"/>
      <c r="I430" s="177"/>
    </row>
    <row r="431" spans="3:9">
      <c r="C431" s="177"/>
      <c r="D431" s="177"/>
      <c r="E431" s="177"/>
      <c r="F431" s="177"/>
      <c r="G431" s="179"/>
      <c r="H431" s="179"/>
      <c r="I431" s="177"/>
    </row>
    <row r="432" spans="3:9">
      <c r="C432" s="177"/>
      <c r="D432" s="177"/>
      <c r="E432" s="177"/>
      <c r="F432" s="177"/>
      <c r="G432" s="179"/>
      <c r="H432" s="179"/>
      <c r="I432" s="177"/>
    </row>
    <row r="433" spans="3:9">
      <c r="C433" s="177"/>
      <c r="D433" s="177"/>
      <c r="E433" s="177"/>
      <c r="F433" s="177"/>
      <c r="G433" s="179"/>
      <c r="H433" s="179"/>
      <c r="I433" s="177"/>
    </row>
    <row r="434" spans="3:9">
      <c r="C434" s="177"/>
      <c r="D434" s="177"/>
      <c r="E434" s="177"/>
      <c r="F434" s="177"/>
      <c r="G434" s="179"/>
      <c r="H434" s="179"/>
      <c r="I434" s="177"/>
    </row>
    <row r="435" spans="3:9">
      <c r="C435" s="177"/>
      <c r="D435" s="177"/>
      <c r="E435" s="177"/>
      <c r="F435" s="177"/>
      <c r="G435" s="179"/>
      <c r="H435" s="179"/>
      <c r="I435" s="177"/>
    </row>
    <row r="436" spans="3:9">
      <c r="C436" s="177"/>
      <c r="D436" s="177"/>
      <c r="E436" s="177"/>
      <c r="F436" s="177"/>
      <c r="G436" s="179"/>
      <c r="H436" s="179"/>
      <c r="I436" s="177"/>
    </row>
    <row r="437" spans="3:9">
      <c r="C437" s="177"/>
      <c r="D437" s="177"/>
      <c r="E437" s="177"/>
      <c r="F437" s="177"/>
      <c r="G437" s="179"/>
      <c r="H437" s="179"/>
      <c r="I437" s="177"/>
    </row>
    <row r="438" spans="3:9">
      <c r="C438" s="177"/>
      <c r="D438" s="177"/>
      <c r="E438" s="177"/>
      <c r="F438" s="177"/>
      <c r="G438" s="179"/>
      <c r="H438" s="179"/>
      <c r="I438" s="177"/>
    </row>
    <row r="439" spans="3:9">
      <c r="C439" s="177"/>
      <c r="D439" s="177"/>
      <c r="E439" s="177"/>
      <c r="F439" s="177"/>
      <c r="G439" s="179"/>
      <c r="H439" s="179"/>
      <c r="I439" s="177"/>
    </row>
    <row r="440" spans="3:9">
      <c r="C440" s="177"/>
      <c r="D440" s="177"/>
      <c r="E440" s="177"/>
      <c r="F440" s="177"/>
      <c r="G440" s="179"/>
      <c r="H440" s="179"/>
      <c r="I440" s="177"/>
    </row>
    <row r="441" spans="3:9">
      <c r="C441" s="177"/>
      <c r="D441" s="177"/>
      <c r="E441" s="177"/>
      <c r="F441" s="177"/>
      <c r="G441" s="179"/>
      <c r="H441" s="179"/>
      <c r="I441" s="177"/>
    </row>
    <row r="442" spans="3:9">
      <c r="C442" s="177"/>
      <c r="D442" s="177"/>
      <c r="E442" s="177"/>
      <c r="F442" s="177"/>
      <c r="G442" s="179"/>
      <c r="H442" s="179"/>
      <c r="I442" s="177"/>
    </row>
    <row r="443" spans="3:9">
      <c r="C443" s="177"/>
      <c r="D443" s="177"/>
      <c r="E443" s="177"/>
      <c r="F443" s="177"/>
      <c r="G443" s="179"/>
      <c r="H443" s="179"/>
      <c r="I443" s="177"/>
    </row>
    <row r="444" spans="3:9">
      <c r="C444" s="177"/>
      <c r="D444" s="177"/>
      <c r="E444" s="177"/>
      <c r="F444" s="177"/>
      <c r="G444" s="179"/>
      <c r="H444" s="179"/>
      <c r="I444" s="177"/>
    </row>
    <row r="445" spans="3:9">
      <c r="C445" s="177"/>
      <c r="D445" s="177"/>
      <c r="E445" s="177"/>
      <c r="F445" s="177"/>
      <c r="G445" s="179"/>
      <c r="H445" s="179"/>
      <c r="I445" s="177"/>
    </row>
    <row r="446" spans="3:9">
      <c r="C446" s="177"/>
      <c r="D446" s="177"/>
      <c r="E446" s="177"/>
      <c r="F446" s="177"/>
      <c r="G446" s="179"/>
      <c r="H446" s="179"/>
      <c r="I446" s="177"/>
    </row>
    <row r="447" spans="3:9">
      <c r="C447" s="177"/>
      <c r="D447" s="177"/>
      <c r="E447" s="177"/>
      <c r="F447" s="177"/>
      <c r="G447" s="179"/>
      <c r="H447" s="179"/>
      <c r="I447" s="177"/>
    </row>
    <row r="448" spans="3:9">
      <c r="C448" s="177"/>
      <c r="D448" s="177"/>
      <c r="E448" s="177"/>
      <c r="F448" s="177"/>
      <c r="G448" s="179"/>
      <c r="H448" s="179"/>
      <c r="I448" s="177"/>
    </row>
    <row r="449" spans="3:9">
      <c r="C449" s="177"/>
      <c r="D449" s="177"/>
      <c r="E449" s="177"/>
      <c r="F449" s="177"/>
      <c r="G449" s="179"/>
      <c r="H449" s="179"/>
      <c r="I449" s="177"/>
    </row>
    <row r="450" spans="3:9">
      <c r="C450" s="177"/>
      <c r="D450" s="177"/>
      <c r="E450" s="177"/>
      <c r="F450" s="177"/>
      <c r="G450" s="179"/>
      <c r="H450" s="179"/>
      <c r="I450" s="177"/>
    </row>
    <row r="451" spans="3:9">
      <c r="C451" s="177"/>
      <c r="D451" s="177"/>
      <c r="E451" s="177"/>
      <c r="F451" s="177"/>
      <c r="G451" s="179"/>
      <c r="H451" s="179"/>
      <c r="I451" s="177"/>
    </row>
    <row r="452" spans="3:9">
      <c r="C452" s="177"/>
      <c r="D452" s="177"/>
      <c r="E452" s="177"/>
      <c r="F452" s="177"/>
      <c r="G452" s="179"/>
      <c r="H452" s="179"/>
      <c r="I452" s="177"/>
    </row>
    <row r="453" spans="3:9">
      <c r="C453" s="177"/>
      <c r="D453" s="177"/>
      <c r="E453" s="177"/>
      <c r="F453" s="177"/>
      <c r="G453" s="179"/>
      <c r="H453" s="179"/>
      <c r="I453" s="177"/>
    </row>
    <row r="454" spans="3:9">
      <c r="C454" s="177"/>
      <c r="D454" s="177"/>
      <c r="E454" s="177"/>
      <c r="F454" s="177"/>
      <c r="G454" s="179"/>
      <c r="H454" s="179"/>
      <c r="I454" s="177"/>
    </row>
    <row r="455" spans="3:9">
      <c r="C455" s="177"/>
      <c r="D455" s="177"/>
      <c r="E455" s="177"/>
      <c r="F455" s="177"/>
      <c r="G455" s="179"/>
      <c r="H455" s="179"/>
      <c r="I455" s="177"/>
    </row>
    <row r="456" spans="3:9">
      <c r="C456" s="177"/>
      <c r="D456" s="177"/>
      <c r="E456" s="177"/>
      <c r="F456" s="177"/>
      <c r="G456" s="179"/>
      <c r="H456" s="179"/>
      <c r="I456" s="177"/>
    </row>
    <row r="457" spans="3:9">
      <c r="C457" s="177"/>
      <c r="D457" s="177"/>
      <c r="E457" s="177"/>
      <c r="F457" s="177"/>
      <c r="G457" s="179"/>
      <c r="H457" s="179"/>
      <c r="I457" s="177"/>
    </row>
    <row r="458" spans="3:9">
      <c r="C458" s="177"/>
      <c r="D458" s="177"/>
      <c r="E458" s="177"/>
      <c r="F458" s="177"/>
      <c r="G458" s="179"/>
      <c r="H458" s="179"/>
      <c r="I458" s="177"/>
    </row>
    <row r="459" spans="3:9">
      <c r="C459" s="177"/>
      <c r="D459" s="177"/>
      <c r="E459" s="177"/>
      <c r="F459" s="177"/>
      <c r="G459" s="179"/>
      <c r="H459" s="179"/>
      <c r="I459" s="177"/>
    </row>
    <row r="460" spans="3:9">
      <c r="C460" s="177"/>
      <c r="D460" s="177"/>
      <c r="E460" s="177"/>
      <c r="F460" s="177"/>
      <c r="G460" s="179"/>
      <c r="H460" s="179"/>
      <c r="I460" s="177"/>
    </row>
    <row r="461" spans="3:9">
      <c r="C461" s="177"/>
      <c r="D461" s="177"/>
      <c r="E461" s="177"/>
      <c r="F461" s="177"/>
      <c r="G461" s="179"/>
      <c r="H461" s="179"/>
      <c r="I461" s="177"/>
    </row>
    <row r="462" spans="3:9">
      <c r="C462" s="177"/>
      <c r="D462" s="177"/>
      <c r="E462" s="177"/>
      <c r="F462" s="177"/>
      <c r="G462" s="179"/>
      <c r="H462" s="179"/>
      <c r="I462" s="177"/>
    </row>
    <row r="463" spans="3:9">
      <c r="C463" s="177"/>
      <c r="D463" s="177"/>
      <c r="E463" s="177"/>
      <c r="F463" s="177"/>
      <c r="G463" s="179"/>
      <c r="H463" s="179"/>
      <c r="I463" s="177"/>
    </row>
    <row r="464" spans="3:9">
      <c r="C464" s="177"/>
      <c r="D464" s="177"/>
      <c r="E464" s="177"/>
      <c r="F464" s="177"/>
      <c r="G464" s="179"/>
      <c r="H464" s="179"/>
      <c r="I464" s="177"/>
    </row>
    <row r="465" spans="3:9">
      <c r="C465" s="177"/>
      <c r="D465" s="177"/>
      <c r="E465" s="177"/>
      <c r="F465" s="177"/>
      <c r="G465" s="179"/>
      <c r="H465" s="179"/>
      <c r="I465" s="177"/>
    </row>
    <row r="466" spans="3:9">
      <c r="C466" s="177"/>
      <c r="D466" s="177"/>
      <c r="E466" s="177"/>
      <c r="F466" s="177"/>
      <c r="G466" s="179"/>
      <c r="H466" s="179"/>
      <c r="I466" s="177"/>
    </row>
    <row r="467" spans="3:9">
      <c r="C467" s="177"/>
      <c r="D467" s="177"/>
      <c r="E467" s="177"/>
      <c r="F467" s="177"/>
      <c r="G467" s="179"/>
      <c r="H467" s="179"/>
      <c r="I467" s="177"/>
    </row>
    <row r="468" spans="3:9">
      <c r="C468" s="177"/>
      <c r="D468" s="177"/>
      <c r="E468" s="177"/>
      <c r="F468" s="177"/>
      <c r="G468" s="179"/>
      <c r="H468" s="179"/>
      <c r="I468" s="177"/>
    </row>
    <row r="469" spans="3:9">
      <c r="C469" s="177"/>
      <c r="D469" s="177"/>
      <c r="E469" s="177"/>
      <c r="F469" s="177"/>
      <c r="G469" s="179"/>
      <c r="H469" s="179"/>
      <c r="I469" s="177"/>
    </row>
    <row r="470" spans="3:9">
      <c r="C470" s="177"/>
      <c r="D470" s="177"/>
      <c r="E470" s="177"/>
      <c r="F470" s="177"/>
      <c r="G470" s="179"/>
      <c r="H470" s="179"/>
      <c r="I470" s="177"/>
    </row>
    <row r="471" spans="3:9">
      <c r="C471" s="177"/>
      <c r="D471" s="177"/>
      <c r="E471" s="177"/>
      <c r="F471" s="177"/>
      <c r="G471" s="179"/>
      <c r="H471" s="179"/>
      <c r="I471" s="177"/>
    </row>
    <row r="472" spans="3:9">
      <c r="C472" s="177"/>
      <c r="D472" s="177"/>
      <c r="E472" s="177"/>
      <c r="F472" s="177"/>
      <c r="G472" s="179"/>
      <c r="H472" s="179"/>
      <c r="I472" s="177"/>
    </row>
    <row r="473" spans="3:9">
      <c r="C473" s="177"/>
      <c r="D473" s="177"/>
      <c r="E473" s="177"/>
      <c r="F473" s="177"/>
      <c r="G473" s="179"/>
      <c r="H473" s="179"/>
      <c r="I473" s="177"/>
    </row>
    <row r="474" spans="3:9">
      <c r="C474" s="177"/>
      <c r="D474" s="177"/>
      <c r="E474" s="177"/>
      <c r="F474" s="177"/>
      <c r="G474" s="179"/>
      <c r="H474" s="179"/>
      <c r="I474" s="177"/>
    </row>
    <row r="475" spans="3:9">
      <c r="C475" s="177"/>
      <c r="D475" s="177"/>
      <c r="E475" s="177"/>
      <c r="F475" s="177"/>
      <c r="G475" s="179"/>
      <c r="H475" s="179"/>
      <c r="I475" s="177"/>
    </row>
    <row r="476" spans="3:9">
      <c r="C476" s="177"/>
      <c r="D476" s="177"/>
      <c r="E476" s="177"/>
      <c r="F476" s="177"/>
      <c r="G476" s="179"/>
      <c r="H476" s="179"/>
      <c r="I476" s="177"/>
    </row>
    <row r="477" spans="3:9">
      <c r="C477" s="177"/>
      <c r="D477" s="177"/>
      <c r="E477" s="177"/>
      <c r="F477" s="177"/>
      <c r="G477" s="179"/>
      <c r="H477" s="179"/>
      <c r="I477" s="177"/>
    </row>
    <row r="478" spans="3:9">
      <c r="C478" s="177"/>
      <c r="D478" s="177"/>
      <c r="E478" s="177"/>
      <c r="F478" s="177"/>
      <c r="G478" s="179"/>
      <c r="H478" s="179"/>
      <c r="I478" s="177"/>
    </row>
    <row r="479" spans="3:9">
      <c r="C479" s="177"/>
      <c r="D479" s="177"/>
      <c r="E479" s="177"/>
      <c r="F479" s="177"/>
      <c r="G479" s="179"/>
      <c r="H479" s="179"/>
      <c r="I479" s="177"/>
    </row>
    <row r="480" spans="3:9">
      <c r="C480" s="177"/>
      <c r="D480" s="177"/>
      <c r="E480" s="177"/>
      <c r="F480" s="177"/>
      <c r="G480" s="179"/>
      <c r="H480" s="179"/>
      <c r="I480" s="177"/>
    </row>
    <row r="481" spans="3:9">
      <c r="C481" s="177"/>
      <c r="D481" s="177"/>
      <c r="E481" s="177"/>
      <c r="F481" s="177"/>
      <c r="G481" s="179"/>
      <c r="H481" s="179"/>
      <c r="I481" s="177"/>
    </row>
    <row r="482" spans="3:9">
      <c r="C482" s="177"/>
      <c r="D482" s="177"/>
      <c r="E482" s="177"/>
      <c r="F482" s="177"/>
      <c r="G482" s="179"/>
      <c r="H482" s="179"/>
      <c r="I482" s="177"/>
    </row>
    <row r="483" spans="3:9">
      <c r="C483" s="177"/>
      <c r="D483" s="177"/>
      <c r="E483" s="177"/>
      <c r="F483" s="177"/>
      <c r="G483" s="179"/>
      <c r="H483" s="179"/>
      <c r="I483" s="177"/>
    </row>
    <row r="484" spans="3:9">
      <c r="C484" s="177"/>
      <c r="D484" s="177"/>
      <c r="E484" s="177"/>
      <c r="F484" s="177"/>
      <c r="G484" s="179"/>
      <c r="H484" s="179"/>
      <c r="I484" s="177"/>
    </row>
    <row r="485" spans="3:9">
      <c r="C485" s="177"/>
      <c r="D485" s="177"/>
      <c r="E485" s="177"/>
      <c r="F485" s="177"/>
      <c r="G485" s="179"/>
      <c r="H485" s="179"/>
      <c r="I485" s="177"/>
    </row>
    <row r="486" spans="3:9">
      <c r="C486" s="177"/>
      <c r="D486" s="177"/>
      <c r="E486" s="177"/>
      <c r="F486" s="177"/>
      <c r="G486" s="179"/>
      <c r="H486" s="179"/>
      <c r="I486" s="177"/>
    </row>
    <row r="487" spans="3:9">
      <c r="C487" s="177"/>
      <c r="D487" s="177"/>
      <c r="E487" s="177"/>
      <c r="F487" s="177"/>
      <c r="G487" s="179"/>
      <c r="H487" s="179"/>
      <c r="I487" s="177"/>
    </row>
    <row r="488" spans="3:9">
      <c r="C488" s="177"/>
      <c r="D488" s="177"/>
      <c r="E488" s="177"/>
      <c r="F488" s="177"/>
      <c r="G488" s="179"/>
      <c r="H488" s="179"/>
      <c r="I488" s="177"/>
    </row>
    <row r="489" spans="3:9">
      <c r="C489" s="177"/>
      <c r="D489" s="177"/>
      <c r="E489" s="177"/>
      <c r="F489" s="177"/>
      <c r="G489" s="179"/>
      <c r="H489" s="179"/>
      <c r="I489" s="177"/>
    </row>
    <row r="490" spans="3:9">
      <c r="C490" s="177"/>
      <c r="D490" s="177"/>
      <c r="E490" s="177"/>
      <c r="F490" s="177"/>
      <c r="G490" s="179"/>
      <c r="H490" s="179"/>
      <c r="I490" s="177"/>
    </row>
    <row r="491" spans="3:9">
      <c r="C491" s="177"/>
      <c r="D491" s="177"/>
      <c r="E491" s="177"/>
      <c r="F491" s="177"/>
      <c r="G491" s="179"/>
      <c r="H491" s="179"/>
      <c r="I491" s="177"/>
    </row>
    <row r="492" spans="3:9">
      <c r="C492" s="177"/>
      <c r="D492" s="177"/>
      <c r="E492" s="177"/>
      <c r="F492" s="177"/>
      <c r="G492" s="179"/>
      <c r="H492" s="179"/>
      <c r="I492" s="177"/>
    </row>
    <row r="493" spans="3:9">
      <c r="C493" s="177"/>
      <c r="D493" s="177"/>
      <c r="E493" s="177"/>
      <c r="F493" s="177"/>
      <c r="G493" s="179"/>
      <c r="H493" s="179"/>
      <c r="I493" s="177"/>
    </row>
    <row r="494" spans="3:9">
      <c r="C494" s="177"/>
      <c r="D494" s="177"/>
      <c r="E494" s="177"/>
      <c r="F494" s="177"/>
      <c r="G494" s="179"/>
      <c r="H494" s="179"/>
      <c r="I494" s="177"/>
    </row>
    <row r="495" spans="3:9">
      <c r="C495" s="177"/>
      <c r="D495" s="177"/>
      <c r="E495" s="177"/>
      <c r="F495" s="177"/>
      <c r="G495" s="179"/>
      <c r="H495" s="179"/>
      <c r="I495" s="177"/>
    </row>
    <row r="496" spans="3:9">
      <c r="C496" s="177"/>
      <c r="D496" s="177"/>
      <c r="E496" s="177"/>
      <c r="F496" s="177"/>
      <c r="G496" s="179"/>
      <c r="H496" s="179"/>
      <c r="I496" s="177"/>
    </row>
    <row r="497" spans="3:9">
      <c r="C497" s="177"/>
      <c r="D497" s="177"/>
      <c r="E497" s="177"/>
      <c r="F497" s="177"/>
      <c r="G497" s="179"/>
      <c r="H497" s="179"/>
      <c r="I497" s="177"/>
    </row>
    <row r="498" spans="3:9">
      <c r="C498" s="177"/>
      <c r="D498" s="177"/>
      <c r="E498" s="177"/>
      <c r="F498" s="177"/>
      <c r="G498" s="179"/>
      <c r="H498" s="179"/>
      <c r="I498" s="177"/>
    </row>
    <row r="499" spans="3:9">
      <c r="C499" s="177"/>
      <c r="D499" s="177"/>
      <c r="E499" s="177"/>
      <c r="F499" s="177"/>
      <c r="G499" s="179"/>
      <c r="H499" s="179"/>
      <c r="I499" s="177"/>
    </row>
    <row r="500" spans="3:9">
      <c r="C500" s="177"/>
      <c r="D500" s="177"/>
      <c r="E500" s="177"/>
      <c r="F500" s="177"/>
      <c r="G500" s="179"/>
      <c r="H500" s="179"/>
      <c r="I500" s="177"/>
    </row>
    <row r="501" spans="3:9">
      <c r="C501" s="177"/>
      <c r="D501" s="177"/>
      <c r="E501" s="177"/>
      <c r="F501" s="177"/>
      <c r="G501" s="179"/>
      <c r="H501" s="179"/>
      <c r="I501" s="177"/>
    </row>
    <row r="502" spans="3:9">
      <c r="C502" s="177"/>
      <c r="D502" s="177"/>
      <c r="E502" s="177"/>
      <c r="F502" s="177"/>
      <c r="G502" s="179"/>
      <c r="H502" s="179"/>
      <c r="I502" s="177"/>
    </row>
    <row r="503" spans="3:9">
      <c r="C503" s="177"/>
      <c r="D503" s="177"/>
      <c r="E503" s="177"/>
      <c r="F503" s="177"/>
      <c r="G503" s="179"/>
      <c r="H503" s="179"/>
      <c r="I503" s="177"/>
    </row>
    <row r="504" spans="3:9">
      <c r="C504" s="177"/>
      <c r="D504" s="177"/>
      <c r="E504" s="177"/>
      <c r="F504" s="177"/>
      <c r="G504" s="179"/>
      <c r="H504" s="179"/>
      <c r="I504" s="177"/>
    </row>
    <row r="505" spans="3:9">
      <c r="C505" s="177"/>
      <c r="D505" s="177"/>
      <c r="E505" s="177"/>
      <c r="F505" s="177"/>
      <c r="G505" s="179"/>
      <c r="H505" s="179"/>
      <c r="I505" s="177"/>
    </row>
    <row r="506" spans="3:9">
      <c r="C506" s="177"/>
      <c r="D506" s="177"/>
      <c r="E506" s="177"/>
      <c r="F506" s="177"/>
      <c r="G506" s="179"/>
      <c r="H506" s="179"/>
      <c r="I506" s="177"/>
    </row>
    <row r="507" spans="3:9">
      <c r="C507" s="177"/>
      <c r="D507" s="177"/>
      <c r="E507" s="177"/>
      <c r="F507" s="177"/>
      <c r="G507" s="179"/>
      <c r="H507" s="179"/>
      <c r="I507" s="177"/>
    </row>
    <row r="508" spans="3:9">
      <c r="C508" s="177"/>
      <c r="D508" s="177"/>
      <c r="E508" s="177"/>
      <c r="F508" s="177"/>
      <c r="G508" s="179"/>
      <c r="H508" s="179"/>
      <c r="I508" s="177"/>
    </row>
    <row r="509" spans="3:9">
      <c r="C509" s="177"/>
      <c r="D509" s="177"/>
      <c r="E509" s="177"/>
      <c r="F509" s="177"/>
      <c r="G509" s="179"/>
      <c r="H509" s="179"/>
      <c r="I509" s="177"/>
    </row>
    <row r="510" spans="3:9">
      <c r="C510" s="177"/>
      <c r="D510" s="177"/>
      <c r="E510" s="177"/>
      <c r="F510" s="177"/>
      <c r="G510" s="179"/>
      <c r="H510" s="179"/>
      <c r="I510" s="177"/>
    </row>
    <row r="511" spans="3:9">
      <c r="C511" s="177"/>
      <c r="D511" s="177"/>
      <c r="E511" s="177"/>
      <c r="F511" s="177"/>
      <c r="G511" s="179"/>
      <c r="H511" s="179"/>
      <c r="I511" s="177"/>
    </row>
    <row r="512" spans="3:9">
      <c r="C512" s="177"/>
      <c r="D512" s="177"/>
      <c r="E512" s="177"/>
      <c r="F512" s="177"/>
      <c r="G512" s="179"/>
      <c r="H512" s="179"/>
      <c r="I512" s="177"/>
    </row>
    <row r="513" spans="3:9">
      <c r="C513" s="177"/>
      <c r="D513" s="177"/>
      <c r="E513" s="177"/>
      <c r="F513" s="177"/>
      <c r="G513" s="179"/>
      <c r="H513" s="179"/>
      <c r="I513" s="177"/>
    </row>
    <row r="514" spans="3:9">
      <c r="C514" s="177"/>
      <c r="D514" s="177"/>
      <c r="E514" s="177"/>
      <c r="F514" s="177"/>
      <c r="G514" s="179"/>
      <c r="H514" s="179"/>
      <c r="I514" s="177"/>
    </row>
    <row r="515" spans="3:9">
      <c r="C515" s="177"/>
      <c r="D515" s="177"/>
      <c r="E515" s="177"/>
      <c r="F515" s="177"/>
      <c r="G515" s="179"/>
      <c r="H515" s="179"/>
      <c r="I515" s="177"/>
    </row>
    <row r="516" spans="3:9">
      <c r="C516" s="177"/>
      <c r="D516" s="177"/>
      <c r="E516" s="177"/>
      <c r="F516" s="177"/>
      <c r="G516" s="179"/>
      <c r="H516" s="179"/>
      <c r="I516" s="177"/>
    </row>
    <row r="517" spans="3:9">
      <c r="C517" s="177"/>
      <c r="D517" s="177"/>
      <c r="E517" s="177"/>
      <c r="F517" s="177"/>
      <c r="G517" s="179"/>
      <c r="H517" s="179"/>
      <c r="I517" s="177"/>
    </row>
    <row r="518" spans="3:9">
      <c r="C518" s="177"/>
      <c r="D518" s="177"/>
      <c r="E518" s="177"/>
      <c r="F518" s="177"/>
      <c r="G518" s="179"/>
      <c r="H518" s="179"/>
      <c r="I518" s="177"/>
    </row>
    <row r="519" spans="3:9">
      <c r="C519" s="177"/>
      <c r="D519" s="177"/>
      <c r="E519" s="177"/>
      <c r="F519" s="177"/>
      <c r="G519" s="179"/>
      <c r="H519" s="179"/>
      <c r="I519" s="177"/>
    </row>
    <row r="520" spans="3:9">
      <c r="C520" s="177"/>
      <c r="D520" s="177"/>
      <c r="E520" s="177"/>
      <c r="F520" s="177"/>
      <c r="G520" s="179"/>
      <c r="H520" s="179"/>
      <c r="I520" s="177"/>
    </row>
    <row r="521" spans="3:9">
      <c r="C521" s="177"/>
      <c r="D521" s="177"/>
      <c r="E521" s="177"/>
      <c r="F521" s="177"/>
      <c r="G521" s="179"/>
      <c r="H521" s="179"/>
      <c r="I521" s="177"/>
    </row>
    <row r="522" spans="3:9">
      <c r="C522" s="177"/>
      <c r="D522" s="177"/>
      <c r="E522" s="177"/>
      <c r="F522" s="177"/>
      <c r="G522" s="179"/>
      <c r="H522" s="179"/>
      <c r="I522" s="177"/>
    </row>
    <row r="523" spans="3:9">
      <c r="C523" s="177"/>
      <c r="D523" s="177"/>
      <c r="E523" s="177"/>
      <c r="F523" s="177"/>
      <c r="G523" s="179"/>
      <c r="H523" s="179"/>
      <c r="I523" s="177"/>
    </row>
    <row r="524" spans="3:9">
      <c r="C524" s="177"/>
      <c r="D524" s="177"/>
      <c r="E524" s="177"/>
      <c r="F524" s="177"/>
      <c r="G524" s="179"/>
      <c r="H524" s="179"/>
      <c r="I524" s="177"/>
    </row>
    <row r="525" spans="3:9">
      <c r="C525" s="177"/>
      <c r="D525" s="177"/>
      <c r="E525" s="177"/>
      <c r="F525" s="177"/>
      <c r="G525" s="179"/>
      <c r="H525" s="179"/>
      <c r="I525" s="177"/>
    </row>
    <row r="526" spans="3:9">
      <c r="C526" s="177"/>
      <c r="D526" s="177"/>
      <c r="E526" s="177"/>
      <c r="F526" s="177"/>
      <c r="G526" s="179"/>
      <c r="H526" s="179"/>
      <c r="I526" s="177"/>
    </row>
    <row r="527" spans="3:9">
      <c r="C527" s="177"/>
      <c r="D527" s="177"/>
      <c r="E527" s="177"/>
      <c r="F527" s="177"/>
      <c r="G527" s="179"/>
      <c r="H527" s="179"/>
      <c r="I527" s="177"/>
    </row>
    <row r="528" spans="3:9">
      <c r="C528" s="177"/>
      <c r="D528" s="177"/>
      <c r="E528" s="177"/>
      <c r="F528" s="177"/>
      <c r="G528" s="179"/>
      <c r="H528" s="179"/>
      <c r="I528" s="177"/>
    </row>
    <row r="529" spans="3:9">
      <c r="C529" s="177"/>
      <c r="D529" s="177"/>
      <c r="E529" s="177"/>
      <c r="F529" s="177"/>
      <c r="G529" s="179"/>
      <c r="H529" s="179"/>
      <c r="I529" s="177"/>
    </row>
    <row r="530" spans="3:9">
      <c r="C530" s="177"/>
      <c r="D530" s="177"/>
      <c r="E530" s="177"/>
      <c r="F530" s="177"/>
      <c r="G530" s="179"/>
      <c r="H530" s="179"/>
      <c r="I530" s="177"/>
    </row>
    <row r="531" spans="3:9">
      <c r="C531" s="177"/>
      <c r="D531" s="177"/>
      <c r="E531" s="177"/>
      <c r="F531" s="177"/>
      <c r="G531" s="179"/>
      <c r="H531" s="179"/>
      <c r="I531" s="177"/>
    </row>
    <row r="532" spans="3:9">
      <c r="C532" s="177"/>
      <c r="D532" s="177"/>
      <c r="E532" s="177"/>
      <c r="F532" s="177"/>
      <c r="G532" s="179"/>
      <c r="H532" s="179"/>
      <c r="I532" s="177"/>
    </row>
    <row r="533" spans="3:9">
      <c r="C533" s="177"/>
      <c r="D533" s="177"/>
      <c r="E533" s="177"/>
      <c r="F533" s="177"/>
      <c r="G533" s="179"/>
      <c r="H533" s="179"/>
      <c r="I533" s="177"/>
    </row>
    <row r="534" spans="3:9">
      <c r="C534" s="177"/>
      <c r="D534" s="177"/>
      <c r="E534" s="177"/>
      <c r="F534" s="177"/>
      <c r="G534" s="179"/>
      <c r="H534" s="179"/>
      <c r="I534" s="177"/>
    </row>
    <row r="535" spans="3:9">
      <c r="C535" s="177"/>
      <c r="D535" s="177"/>
      <c r="E535" s="177"/>
      <c r="F535" s="177"/>
      <c r="G535" s="179"/>
      <c r="H535" s="179"/>
      <c r="I535" s="177"/>
    </row>
    <row r="536" spans="3:9">
      <c r="C536" s="177"/>
      <c r="D536" s="177"/>
      <c r="E536" s="177"/>
      <c r="F536" s="177"/>
      <c r="G536" s="179"/>
      <c r="H536" s="179"/>
      <c r="I536" s="177"/>
    </row>
    <row r="537" spans="3:9">
      <c r="C537" s="177"/>
      <c r="D537" s="177"/>
      <c r="E537" s="177"/>
      <c r="F537" s="177"/>
      <c r="G537" s="179"/>
      <c r="H537" s="179"/>
      <c r="I537" s="177"/>
    </row>
    <row r="538" spans="3:9">
      <c r="C538" s="177"/>
      <c r="D538" s="177"/>
      <c r="E538" s="177"/>
      <c r="F538" s="177"/>
      <c r="G538" s="179"/>
      <c r="H538" s="179"/>
      <c r="I538" s="177"/>
    </row>
    <row r="539" spans="3:9">
      <c r="C539" s="177"/>
      <c r="D539" s="177"/>
      <c r="E539" s="177"/>
      <c r="F539" s="177"/>
      <c r="G539" s="179"/>
      <c r="H539" s="179"/>
      <c r="I539" s="177"/>
    </row>
    <row r="540" spans="3:9">
      <c r="C540" s="177"/>
      <c r="D540" s="177"/>
      <c r="E540" s="177"/>
      <c r="F540" s="177"/>
      <c r="G540" s="179"/>
      <c r="H540" s="179"/>
      <c r="I540" s="177"/>
    </row>
    <row r="541" spans="3:9">
      <c r="C541" s="177"/>
      <c r="D541" s="177"/>
      <c r="E541" s="177"/>
      <c r="F541" s="177"/>
      <c r="G541" s="179"/>
      <c r="H541" s="179"/>
      <c r="I541" s="177"/>
    </row>
    <row r="542" spans="3:9">
      <c r="C542" s="177"/>
      <c r="D542" s="177"/>
      <c r="E542" s="177"/>
      <c r="F542" s="177"/>
      <c r="G542" s="179"/>
      <c r="H542" s="179"/>
      <c r="I542" s="177"/>
    </row>
    <row r="543" spans="3:9">
      <c r="C543" s="177"/>
      <c r="D543" s="177"/>
      <c r="E543" s="177"/>
      <c r="F543" s="177"/>
      <c r="G543" s="179"/>
      <c r="H543" s="179"/>
      <c r="I543" s="177"/>
    </row>
    <row r="544" spans="3:9">
      <c r="C544" s="177"/>
      <c r="D544" s="177"/>
      <c r="E544" s="177"/>
      <c r="F544" s="177"/>
      <c r="G544" s="179"/>
      <c r="H544" s="179"/>
      <c r="I544" s="177"/>
    </row>
    <row r="545" spans="3:9">
      <c r="C545" s="177"/>
      <c r="D545" s="177"/>
      <c r="E545" s="177"/>
      <c r="F545" s="177"/>
      <c r="G545" s="179"/>
      <c r="H545" s="179"/>
      <c r="I545" s="177"/>
    </row>
    <row r="546" spans="3:9">
      <c r="C546" s="177"/>
      <c r="D546" s="177"/>
      <c r="E546" s="177"/>
      <c r="F546" s="177"/>
      <c r="G546" s="179"/>
      <c r="H546" s="179"/>
      <c r="I546" s="177"/>
    </row>
    <row r="547" spans="3:9">
      <c r="C547" s="177"/>
      <c r="D547" s="177"/>
      <c r="E547" s="177"/>
      <c r="F547" s="177"/>
      <c r="G547" s="179"/>
      <c r="H547" s="179"/>
      <c r="I547" s="177"/>
    </row>
    <row r="548" spans="3:9">
      <c r="C548" s="177"/>
      <c r="D548" s="177"/>
      <c r="E548" s="177"/>
      <c r="F548" s="177"/>
      <c r="G548" s="179"/>
      <c r="H548" s="179"/>
      <c r="I548" s="177"/>
    </row>
    <row r="549" spans="3:9">
      <c r="C549" s="177"/>
      <c r="D549" s="177"/>
      <c r="E549" s="177"/>
      <c r="F549" s="177"/>
      <c r="G549" s="179"/>
      <c r="H549" s="179"/>
      <c r="I549" s="177"/>
    </row>
    <row r="550" spans="3:9">
      <c r="C550" s="177"/>
      <c r="D550" s="177"/>
      <c r="E550" s="177"/>
      <c r="F550" s="177"/>
      <c r="G550" s="179"/>
      <c r="H550" s="179"/>
      <c r="I550" s="177"/>
    </row>
    <row r="551" spans="3:9">
      <c r="C551" s="177"/>
      <c r="D551" s="177"/>
      <c r="E551" s="177"/>
      <c r="F551" s="177"/>
      <c r="G551" s="179"/>
      <c r="H551" s="179"/>
      <c r="I551" s="177"/>
    </row>
    <row r="552" spans="3:9">
      <c r="C552" s="177"/>
      <c r="D552" s="177"/>
      <c r="E552" s="177"/>
      <c r="F552" s="177"/>
      <c r="G552" s="179"/>
      <c r="H552" s="179"/>
      <c r="I552" s="177"/>
    </row>
    <row r="553" spans="3:9">
      <c r="C553" s="177"/>
      <c r="D553" s="177"/>
      <c r="E553" s="177"/>
      <c r="F553" s="177"/>
      <c r="G553" s="179"/>
      <c r="H553" s="179"/>
      <c r="I553" s="177"/>
    </row>
    <row r="554" spans="3:9">
      <c r="C554" s="177"/>
      <c r="D554" s="177"/>
      <c r="E554" s="177"/>
      <c r="F554" s="177"/>
      <c r="G554" s="179"/>
      <c r="H554" s="179"/>
      <c r="I554" s="177"/>
    </row>
    <row r="555" spans="3:9">
      <c r="C555" s="177"/>
      <c r="D555" s="177"/>
      <c r="E555" s="177"/>
      <c r="F555" s="177"/>
      <c r="G555" s="179"/>
      <c r="H555" s="179"/>
      <c r="I555" s="177"/>
    </row>
    <row r="556" spans="3:9">
      <c r="C556" s="177"/>
      <c r="D556" s="177"/>
      <c r="E556" s="177"/>
      <c r="F556" s="177"/>
      <c r="G556" s="179"/>
      <c r="H556" s="179"/>
      <c r="I556" s="177"/>
    </row>
    <row r="557" spans="3:9">
      <c r="C557" s="177"/>
      <c r="D557" s="177"/>
      <c r="E557" s="177"/>
      <c r="F557" s="177"/>
      <c r="G557" s="179"/>
      <c r="H557" s="179"/>
      <c r="I557" s="177"/>
    </row>
    <row r="558" spans="3:9">
      <c r="C558" s="177"/>
      <c r="D558" s="177"/>
      <c r="E558" s="177"/>
      <c r="F558" s="177"/>
      <c r="G558" s="179"/>
      <c r="H558" s="179"/>
      <c r="I558" s="177"/>
    </row>
    <row r="559" spans="3:9">
      <c r="C559" s="177"/>
      <c r="D559" s="177"/>
      <c r="E559" s="177"/>
      <c r="F559" s="177"/>
      <c r="G559" s="179"/>
      <c r="H559" s="179"/>
      <c r="I559" s="177"/>
    </row>
    <row r="560" spans="3:9">
      <c r="C560" s="177"/>
      <c r="D560" s="177"/>
      <c r="E560" s="177"/>
      <c r="F560" s="177"/>
      <c r="G560" s="179"/>
      <c r="H560" s="179"/>
      <c r="I560" s="177"/>
    </row>
    <row r="561" spans="3:9">
      <c r="C561" s="177"/>
      <c r="D561" s="177"/>
      <c r="E561" s="177"/>
      <c r="F561" s="177"/>
      <c r="G561" s="179"/>
      <c r="H561" s="179"/>
      <c r="I561" s="177"/>
    </row>
    <row r="562" spans="3:9">
      <c r="C562" s="177"/>
      <c r="D562" s="177"/>
      <c r="E562" s="177"/>
      <c r="F562" s="177"/>
      <c r="G562" s="179"/>
      <c r="H562" s="179"/>
      <c r="I562" s="177"/>
    </row>
    <row r="563" spans="3:9">
      <c r="C563" s="177"/>
      <c r="D563" s="177"/>
      <c r="E563" s="177"/>
      <c r="F563" s="177"/>
      <c r="G563" s="179"/>
      <c r="H563" s="179"/>
      <c r="I563" s="177"/>
    </row>
    <row r="564" spans="3:9">
      <c r="C564" s="177"/>
      <c r="D564" s="177"/>
      <c r="E564" s="177"/>
      <c r="F564" s="177"/>
      <c r="G564" s="179"/>
      <c r="H564" s="179"/>
      <c r="I564" s="177"/>
    </row>
    <row r="565" spans="3:9">
      <c r="C565" s="177"/>
      <c r="D565" s="177"/>
      <c r="E565" s="177"/>
      <c r="F565" s="177"/>
      <c r="G565" s="179"/>
      <c r="H565" s="179"/>
      <c r="I565" s="177"/>
    </row>
    <row r="566" spans="3:9">
      <c r="C566" s="177"/>
      <c r="D566" s="177"/>
      <c r="E566" s="177"/>
      <c r="F566" s="177"/>
      <c r="G566" s="179"/>
      <c r="H566" s="179"/>
      <c r="I566" s="177"/>
    </row>
    <row r="567" spans="3:9">
      <c r="C567" s="177"/>
      <c r="D567" s="177"/>
      <c r="E567" s="177"/>
      <c r="F567" s="177"/>
      <c r="G567" s="179"/>
      <c r="H567" s="179"/>
      <c r="I567" s="177"/>
    </row>
    <row r="568" spans="3:9">
      <c r="C568" s="177"/>
      <c r="D568" s="177"/>
      <c r="E568" s="177"/>
      <c r="F568" s="177"/>
      <c r="G568" s="179"/>
      <c r="H568" s="179"/>
      <c r="I568" s="177"/>
    </row>
    <row r="569" spans="3:9">
      <c r="C569" s="177"/>
      <c r="D569" s="177"/>
      <c r="E569" s="177"/>
      <c r="F569" s="177"/>
      <c r="G569" s="179"/>
      <c r="H569" s="179"/>
      <c r="I569" s="177"/>
    </row>
    <row r="570" spans="3:9">
      <c r="C570" s="177"/>
      <c r="D570" s="177"/>
      <c r="E570" s="177"/>
      <c r="F570" s="177"/>
      <c r="G570" s="179"/>
      <c r="H570" s="179"/>
      <c r="I570" s="177"/>
    </row>
    <row r="571" spans="3:9">
      <c r="C571" s="177"/>
      <c r="D571" s="177"/>
      <c r="E571" s="177"/>
      <c r="F571" s="177"/>
      <c r="G571" s="179"/>
      <c r="H571" s="179"/>
      <c r="I571" s="177"/>
    </row>
    <row r="572" spans="3:9">
      <c r="C572" s="177"/>
      <c r="D572" s="177"/>
      <c r="E572" s="177"/>
      <c r="F572" s="177"/>
      <c r="G572" s="179"/>
      <c r="H572" s="179"/>
      <c r="I572" s="177"/>
    </row>
    <row r="573" spans="3:9">
      <c r="C573" s="177"/>
      <c r="D573" s="177"/>
      <c r="E573" s="177"/>
      <c r="F573" s="177"/>
      <c r="G573" s="179"/>
      <c r="H573" s="179"/>
      <c r="I573" s="177"/>
    </row>
    <row r="574" spans="3:9">
      <c r="C574" s="177"/>
      <c r="D574" s="177"/>
      <c r="E574" s="177"/>
      <c r="F574" s="177"/>
      <c r="G574" s="179"/>
      <c r="H574" s="179"/>
      <c r="I574" s="177"/>
    </row>
    <row r="575" spans="3:9">
      <c r="C575" s="177"/>
      <c r="D575" s="177"/>
      <c r="E575" s="177"/>
      <c r="F575" s="177"/>
      <c r="G575" s="179"/>
      <c r="H575" s="179"/>
      <c r="I575" s="177"/>
    </row>
    <row r="576" spans="3:9">
      <c r="C576" s="177"/>
      <c r="D576" s="177"/>
      <c r="E576" s="177"/>
      <c r="F576" s="177"/>
      <c r="G576" s="179"/>
      <c r="H576" s="179"/>
      <c r="I576" s="177"/>
    </row>
    <row r="577" spans="3:9">
      <c r="C577" s="177"/>
      <c r="D577" s="177"/>
      <c r="E577" s="177"/>
      <c r="F577" s="177"/>
      <c r="G577" s="179"/>
      <c r="H577" s="179"/>
      <c r="I577" s="177"/>
    </row>
    <row r="578" spans="3:9">
      <c r="C578" s="177"/>
      <c r="D578" s="177"/>
      <c r="E578" s="177"/>
      <c r="F578" s="177"/>
      <c r="G578" s="179"/>
      <c r="H578" s="179"/>
      <c r="I578" s="177"/>
    </row>
    <row r="579" spans="3:9">
      <c r="C579" s="177"/>
      <c r="D579" s="177"/>
      <c r="E579" s="177"/>
      <c r="F579" s="177"/>
      <c r="G579" s="179"/>
      <c r="H579" s="179"/>
      <c r="I579" s="177"/>
    </row>
    <row r="580" spans="3:9">
      <c r="C580" s="177"/>
      <c r="D580" s="177"/>
      <c r="E580" s="177"/>
      <c r="F580" s="177"/>
      <c r="G580" s="179"/>
      <c r="H580" s="179"/>
      <c r="I580" s="177"/>
    </row>
    <row r="581" spans="3:9">
      <c r="C581" s="177"/>
      <c r="D581" s="177"/>
      <c r="E581" s="177"/>
      <c r="F581" s="177"/>
      <c r="G581" s="179"/>
      <c r="H581" s="179"/>
      <c r="I581" s="177"/>
    </row>
    <row r="582" spans="3:9">
      <c r="C582" s="177"/>
      <c r="D582" s="177"/>
      <c r="E582" s="177"/>
      <c r="F582" s="177"/>
      <c r="G582" s="179"/>
      <c r="H582" s="179"/>
      <c r="I582" s="177"/>
    </row>
    <row r="583" spans="3:9">
      <c r="C583" s="177"/>
      <c r="D583" s="177"/>
      <c r="E583" s="177"/>
      <c r="F583" s="177"/>
      <c r="G583" s="179"/>
      <c r="H583" s="179"/>
      <c r="I583" s="177"/>
    </row>
    <row r="584" spans="3:9">
      <c r="C584" s="177"/>
      <c r="D584" s="177"/>
      <c r="E584" s="177"/>
      <c r="F584" s="177"/>
      <c r="G584" s="179"/>
      <c r="H584" s="179"/>
      <c r="I584" s="177"/>
    </row>
    <row r="585" spans="3:9">
      <c r="C585" s="177"/>
      <c r="D585" s="177"/>
      <c r="E585" s="177"/>
      <c r="F585" s="177"/>
      <c r="G585" s="179"/>
      <c r="H585" s="179"/>
      <c r="I585" s="177"/>
    </row>
    <row r="586" spans="3:9">
      <c r="C586" s="177"/>
      <c r="D586" s="177"/>
      <c r="E586" s="177"/>
      <c r="F586" s="177"/>
      <c r="G586" s="179"/>
      <c r="H586" s="179"/>
      <c r="I586" s="177"/>
    </row>
    <row r="587" spans="3:9">
      <c r="C587" s="177"/>
      <c r="D587" s="177"/>
      <c r="E587" s="177"/>
      <c r="F587" s="177"/>
      <c r="G587" s="179"/>
      <c r="H587" s="179"/>
      <c r="I587" s="177"/>
    </row>
    <row r="588" spans="3:9">
      <c r="C588" s="177"/>
      <c r="D588" s="177"/>
      <c r="E588" s="177"/>
      <c r="F588" s="177"/>
      <c r="G588" s="179"/>
      <c r="H588" s="179"/>
      <c r="I588" s="177"/>
    </row>
    <row r="589" spans="3:9">
      <c r="C589" s="177"/>
      <c r="D589" s="177"/>
      <c r="E589" s="177"/>
      <c r="F589" s="177"/>
      <c r="G589" s="179"/>
      <c r="H589" s="179"/>
      <c r="I589" s="177"/>
    </row>
    <row r="590" spans="3:9">
      <c r="C590" s="177"/>
      <c r="D590" s="177"/>
      <c r="E590" s="177"/>
      <c r="F590" s="177"/>
      <c r="G590" s="179"/>
      <c r="H590" s="179"/>
      <c r="I590" s="177"/>
    </row>
    <row r="591" spans="3:9">
      <c r="C591" s="177"/>
      <c r="D591" s="177"/>
      <c r="E591" s="177"/>
      <c r="F591" s="177"/>
      <c r="G591" s="179"/>
      <c r="H591" s="179"/>
      <c r="I591" s="177"/>
    </row>
    <row r="592" spans="3:9">
      <c r="C592" s="177"/>
      <c r="D592" s="177"/>
      <c r="E592" s="177"/>
      <c r="F592" s="177"/>
      <c r="G592" s="179"/>
      <c r="H592" s="179"/>
      <c r="I592" s="177"/>
    </row>
    <row r="593" spans="3:9">
      <c r="C593" s="177"/>
      <c r="D593" s="177"/>
      <c r="E593" s="177"/>
      <c r="F593" s="177"/>
      <c r="G593" s="179"/>
      <c r="H593" s="179"/>
      <c r="I593" s="177"/>
    </row>
    <row r="594" spans="3:9">
      <c r="C594" s="177"/>
      <c r="D594" s="177"/>
      <c r="E594" s="177"/>
      <c r="F594" s="177"/>
      <c r="G594" s="179"/>
      <c r="H594" s="179"/>
      <c r="I594" s="177"/>
    </row>
    <row r="595" spans="3:9">
      <c r="C595" s="177"/>
      <c r="D595" s="177"/>
      <c r="E595" s="177"/>
      <c r="F595" s="177"/>
      <c r="G595" s="179"/>
      <c r="H595" s="179"/>
      <c r="I595" s="177"/>
    </row>
    <row r="596" spans="3:9">
      <c r="C596" s="177"/>
      <c r="D596" s="177"/>
      <c r="E596" s="177"/>
      <c r="F596" s="177"/>
      <c r="G596" s="179"/>
      <c r="H596" s="179"/>
      <c r="I596" s="177"/>
    </row>
    <row r="597" spans="3:9">
      <c r="C597" s="177"/>
      <c r="D597" s="177"/>
      <c r="E597" s="177"/>
      <c r="F597" s="177"/>
      <c r="G597" s="179"/>
      <c r="H597" s="179"/>
      <c r="I597" s="177"/>
    </row>
    <row r="598" spans="3:9">
      <c r="C598" s="177"/>
      <c r="D598" s="177"/>
      <c r="E598" s="177"/>
      <c r="F598" s="177"/>
      <c r="G598" s="179"/>
      <c r="H598" s="179"/>
      <c r="I598" s="177"/>
    </row>
    <row r="599" spans="3:9">
      <c r="C599" s="177"/>
      <c r="D599" s="177"/>
      <c r="E599" s="177"/>
      <c r="F599" s="177"/>
      <c r="G599" s="179"/>
      <c r="H599" s="179"/>
      <c r="I599" s="177"/>
    </row>
    <row r="600" spans="3:9">
      <c r="C600" s="177"/>
      <c r="D600" s="177"/>
      <c r="E600" s="177"/>
      <c r="F600" s="177"/>
      <c r="G600" s="179"/>
      <c r="H600" s="179"/>
      <c r="I600" s="177"/>
    </row>
    <row r="601" spans="3:9">
      <c r="C601" s="177"/>
      <c r="D601" s="177"/>
      <c r="E601" s="177"/>
      <c r="F601" s="177"/>
      <c r="G601" s="179"/>
      <c r="H601" s="179"/>
      <c r="I601" s="177"/>
    </row>
    <row r="602" spans="3:9">
      <c r="C602" s="177"/>
      <c r="D602" s="177"/>
      <c r="E602" s="177"/>
      <c r="F602" s="177"/>
      <c r="G602" s="179"/>
      <c r="H602" s="179"/>
      <c r="I602" s="177"/>
    </row>
    <row r="603" spans="3:9">
      <c r="C603" s="177"/>
      <c r="D603" s="177"/>
      <c r="E603" s="177"/>
      <c r="F603" s="177"/>
      <c r="G603" s="179"/>
      <c r="H603" s="179"/>
      <c r="I603" s="177"/>
    </row>
    <row r="604" spans="3:9">
      <c r="C604" s="177"/>
      <c r="D604" s="177"/>
      <c r="E604" s="177"/>
      <c r="F604" s="177"/>
      <c r="G604" s="179"/>
      <c r="H604" s="179"/>
      <c r="I604" s="177"/>
    </row>
    <row r="605" spans="3:9">
      <c r="C605" s="177"/>
      <c r="D605" s="177"/>
      <c r="E605" s="177"/>
      <c r="F605" s="177"/>
      <c r="G605" s="179"/>
      <c r="H605" s="179"/>
      <c r="I605" s="177"/>
    </row>
    <row r="606" spans="3:9">
      <c r="C606" s="177"/>
      <c r="D606" s="177"/>
      <c r="E606" s="177"/>
      <c r="F606" s="177"/>
      <c r="G606" s="179"/>
      <c r="H606" s="179"/>
      <c r="I606" s="177"/>
    </row>
    <row r="607" spans="3:9">
      <c r="C607" s="177"/>
      <c r="D607" s="177"/>
      <c r="E607" s="177"/>
      <c r="F607" s="177"/>
      <c r="G607" s="179"/>
      <c r="H607" s="179"/>
      <c r="I607" s="177"/>
    </row>
    <row r="608" spans="3:9">
      <c r="C608" s="177"/>
      <c r="D608" s="177"/>
      <c r="E608" s="177"/>
      <c r="F608" s="177"/>
      <c r="G608" s="179"/>
      <c r="H608" s="179"/>
      <c r="I608" s="177"/>
    </row>
    <row r="609" spans="3:9">
      <c r="C609" s="177"/>
      <c r="D609" s="177"/>
      <c r="E609" s="177"/>
      <c r="F609" s="177"/>
      <c r="G609" s="179"/>
      <c r="H609" s="179"/>
      <c r="I609" s="177"/>
    </row>
    <row r="610" spans="3:9">
      <c r="C610" s="177"/>
      <c r="D610" s="177"/>
      <c r="E610" s="177"/>
      <c r="F610" s="177"/>
      <c r="G610" s="179"/>
      <c r="H610" s="179"/>
      <c r="I610" s="177"/>
    </row>
    <row r="611" spans="3:9">
      <c r="C611" s="177"/>
      <c r="D611" s="177"/>
      <c r="E611" s="177"/>
      <c r="F611" s="177"/>
      <c r="G611" s="179"/>
      <c r="H611" s="179"/>
      <c r="I611" s="177"/>
    </row>
    <row r="612" spans="3:9">
      <c r="C612" s="177"/>
      <c r="D612" s="177"/>
      <c r="E612" s="177"/>
      <c r="F612" s="177"/>
      <c r="G612" s="179"/>
      <c r="H612" s="179"/>
      <c r="I612" s="177"/>
    </row>
    <row r="613" spans="3:9">
      <c r="C613" s="177"/>
      <c r="D613" s="177"/>
      <c r="E613" s="177"/>
      <c r="F613" s="177"/>
      <c r="G613" s="179"/>
      <c r="H613" s="179"/>
      <c r="I613" s="177"/>
    </row>
    <row r="614" spans="3:9">
      <c r="C614" s="177"/>
      <c r="D614" s="177"/>
      <c r="E614" s="177"/>
      <c r="F614" s="177"/>
      <c r="G614" s="179"/>
      <c r="H614" s="179"/>
      <c r="I614" s="177"/>
    </row>
    <row r="615" spans="3:9">
      <c r="C615" s="177"/>
      <c r="D615" s="177"/>
      <c r="E615" s="177"/>
      <c r="F615" s="177"/>
      <c r="G615" s="179"/>
      <c r="H615" s="179"/>
      <c r="I615" s="177"/>
    </row>
    <row r="616" spans="3:9">
      <c r="C616" s="177"/>
      <c r="D616" s="177"/>
      <c r="E616" s="177"/>
      <c r="F616" s="177"/>
      <c r="G616" s="179"/>
      <c r="H616" s="179"/>
      <c r="I616" s="177"/>
    </row>
    <row r="617" spans="3:9">
      <c r="C617" s="177"/>
      <c r="D617" s="177"/>
      <c r="E617" s="177"/>
      <c r="F617" s="177"/>
      <c r="G617" s="179"/>
      <c r="H617" s="179"/>
      <c r="I617" s="177"/>
    </row>
    <row r="618" spans="3:9">
      <c r="C618" s="177"/>
      <c r="D618" s="177"/>
      <c r="E618" s="177"/>
      <c r="F618" s="177"/>
      <c r="G618" s="179"/>
      <c r="H618" s="179"/>
      <c r="I618" s="177"/>
    </row>
    <row r="619" spans="3:9">
      <c r="C619" s="177"/>
      <c r="D619" s="177"/>
      <c r="E619" s="177"/>
      <c r="F619" s="177"/>
      <c r="G619" s="179"/>
      <c r="H619" s="179"/>
      <c r="I619" s="177"/>
    </row>
    <row r="620" spans="3:9">
      <c r="C620" s="177"/>
      <c r="D620" s="177"/>
      <c r="E620" s="177"/>
      <c r="F620" s="177"/>
      <c r="G620" s="179"/>
      <c r="H620" s="179"/>
      <c r="I620" s="177"/>
    </row>
    <row r="621" spans="3:9">
      <c r="C621" s="177"/>
      <c r="D621" s="177"/>
      <c r="E621" s="177"/>
      <c r="F621" s="177"/>
      <c r="G621" s="179"/>
      <c r="H621" s="179"/>
      <c r="I621" s="177"/>
    </row>
    <row r="622" spans="3:9">
      <c r="C622" s="177"/>
      <c r="D622" s="177"/>
      <c r="E622" s="177"/>
      <c r="F622" s="177"/>
      <c r="G622" s="179"/>
      <c r="H622" s="179"/>
      <c r="I622" s="177"/>
    </row>
    <row r="623" spans="3:9">
      <c r="C623" s="177"/>
      <c r="D623" s="177"/>
      <c r="E623" s="177"/>
      <c r="F623" s="177"/>
      <c r="G623" s="179"/>
      <c r="H623" s="179"/>
      <c r="I623" s="177"/>
    </row>
    <row r="624" spans="3:9">
      <c r="C624" s="177"/>
      <c r="D624" s="177"/>
      <c r="E624" s="177"/>
      <c r="F624" s="177"/>
      <c r="G624" s="179"/>
      <c r="H624" s="179"/>
      <c r="I624" s="177"/>
    </row>
    <row r="625" spans="3:9">
      <c r="C625" s="177"/>
      <c r="D625" s="177"/>
      <c r="E625" s="177"/>
      <c r="F625" s="177"/>
      <c r="G625" s="179"/>
      <c r="H625" s="179"/>
      <c r="I625" s="177"/>
    </row>
    <row r="626" spans="3:9">
      <c r="C626" s="177"/>
      <c r="D626" s="177"/>
      <c r="E626" s="177"/>
      <c r="F626" s="177"/>
      <c r="G626" s="179"/>
      <c r="H626" s="179"/>
      <c r="I626" s="177"/>
    </row>
    <row r="627" spans="3:9">
      <c r="C627" s="177"/>
      <c r="D627" s="177"/>
      <c r="E627" s="177"/>
      <c r="F627" s="177"/>
      <c r="G627" s="179"/>
      <c r="H627" s="179"/>
      <c r="I627" s="177"/>
    </row>
    <row r="628" spans="3:9">
      <c r="C628" s="177"/>
      <c r="D628" s="177"/>
      <c r="E628" s="177"/>
      <c r="F628" s="177"/>
      <c r="G628" s="179"/>
      <c r="H628" s="179"/>
      <c r="I628" s="177"/>
    </row>
    <row r="629" spans="3:9">
      <c r="C629" s="177"/>
      <c r="D629" s="177"/>
      <c r="E629" s="177"/>
      <c r="F629" s="177"/>
      <c r="G629" s="179"/>
      <c r="H629" s="179"/>
      <c r="I629" s="177"/>
    </row>
    <row r="630" spans="3:9">
      <c r="C630" s="177"/>
      <c r="D630" s="177"/>
      <c r="E630" s="177"/>
      <c r="F630" s="177"/>
      <c r="G630" s="179"/>
      <c r="H630" s="179"/>
      <c r="I630" s="177"/>
    </row>
    <row r="631" spans="3:9">
      <c r="C631" s="177"/>
      <c r="D631" s="177"/>
      <c r="E631" s="177"/>
      <c r="F631" s="177"/>
      <c r="G631" s="179"/>
      <c r="H631" s="179"/>
      <c r="I631" s="177"/>
    </row>
    <row r="632" spans="3:9">
      <c r="C632" s="177"/>
      <c r="D632" s="177"/>
      <c r="E632" s="177"/>
      <c r="F632" s="177"/>
      <c r="G632" s="179"/>
      <c r="H632" s="179"/>
      <c r="I632" s="177"/>
    </row>
    <row r="633" spans="3:9">
      <c r="C633" s="177"/>
      <c r="D633" s="177"/>
      <c r="E633" s="177"/>
      <c r="F633" s="177"/>
      <c r="G633" s="179"/>
      <c r="H633" s="179"/>
      <c r="I633" s="177"/>
    </row>
    <row r="634" spans="3:9">
      <c r="C634" s="177"/>
      <c r="D634" s="177"/>
      <c r="E634" s="177"/>
      <c r="F634" s="177"/>
      <c r="G634" s="179"/>
      <c r="H634" s="179"/>
      <c r="I634" s="177"/>
    </row>
    <row r="635" spans="3:9">
      <c r="C635" s="177"/>
      <c r="D635" s="177"/>
      <c r="E635" s="177"/>
      <c r="F635" s="177"/>
      <c r="G635" s="179"/>
      <c r="H635" s="179"/>
      <c r="I635" s="177"/>
    </row>
    <row r="636" spans="3:9">
      <c r="C636" s="177"/>
      <c r="D636" s="177"/>
      <c r="E636" s="177"/>
      <c r="F636" s="177"/>
      <c r="G636" s="179"/>
      <c r="H636" s="179"/>
      <c r="I636" s="177"/>
    </row>
    <row r="637" spans="3:9">
      <c r="C637" s="177"/>
      <c r="D637" s="177"/>
      <c r="E637" s="177"/>
      <c r="F637" s="177"/>
      <c r="G637" s="179"/>
      <c r="H637" s="179"/>
      <c r="I637" s="177"/>
    </row>
    <row r="638" spans="3:9">
      <c r="C638" s="177"/>
      <c r="D638" s="177"/>
      <c r="E638" s="177"/>
      <c r="F638" s="177"/>
      <c r="G638" s="179"/>
      <c r="H638" s="179"/>
      <c r="I638" s="177"/>
    </row>
    <row r="639" spans="3:9">
      <c r="C639" s="177"/>
      <c r="D639" s="177"/>
      <c r="E639" s="177"/>
      <c r="F639" s="177"/>
      <c r="G639" s="179"/>
      <c r="H639" s="179"/>
      <c r="I639" s="177"/>
    </row>
    <row r="640" spans="3:9">
      <c r="C640" s="177"/>
      <c r="D640" s="177"/>
      <c r="E640" s="177"/>
      <c r="F640" s="177"/>
      <c r="G640" s="179"/>
      <c r="H640" s="179"/>
      <c r="I640" s="177"/>
    </row>
    <row r="641" spans="3:9">
      <c r="C641" s="177"/>
      <c r="D641" s="177"/>
      <c r="E641" s="177"/>
      <c r="F641" s="177"/>
      <c r="G641" s="179"/>
      <c r="H641" s="179"/>
      <c r="I641" s="177"/>
    </row>
    <row r="642" spans="3:9">
      <c r="C642" s="177"/>
      <c r="D642" s="177"/>
      <c r="E642" s="177"/>
      <c r="F642" s="177"/>
      <c r="G642" s="179"/>
      <c r="H642" s="179"/>
      <c r="I642" s="177"/>
    </row>
    <row r="643" spans="3:9">
      <c r="C643" s="177"/>
      <c r="D643" s="177"/>
      <c r="E643" s="177"/>
      <c r="F643" s="177"/>
      <c r="G643" s="179"/>
      <c r="H643" s="179"/>
      <c r="I643" s="177"/>
    </row>
    <row r="644" spans="3:9">
      <c r="C644" s="177"/>
      <c r="D644" s="177"/>
      <c r="E644" s="177"/>
      <c r="F644" s="177"/>
      <c r="G644" s="179"/>
      <c r="H644" s="179"/>
      <c r="I644" s="177"/>
    </row>
    <row r="645" spans="3:9">
      <c r="C645" s="177"/>
      <c r="D645" s="177"/>
      <c r="E645" s="177"/>
      <c r="F645" s="177"/>
      <c r="G645" s="179"/>
      <c r="H645" s="179"/>
      <c r="I645" s="177"/>
    </row>
    <row r="646" spans="3:9">
      <c r="C646" s="177"/>
      <c r="D646" s="177"/>
      <c r="E646" s="177"/>
      <c r="F646" s="177"/>
      <c r="G646" s="179"/>
      <c r="H646" s="179"/>
      <c r="I646" s="177"/>
    </row>
    <row r="647" spans="3:9">
      <c r="C647" s="177"/>
      <c r="D647" s="177"/>
      <c r="E647" s="177"/>
      <c r="F647" s="177"/>
      <c r="G647" s="179"/>
      <c r="H647" s="179"/>
      <c r="I647" s="177"/>
    </row>
    <row r="648" spans="3:9">
      <c r="C648" s="177"/>
      <c r="D648" s="177"/>
      <c r="E648" s="177"/>
      <c r="F648" s="177"/>
      <c r="G648" s="179"/>
      <c r="H648" s="179"/>
      <c r="I648" s="177"/>
    </row>
    <row r="649" spans="3:9">
      <c r="C649" s="177"/>
      <c r="D649" s="177"/>
      <c r="E649" s="177"/>
      <c r="F649" s="177"/>
      <c r="G649" s="179"/>
      <c r="H649" s="179"/>
      <c r="I649" s="177"/>
    </row>
    <row r="650" spans="3:9">
      <c r="C650" s="177"/>
      <c r="D650" s="177"/>
      <c r="E650" s="177"/>
      <c r="F650" s="177"/>
      <c r="G650" s="179"/>
      <c r="H650" s="179"/>
      <c r="I650" s="177"/>
    </row>
    <row r="651" spans="3:9">
      <c r="C651" s="177"/>
      <c r="D651" s="177"/>
      <c r="E651" s="177"/>
      <c r="F651" s="177"/>
      <c r="G651" s="179"/>
      <c r="H651" s="179"/>
      <c r="I651" s="177"/>
    </row>
    <row r="652" spans="3:9">
      <c r="C652" s="177"/>
      <c r="D652" s="177"/>
      <c r="E652" s="177"/>
      <c r="F652" s="177"/>
      <c r="G652" s="179"/>
      <c r="H652" s="179"/>
      <c r="I652" s="177"/>
    </row>
    <row r="653" spans="3:9">
      <c r="C653" s="177"/>
      <c r="D653" s="177"/>
      <c r="E653" s="177"/>
      <c r="F653" s="177"/>
      <c r="G653" s="179"/>
      <c r="H653" s="179"/>
      <c r="I653" s="177"/>
    </row>
    <row r="654" spans="3:9">
      <c r="C654" s="177"/>
      <c r="D654" s="177"/>
      <c r="E654" s="177"/>
      <c r="F654" s="177"/>
      <c r="G654" s="179"/>
      <c r="H654" s="179"/>
      <c r="I654" s="177"/>
    </row>
    <row r="655" spans="3:9">
      <c r="C655" s="177"/>
      <c r="D655" s="177"/>
      <c r="E655" s="177"/>
      <c r="F655" s="177"/>
      <c r="G655" s="179"/>
      <c r="H655" s="179"/>
      <c r="I655" s="177"/>
    </row>
    <row r="656" spans="3:9">
      <c r="C656" s="177"/>
      <c r="D656" s="177"/>
      <c r="E656" s="177"/>
      <c r="F656" s="177"/>
      <c r="G656" s="179"/>
      <c r="H656" s="179"/>
      <c r="I656" s="177"/>
    </row>
    <row r="657" spans="3:9">
      <c r="C657" s="177"/>
      <c r="D657" s="177"/>
      <c r="E657" s="177"/>
      <c r="F657" s="177"/>
      <c r="G657" s="179"/>
      <c r="H657" s="179"/>
      <c r="I657" s="177"/>
    </row>
    <row r="658" spans="3:9">
      <c r="C658" s="177"/>
      <c r="D658" s="177"/>
      <c r="E658" s="177"/>
      <c r="F658" s="177"/>
      <c r="G658" s="179"/>
      <c r="H658" s="179"/>
      <c r="I658" s="177"/>
    </row>
    <row r="659" spans="3:9">
      <c r="C659" s="177"/>
      <c r="D659" s="177"/>
      <c r="E659" s="177"/>
      <c r="F659" s="177"/>
      <c r="G659" s="179"/>
      <c r="H659" s="179"/>
      <c r="I659" s="177"/>
    </row>
    <row r="660" spans="3:9">
      <c r="C660" s="177"/>
      <c r="D660" s="177"/>
      <c r="E660" s="177"/>
      <c r="F660" s="177"/>
      <c r="G660" s="179"/>
      <c r="H660" s="179"/>
      <c r="I660" s="177"/>
    </row>
    <row r="661" spans="3:9">
      <c r="C661" s="177"/>
      <c r="D661" s="177"/>
      <c r="E661" s="177"/>
      <c r="F661" s="177"/>
      <c r="G661" s="179"/>
      <c r="H661" s="179"/>
      <c r="I661" s="177"/>
    </row>
    <row r="662" spans="3:9">
      <c r="C662" s="177"/>
      <c r="D662" s="177"/>
      <c r="E662" s="177"/>
      <c r="F662" s="177"/>
      <c r="G662" s="179"/>
      <c r="H662" s="179"/>
      <c r="I662" s="177"/>
    </row>
    <row r="663" spans="3:9">
      <c r="C663" s="177"/>
      <c r="D663" s="177"/>
      <c r="E663" s="177"/>
      <c r="F663" s="177"/>
      <c r="G663" s="179"/>
      <c r="H663" s="179"/>
      <c r="I663" s="177"/>
    </row>
    <row r="664" spans="3:9">
      <c r="C664" s="177"/>
      <c r="D664" s="177"/>
      <c r="E664" s="177"/>
      <c r="F664" s="177"/>
      <c r="G664" s="179"/>
      <c r="H664" s="179"/>
      <c r="I664" s="177"/>
    </row>
    <row r="665" spans="3:9">
      <c r="C665" s="177"/>
      <c r="D665" s="177"/>
      <c r="E665" s="177"/>
      <c r="F665" s="177"/>
      <c r="G665" s="179"/>
      <c r="H665" s="179"/>
      <c r="I665" s="177"/>
    </row>
    <row r="666" spans="3:9">
      <c r="C666" s="177"/>
      <c r="D666" s="177"/>
      <c r="E666" s="177"/>
      <c r="F666" s="177"/>
      <c r="G666" s="179"/>
      <c r="H666" s="179"/>
      <c r="I666" s="177"/>
    </row>
    <row r="667" spans="3:9">
      <c r="C667" s="177"/>
      <c r="D667" s="177"/>
      <c r="E667" s="177"/>
      <c r="F667" s="177"/>
      <c r="G667" s="179"/>
      <c r="H667" s="179"/>
      <c r="I667" s="177"/>
    </row>
    <row r="668" spans="3:9">
      <c r="C668" s="177"/>
      <c r="D668" s="177"/>
      <c r="E668" s="177"/>
      <c r="F668" s="177"/>
      <c r="G668" s="179"/>
      <c r="H668" s="179"/>
      <c r="I668" s="177"/>
    </row>
    <row r="669" spans="3:9">
      <c r="C669" s="177"/>
      <c r="D669" s="177"/>
      <c r="E669" s="177"/>
      <c r="F669" s="177"/>
      <c r="G669" s="179"/>
      <c r="H669" s="179"/>
      <c r="I669" s="177"/>
    </row>
    <row r="670" spans="3:9">
      <c r="C670" s="177"/>
      <c r="D670" s="177"/>
      <c r="E670" s="177"/>
      <c r="F670" s="177"/>
      <c r="G670" s="179"/>
      <c r="H670" s="179"/>
      <c r="I670" s="177"/>
    </row>
    <row r="671" spans="3:9">
      <c r="C671" s="177"/>
      <c r="D671" s="177"/>
      <c r="E671" s="177"/>
      <c r="F671" s="177"/>
      <c r="G671" s="179"/>
      <c r="H671" s="179"/>
      <c r="I671" s="177"/>
    </row>
    <row r="672" spans="3:9">
      <c r="C672" s="177"/>
      <c r="D672" s="177"/>
      <c r="E672" s="177"/>
      <c r="F672" s="177"/>
      <c r="G672" s="179"/>
      <c r="H672" s="179"/>
      <c r="I672" s="177"/>
    </row>
    <row r="673" spans="3:9">
      <c r="C673" s="177"/>
      <c r="D673" s="177"/>
      <c r="E673" s="177"/>
      <c r="F673" s="177"/>
      <c r="G673" s="179"/>
      <c r="H673" s="179"/>
      <c r="I673" s="177"/>
    </row>
    <row r="674" spans="3:9">
      <c r="C674" s="177"/>
      <c r="D674" s="177"/>
      <c r="E674" s="177"/>
      <c r="F674" s="177"/>
      <c r="G674" s="179"/>
      <c r="H674" s="179"/>
      <c r="I674" s="177"/>
    </row>
    <row r="675" spans="3:9">
      <c r="C675" s="177"/>
      <c r="D675" s="177"/>
      <c r="E675" s="177"/>
      <c r="F675" s="177"/>
      <c r="G675" s="179"/>
      <c r="H675" s="179"/>
      <c r="I675" s="177"/>
    </row>
    <row r="676" spans="3:9">
      <c r="C676" s="177"/>
      <c r="D676" s="177"/>
      <c r="E676" s="177"/>
      <c r="F676" s="177"/>
      <c r="G676" s="179"/>
      <c r="H676" s="179"/>
      <c r="I676" s="177"/>
    </row>
    <row r="677" spans="3:9">
      <c r="C677" s="177"/>
      <c r="D677" s="177"/>
      <c r="E677" s="177"/>
      <c r="F677" s="177"/>
      <c r="G677" s="179"/>
      <c r="H677" s="179"/>
      <c r="I677" s="177"/>
    </row>
    <row r="678" spans="3:9">
      <c r="C678" s="177"/>
      <c r="D678" s="177"/>
      <c r="E678" s="177"/>
      <c r="F678" s="177"/>
      <c r="G678" s="179"/>
      <c r="H678" s="179"/>
      <c r="I678" s="177"/>
    </row>
    <row r="679" spans="3:9">
      <c r="C679" s="177"/>
      <c r="D679" s="177"/>
      <c r="E679" s="177"/>
      <c r="F679" s="177"/>
      <c r="G679" s="179"/>
      <c r="H679" s="179"/>
      <c r="I679" s="177"/>
    </row>
    <row r="680" spans="3:9">
      <c r="C680" s="177"/>
      <c r="D680" s="177"/>
      <c r="E680" s="177"/>
      <c r="F680" s="177"/>
      <c r="G680" s="179"/>
      <c r="H680" s="179"/>
      <c r="I680" s="177"/>
    </row>
    <row r="681" spans="3:9">
      <c r="C681" s="177"/>
      <c r="D681" s="177"/>
      <c r="E681" s="177"/>
      <c r="F681" s="177"/>
      <c r="G681" s="179"/>
      <c r="H681" s="179"/>
      <c r="I681" s="177"/>
    </row>
    <row r="682" spans="3:9">
      <c r="C682" s="177"/>
      <c r="D682" s="177"/>
      <c r="E682" s="177"/>
      <c r="F682" s="177"/>
      <c r="G682" s="179"/>
      <c r="H682" s="179"/>
      <c r="I682" s="177"/>
    </row>
    <row r="683" spans="3:9">
      <c r="C683" s="177"/>
      <c r="D683" s="177"/>
      <c r="E683" s="177"/>
      <c r="F683" s="177"/>
      <c r="G683" s="179"/>
      <c r="H683" s="179"/>
      <c r="I683" s="177"/>
    </row>
    <row r="684" spans="3:9">
      <c r="C684" s="177"/>
      <c r="D684" s="177"/>
      <c r="E684" s="177"/>
      <c r="F684" s="177"/>
      <c r="G684" s="179"/>
      <c r="H684" s="179"/>
      <c r="I684" s="177"/>
    </row>
    <row r="685" spans="3:9">
      <c r="C685" s="177"/>
      <c r="D685" s="177"/>
      <c r="E685" s="177"/>
      <c r="F685" s="177"/>
      <c r="G685" s="179"/>
      <c r="H685" s="179"/>
      <c r="I685" s="177"/>
    </row>
    <row r="686" spans="3:9">
      <c r="C686" s="177"/>
      <c r="D686" s="177"/>
      <c r="E686" s="177"/>
      <c r="F686" s="177"/>
      <c r="G686" s="179"/>
      <c r="H686" s="179"/>
      <c r="I686" s="177"/>
    </row>
    <row r="687" spans="3:9">
      <c r="C687" s="177"/>
      <c r="D687" s="177"/>
      <c r="E687" s="177"/>
      <c r="F687" s="177"/>
      <c r="G687" s="179"/>
      <c r="H687" s="179"/>
      <c r="I687" s="177"/>
    </row>
    <row r="688" spans="3:9">
      <c r="C688" s="177"/>
      <c r="D688" s="177"/>
      <c r="E688" s="177"/>
      <c r="F688" s="177"/>
      <c r="G688" s="179"/>
      <c r="H688" s="179"/>
      <c r="I688" s="177"/>
    </row>
    <row r="689" spans="3:9">
      <c r="C689" s="177"/>
      <c r="D689" s="177"/>
      <c r="E689" s="177"/>
      <c r="F689" s="177"/>
      <c r="G689" s="179"/>
      <c r="H689" s="179"/>
      <c r="I689" s="177"/>
    </row>
    <row r="690" spans="3:9">
      <c r="C690" s="177"/>
      <c r="D690" s="177"/>
      <c r="E690" s="177"/>
      <c r="F690" s="177"/>
      <c r="G690" s="179"/>
      <c r="H690" s="179"/>
      <c r="I690" s="177"/>
    </row>
    <row r="691" spans="3:9">
      <c r="C691" s="177"/>
      <c r="D691" s="177"/>
      <c r="E691" s="177"/>
      <c r="F691" s="177"/>
      <c r="G691" s="179"/>
      <c r="H691" s="179"/>
      <c r="I691" s="177"/>
    </row>
    <row r="692" spans="3:9">
      <c r="C692" s="177"/>
      <c r="D692" s="177"/>
      <c r="E692" s="177"/>
      <c r="F692" s="177"/>
      <c r="G692" s="179"/>
      <c r="H692" s="179"/>
      <c r="I692" s="177"/>
    </row>
    <row r="693" spans="3:9">
      <c r="C693" s="177"/>
      <c r="D693" s="177"/>
      <c r="E693" s="177"/>
      <c r="F693" s="177"/>
      <c r="G693" s="179"/>
      <c r="H693" s="179"/>
      <c r="I693" s="177"/>
    </row>
    <row r="694" spans="3:9">
      <c r="C694" s="177"/>
      <c r="D694" s="177"/>
      <c r="E694" s="177"/>
      <c r="F694" s="177"/>
      <c r="G694" s="179"/>
      <c r="H694" s="179"/>
      <c r="I694" s="177"/>
    </row>
    <row r="695" spans="3:9">
      <c r="C695" s="177"/>
      <c r="D695" s="177"/>
      <c r="E695" s="177"/>
      <c r="F695" s="177"/>
      <c r="G695" s="179"/>
      <c r="H695" s="179"/>
      <c r="I695" s="177"/>
    </row>
    <row r="696" spans="3:9">
      <c r="C696" s="177"/>
      <c r="D696" s="177"/>
      <c r="E696" s="177"/>
      <c r="F696" s="177"/>
      <c r="G696" s="179"/>
      <c r="H696" s="179"/>
      <c r="I696" s="177"/>
    </row>
    <row r="697" spans="3:9">
      <c r="C697" s="177"/>
      <c r="D697" s="177"/>
      <c r="E697" s="177"/>
      <c r="F697" s="177"/>
      <c r="G697" s="179"/>
      <c r="H697" s="179"/>
      <c r="I697" s="177"/>
    </row>
    <row r="698" spans="3:9">
      <c r="C698" s="177"/>
      <c r="D698" s="177"/>
      <c r="E698" s="177"/>
      <c r="F698" s="177"/>
      <c r="G698" s="179"/>
      <c r="H698" s="179"/>
      <c r="I698" s="177"/>
    </row>
    <row r="699" spans="3:9">
      <c r="C699" s="177"/>
      <c r="D699" s="177"/>
      <c r="E699" s="177"/>
      <c r="F699" s="177"/>
      <c r="G699" s="179"/>
      <c r="H699" s="179"/>
      <c r="I699" s="177"/>
    </row>
    <row r="700" spans="3:9">
      <c r="C700" s="177"/>
      <c r="D700" s="177"/>
      <c r="E700" s="177"/>
      <c r="F700" s="177"/>
      <c r="G700" s="179"/>
      <c r="H700" s="179"/>
      <c r="I700" s="177"/>
    </row>
    <row r="701" spans="3:9">
      <c r="C701" s="177"/>
      <c r="D701" s="177"/>
      <c r="E701" s="177"/>
      <c r="F701" s="177"/>
      <c r="G701" s="179"/>
      <c r="H701" s="179"/>
      <c r="I701" s="177"/>
    </row>
    <row r="702" spans="3:9">
      <c r="C702" s="177"/>
      <c r="D702" s="177"/>
      <c r="E702" s="177"/>
      <c r="F702" s="177"/>
      <c r="G702" s="179"/>
      <c r="H702" s="179"/>
      <c r="I702" s="177"/>
    </row>
    <row r="703" spans="3:9">
      <c r="C703" s="177"/>
      <c r="D703" s="177"/>
      <c r="E703" s="177"/>
      <c r="F703" s="177"/>
      <c r="G703" s="179"/>
      <c r="H703" s="179"/>
      <c r="I703" s="177"/>
    </row>
    <row r="704" spans="3:9">
      <c r="C704" s="177"/>
      <c r="D704" s="177"/>
      <c r="E704" s="177"/>
      <c r="F704" s="177"/>
      <c r="G704" s="179"/>
      <c r="H704" s="179"/>
      <c r="I704" s="177"/>
    </row>
    <row r="705" spans="3:9">
      <c r="C705" s="177"/>
      <c r="D705" s="177"/>
      <c r="E705" s="177"/>
      <c r="F705" s="177"/>
      <c r="G705" s="179"/>
      <c r="H705" s="179"/>
      <c r="I705" s="177"/>
    </row>
    <row r="706" spans="3:9">
      <c r="C706" s="177"/>
      <c r="D706" s="177"/>
      <c r="E706" s="177"/>
      <c r="F706" s="177"/>
      <c r="G706" s="179"/>
      <c r="H706" s="179"/>
      <c r="I706" s="177"/>
    </row>
    <row r="707" spans="3:9">
      <c r="C707" s="177"/>
      <c r="D707" s="177"/>
      <c r="E707" s="177"/>
      <c r="F707" s="177"/>
      <c r="G707" s="179"/>
      <c r="H707" s="179"/>
      <c r="I707" s="177"/>
    </row>
    <row r="708" spans="3:9">
      <c r="C708" s="177"/>
      <c r="D708" s="177"/>
      <c r="E708" s="177"/>
      <c r="F708" s="177"/>
      <c r="G708" s="179"/>
      <c r="H708" s="179"/>
      <c r="I708" s="177"/>
    </row>
    <row r="709" spans="3:9">
      <c r="C709" s="177"/>
      <c r="D709" s="177"/>
      <c r="E709" s="177"/>
      <c r="F709" s="177"/>
      <c r="G709" s="179"/>
      <c r="H709" s="179"/>
      <c r="I709" s="177"/>
    </row>
    <row r="710" spans="3:9">
      <c r="C710" s="177"/>
      <c r="D710" s="177"/>
      <c r="E710" s="177"/>
      <c r="F710" s="177"/>
      <c r="G710" s="179"/>
      <c r="H710" s="179"/>
      <c r="I710" s="177"/>
    </row>
    <row r="711" spans="3:9">
      <c r="C711" s="177"/>
      <c r="D711" s="177"/>
      <c r="E711" s="177"/>
      <c r="F711" s="177"/>
      <c r="G711" s="179"/>
      <c r="H711" s="179"/>
      <c r="I711" s="177"/>
    </row>
    <row r="712" spans="3:9">
      <c r="C712" s="177"/>
      <c r="D712" s="177"/>
      <c r="E712" s="177"/>
      <c r="F712" s="177"/>
      <c r="G712" s="179"/>
      <c r="H712" s="179"/>
      <c r="I712" s="177"/>
    </row>
    <row r="713" spans="3:9">
      <c r="C713" s="177"/>
      <c r="D713" s="177"/>
      <c r="E713" s="177"/>
      <c r="F713" s="177"/>
      <c r="G713" s="179"/>
      <c r="H713" s="179"/>
      <c r="I713" s="177"/>
    </row>
    <row r="714" spans="3:9">
      <c r="C714" s="177"/>
      <c r="D714" s="177"/>
      <c r="E714" s="177"/>
      <c r="F714" s="177"/>
      <c r="G714" s="179"/>
      <c r="H714" s="179"/>
      <c r="I714" s="177"/>
    </row>
    <row r="715" spans="3:9">
      <c r="C715" s="177"/>
      <c r="D715" s="177"/>
      <c r="E715" s="177"/>
      <c r="F715" s="177"/>
      <c r="G715" s="179"/>
      <c r="H715" s="179"/>
      <c r="I715" s="177"/>
    </row>
    <row r="716" spans="3:9">
      <c r="C716" s="177"/>
      <c r="D716" s="177"/>
      <c r="E716" s="177"/>
      <c r="F716" s="177"/>
      <c r="G716" s="179"/>
      <c r="H716" s="179"/>
      <c r="I716" s="177"/>
    </row>
    <row r="717" spans="3:9">
      <c r="C717" s="177"/>
      <c r="D717" s="177"/>
      <c r="E717" s="177"/>
      <c r="F717" s="177"/>
      <c r="G717" s="179"/>
      <c r="H717" s="179"/>
      <c r="I717" s="177"/>
    </row>
    <row r="718" spans="3:9">
      <c r="C718" s="177"/>
      <c r="D718" s="177"/>
      <c r="E718" s="177"/>
      <c r="F718" s="177"/>
      <c r="G718" s="179"/>
      <c r="H718" s="179"/>
      <c r="I718" s="177"/>
    </row>
    <row r="719" spans="3:9">
      <c r="C719" s="177"/>
      <c r="D719" s="177"/>
      <c r="E719" s="177"/>
      <c r="F719" s="177"/>
      <c r="G719" s="179"/>
      <c r="H719" s="179"/>
      <c r="I719" s="177"/>
    </row>
    <row r="720" spans="3:9">
      <c r="C720" s="177"/>
      <c r="D720" s="177"/>
      <c r="E720" s="177"/>
      <c r="F720" s="177"/>
      <c r="G720" s="179"/>
      <c r="H720" s="179"/>
      <c r="I720" s="177"/>
    </row>
    <row r="721" spans="3:9">
      <c r="C721" s="177"/>
      <c r="D721" s="177"/>
      <c r="E721" s="177"/>
      <c r="F721" s="177"/>
      <c r="G721" s="179"/>
      <c r="H721" s="179"/>
      <c r="I721" s="177"/>
    </row>
    <row r="722" spans="3:9">
      <c r="C722" s="177"/>
      <c r="D722" s="177"/>
      <c r="E722" s="177"/>
      <c r="F722" s="177"/>
      <c r="G722" s="179"/>
      <c r="H722" s="179"/>
      <c r="I722" s="177"/>
    </row>
    <row r="723" spans="3:9">
      <c r="C723" s="177"/>
      <c r="D723" s="177"/>
      <c r="E723" s="177"/>
      <c r="F723" s="177"/>
      <c r="G723" s="179"/>
      <c r="H723" s="179"/>
      <c r="I723" s="177"/>
    </row>
    <row r="724" spans="3:9">
      <c r="C724" s="177"/>
      <c r="D724" s="177"/>
      <c r="E724" s="177"/>
      <c r="F724" s="177"/>
      <c r="G724" s="179"/>
      <c r="H724" s="179"/>
      <c r="I724" s="177"/>
    </row>
    <row r="725" spans="3:9">
      <c r="C725" s="177"/>
      <c r="D725" s="177"/>
      <c r="E725" s="177"/>
      <c r="F725" s="177"/>
      <c r="G725" s="179"/>
      <c r="H725" s="179"/>
      <c r="I725" s="177"/>
    </row>
    <row r="726" spans="3:9">
      <c r="C726" s="177"/>
      <c r="D726" s="177"/>
      <c r="E726" s="177"/>
      <c r="F726" s="177"/>
      <c r="G726" s="179"/>
      <c r="H726" s="179"/>
      <c r="I726" s="177"/>
    </row>
    <row r="727" spans="3:9">
      <c r="C727" s="177"/>
      <c r="D727" s="177"/>
      <c r="E727" s="177"/>
      <c r="F727" s="177"/>
      <c r="G727" s="179"/>
      <c r="H727" s="179"/>
      <c r="I727" s="177"/>
    </row>
    <row r="728" spans="3:9">
      <c r="C728" s="177"/>
      <c r="D728" s="177"/>
      <c r="E728" s="177"/>
      <c r="F728" s="177"/>
      <c r="G728" s="179"/>
      <c r="H728" s="179"/>
      <c r="I728" s="177"/>
    </row>
    <row r="729" spans="3:9">
      <c r="C729" s="177"/>
      <c r="D729" s="177"/>
      <c r="E729" s="177"/>
      <c r="F729" s="177"/>
      <c r="G729" s="179"/>
      <c r="H729" s="179"/>
      <c r="I729" s="177"/>
    </row>
    <row r="730" spans="3:9">
      <c r="C730" s="177"/>
      <c r="D730" s="177"/>
      <c r="E730" s="177"/>
      <c r="F730" s="177"/>
      <c r="G730" s="179"/>
      <c r="H730" s="179"/>
      <c r="I730" s="177"/>
    </row>
    <row r="731" spans="3:9">
      <c r="C731" s="177"/>
      <c r="D731" s="177"/>
      <c r="E731" s="177"/>
      <c r="F731" s="177"/>
      <c r="G731" s="179"/>
      <c r="H731" s="179"/>
      <c r="I731" s="177"/>
    </row>
    <row r="732" spans="3:9">
      <c r="C732" s="177"/>
      <c r="D732" s="177"/>
      <c r="E732" s="177"/>
      <c r="F732" s="177"/>
      <c r="G732" s="179"/>
      <c r="H732" s="179"/>
      <c r="I732" s="177"/>
    </row>
    <row r="733" spans="3:9">
      <c r="C733" s="177"/>
      <c r="D733" s="177"/>
      <c r="E733" s="177"/>
      <c r="F733" s="177"/>
      <c r="G733" s="179"/>
      <c r="H733" s="179"/>
      <c r="I733" s="177"/>
    </row>
    <row r="734" spans="3:9">
      <c r="C734" s="177"/>
      <c r="D734" s="177"/>
      <c r="E734" s="177"/>
      <c r="F734" s="177"/>
      <c r="G734" s="179"/>
      <c r="H734" s="179"/>
      <c r="I734" s="177"/>
    </row>
    <row r="735" spans="3:9">
      <c r="C735" s="177"/>
      <c r="D735" s="177"/>
      <c r="E735" s="177"/>
      <c r="F735" s="177"/>
      <c r="G735" s="179"/>
      <c r="H735" s="179"/>
      <c r="I735" s="177"/>
    </row>
    <row r="736" spans="3:9">
      <c r="C736" s="177"/>
      <c r="D736" s="177"/>
      <c r="E736" s="177"/>
      <c r="F736" s="177"/>
      <c r="G736" s="179"/>
      <c r="H736" s="179"/>
      <c r="I736" s="177"/>
    </row>
    <row r="737" spans="3:9">
      <c r="C737" s="177"/>
      <c r="D737" s="177"/>
      <c r="E737" s="177"/>
      <c r="F737" s="177"/>
      <c r="G737" s="179"/>
      <c r="H737" s="179"/>
      <c r="I737" s="177"/>
    </row>
    <row r="738" spans="3:9">
      <c r="C738" s="177"/>
      <c r="D738" s="177"/>
      <c r="E738" s="177"/>
      <c r="F738" s="177"/>
      <c r="G738" s="179"/>
      <c r="H738" s="179"/>
      <c r="I738" s="177"/>
    </row>
    <row r="739" spans="3:9">
      <c r="C739" s="177"/>
      <c r="D739" s="177"/>
      <c r="E739" s="177"/>
      <c r="F739" s="177"/>
      <c r="G739" s="179"/>
      <c r="H739" s="179"/>
      <c r="I739" s="177"/>
    </row>
    <row r="740" spans="3:9">
      <c r="C740" s="177"/>
      <c r="D740" s="177"/>
      <c r="E740" s="177"/>
      <c r="F740" s="177"/>
      <c r="G740" s="179"/>
      <c r="H740" s="179"/>
      <c r="I740" s="177"/>
    </row>
    <row r="741" spans="3:9">
      <c r="C741" s="177"/>
      <c r="D741" s="177"/>
      <c r="E741" s="177"/>
      <c r="F741" s="177"/>
      <c r="G741" s="179"/>
      <c r="H741" s="179"/>
      <c r="I741" s="177"/>
    </row>
    <row r="742" spans="3:9">
      <c r="C742" s="177"/>
      <c r="D742" s="177"/>
      <c r="E742" s="177"/>
      <c r="F742" s="177"/>
      <c r="G742" s="179"/>
      <c r="H742" s="179"/>
      <c r="I742" s="177"/>
    </row>
    <row r="743" spans="3:9">
      <c r="C743" s="177"/>
      <c r="D743" s="177"/>
      <c r="E743" s="177"/>
      <c r="F743" s="177"/>
      <c r="G743" s="179"/>
      <c r="H743" s="179"/>
      <c r="I743" s="177"/>
    </row>
    <row r="744" spans="3:9">
      <c r="C744" s="177"/>
      <c r="D744" s="177"/>
      <c r="E744" s="177"/>
      <c r="F744" s="177"/>
      <c r="G744" s="179"/>
      <c r="H744" s="179"/>
      <c r="I744" s="177"/>
    </row>
    <row r="745" spans="3:9">
      <c r="C745" s="177"/>
      <c r="D745" s="177"/>
      <c r="E745" s="177"/>
      <c r="F745" s="177"/>
      <c r="G745" s="179"/>
      <c r="H745" s="179"/>
      <c r="I745" s="177"/>
    </row>
    <row r="746" spans="3:9">
      <c r="C746" s="177"/>
      <c r="D746" s="177"/>
      <c r="E746" s="177"/>
      <c r="F746" s="177"/>
      <c r="G746" s="179"/>
      <c r="H746" s="179"/>
      <c r="I746" s="177"/>
    </row>
    <row r="747" spans="3:9">
      <c r="C747" s="177"/>
      <c r="D747" s="177"/>
      <c r="E747" s="177"/>
      <c r="F747" s="177"/>
      <c r="G747" s="179"/>
      <c r="H747" s="179"/>
      <c r="I747" s="177"/>
    </row>
    <row r="748" spans="3:9">
      <c r="C748" s="177"/>
      <c r="D748" s="177"/>
      <c r="E748" s="177"/>
      <c r="F748" s="177"/>
      <c r="G748" s="179"/>
      <c r="H748" s="179"/>
      <c r="I748" s="177"/>
    </row>
    <row r="749" spans="3:9">
      <c r="C749" s="177"/>
      <c r="D749" s="177"/>
      <c r="E749" s="177"/>
      <c r="F749" s="177"/>
      <c r="G749" s="179"/>
      <c r="H749" s="179"/>
      <c r="I749" s="177"/>
    </row>
    <row r="750" spans="3:9">
      <c r="C750" s="177"/>
      <c r="D750" s="177"/>
      <c r="E750" s="177"/>
      <c r="F750" s="177"/>
      <c r="G750" s="179"/>
      <c r="H750" s="179"/>
      <c r="I750" s="177"/>
    </row>
    <row r="751" spans="3:9">
      <c r="C751" s="177"/>
      <c r="D751" s="177"/>
      <c r="E751" s="177"/>
      <c r="F751" s="177"/>
      <c r="G751" s="179"/>
      <c r="H751" s="179"/>
      <c r="I751" s="177"/>
    </row>
    <row r="752" spans="3:9">
      <c r="C752" s="177"/>
      <c r="D752" s="177"/>
      <c r="E752" s="177"/>
      <c r="F752" s="177"/>
      <c r="G752" s="179"/>
      <c r="H752" s="179"/>
      <c r="I752" s="177"/>
    </row>
    <row r="753" spans="3:9">
      <c r="C753" s="177"/>
      <c r="D753" s="177"/>
      <c r="E753" s="177"/>
      <c r="F753" s="177"/>
      <c r="G753" s="179"/>
      <c r="H753" s="179"/>
      <c r="I753" s="177"/>
    </row>
    <row r="754" spans="3:9">
      <c r="C754" s="177"/>
      <c r="D754" s="177"/>
      <c r="E754" s="177"/>
      <c r="F754" s="177"/>
      <c r="G754" s="179"/>
      <c r="H754" s="179"/>
      <c r="I754" s="177"/>
    </row>
    <row r="755" spans="3:9">
      <c r="C755" s="177"/>
      <c r="D755" s="177"/>
      <c r="E755" s="177"/>
      <c r="F755" s="177"/>
      <c r="G755" s="179"/>
      <c r="H755" s="179"/>
      <c r="I755" s="177"/>
    </row>
    <row r="756" spans="3:9">
      <c r="C756" s="177"/>
      <c r="D756" s="177"/>
      <c r="E756" s="177"/>
      <c r="F756" s="177"/>
      <c r="G756" s="179"/>
      <c r="H756" s="179"/>
      <c r="I756" s="177"/>
    </row>
    <row r="757" spans="3:9">
      <c r="C757" s="177"/>
      <c r="D757" s="177"/>
      <c r="E757" s="177"/>
      <c r="F757" s="177"/>
      <c r="G757" s="179"/>
      <c r="H757" s="179"/>
      <c r="I757" s="177"/>
    </row>
    <row r="758" spans="3:9">
      <c r="C758" s="177"/>
      <c r="D758" s="177"/>
      <c r="E758" s="177"/>
      <c r="F758" s="177"/>
      <c r="G758" s="179"/>
      <c r="H758" s="179"/>
      <c r="I758" s="177"/>
    </row>
    <row r="759" spans="3:9">
      <c r="C759" s="177"/>
      <c r="D759" s="177"/>
      <c r="E759" s="177"/>
      <c r="F759" s="177"/>
      <c r="G759" s="179"/>
      <c r="H759" s="179"/>
      <c r="I759" s="177"/>
    </row>
    <row r="760" spans="3:9">
      <c r="C760" s="177"/>
      <c r="D760" s="177"/>
      <c r="E760" s="177"/>
      <c r="F760" s="177"/>
      <c r="G760" s="179"/>
      <c r="H760" s="179"/>
      <c r="I760" s="177"/>
    </row>
    <row r="761" spans="3:9">
      <c r="C761" s="177"/>
      <c r="D761" s="177"/>
      <c r="E761" s="177"/>
      <c r="F761" s="177"/>
      <c r="G761" s="179"/>
      <c r="H761" s="179"/>
      <c r="I761" s="177"/>
    </row>
    <row r="762" spans="3:9">
      <c r="C762" s="177"/>
      <c r="D762" s="177"/>
      <c r="E762" s="177"/>
      <c r="F762" s="177"/>
      <c r="G762" s="179"/>
      <c r="H762" s="179"/>
      <c r="I762" s="177"/>
    </row>
    <row r="763" spans="3:9">
      <c r="C763" s="177"/>
      <c r="D763" s="177"/>
      <c r="E763" s="177"/>
      <c r="F763" s="177"/>
      <c r="G763" s="179"/>
      <c r="H763" s="179"/>
      <c r="I763" s="177"/>
    </row>
    <row r="764" spans="3:9">
      <c r="C764" s="177"/>
      <c r="D764" s="177"/>
      <c r="E764" s="177"/>
      <c r="F764" s="177"/>
      <c r="G764" s="179"/>
      <c r="H764" s="179"/>
      <c r="I764" s="177"/>
    </row>
    <row r="765" spans="3:9">
      <c r="C765" s="177"/>
      <c r="D765" s="177"/>
      <c r="E765" s="177"/>
      <c r="F765" s="177"/>
      <c r="G765" s="179"/>
      <c r="H765" s="179"/>
      <c r="I765" s="177"/>
    </row>
    <row r="766" spans="3:9">
      <c r="C766" s="177"/>
      <c r="D766" s="177"/>
      <c r="E766" s="177"/>
      <c r="F766" s="177"/>
      <c r="G766" s="179"/>
      <c r="H766" s="179"/>
      <c r="I766" s="177"/>
    </row>
    <row r="767" spans="3:9">
      <c r="C767" s="177"/>
      <c r="D767" s="177"/>
      <c r="E767" s="177"/>
      <c r="F767" s="177"/>
      <c r="G767" s="179"/>
      <c r="H767" s="179"/>
      <c r="I767" s="177"/>
    </row>
    <row r="768" spans="3:9">
      <c r="C768" s="177"/>
      <c r="D768" s="177"/>
      <c r="E768" s="177"/>
      <c r="F768" s="177"/>
      <c r="G768" s="179"/>
      <c r="H768" s="179"/>
      <c r="I768" s="177"/>
    </row>
    <row r="769" spans="3:9">
      <c r="C769" s="177"/>
      <c r="D769" s="177"/>
      <c r="E769" s="177"/>
      <c r="F769" s="177"/>
      <c r="G769" s="179"/>
      <c r="H769" s="179"/>
      <c r="I769" s="177"/>
    </row>
    <row r="770" spans="3:9">
      <c r="C770" s="177"/>
      <c r="D770" s="177"/>
      <c r="E770" s="177"/>
      <c r="F770" s="177"/>
      <c r="G770" s="179"/>
      <c r="H770" s="179"/>
      <c r="I770" s="177"/>
    </row>
    <row r="771" spans="3:9">
      <c r="C771" s="177"/>
      <c r="D771" s="177"/>
      <c r="E771" s="177"/>
      <c r="F771" s="177"/>
      <c r="G771" s="179"/>
      <c r="H771" s="179"/>
      <c r="I771" s="177"/>
    </row>
    <row r="772" spans="3:9">
      <c r="C772" s="177"/>
      <c r="D772" s="177"/>
      <c r="E772" s="177"/>
      <c r="F772" s="177"/>
      <c r="G772" s="179"/>
      <c r="H772" s="179"/>
      <c r="I772" s="177"/>
    </row>
    <row r="773" spans="3:9">
      <c r="C773" s="177"/>
      <c r="D773" s="177"/>
      <c r="E773" s="177"/>
      <c r="F773" s="177"/>
      <c r="G773" s="179"/>
      <c r="H773" s="179"/>
      <c r="I773" s="177"/>
    </row>
    <row r="774" spans="3:9">
      <c r="C774" s="177"/>
      <c r="D774" s="177"/>
      <c r="E774" s="177"/>
      <c r="F774" s="177"/>
      <c r="G774" s="179"/>
      <c r="H774" s="179"/>
      <c r="I774" s="177"/>
    </row>
    <row r="775" spans="3:9">
      <c r="C775" s="177"/>
      <c r="D775" s="177"/>
      <c r="E775" s="177"/>
      <c r="F775" s="177"/>
      <c r="G775" s="179"/>
      <c r="H775" s="179"/>
      <c r="I775" s="177"/>
    </row>
    <row r="776" spans="3:9">
      <c r="C776" s="177"/>
      <c r="D776" s="177"/>
      <c r="E776" s="177"/>
      <c r="F776" s="177"/>
      <c r="G776" s="179"/>
      <c r="H776" s="179"/>
      <c r="I776" s="177"/>
    </row>
    <row r="777" spans="3:9">
      <c r="C777" s="177"/>
      <c r="D777" s="177"/>
      <c r="E777" s="177"/>
      <c r="F777" s="177"/>
      <c r="G777" s="179"/>
      <c r="H777" s="179"/>
      <c r="I777" s="177"/>
    </row>
    <row r="778" spans="3:9">
      <c r="C778" s="177"/>
      <c r="D778" s="177"/>
      <c r="E778" s="177"/>
      <c r="F778" s="177"/>
      <c r="G778" s="179"/>
      <c r="H778" s="179"/>
      <c r="I778" s="177"/>
    </row>
    <row r="779" spans="3:9">
      <c r="C779" s="177"/>
      <c r="D779" s="177"/>
      <c r="E779" s="177"/>
      <c r="F779" s="177"/>
      <c r="G779" s="179"/>
      <c r="H779" s="179"/>
      <c r="I779" s="177"/>
    </row>
    <row r="780" spans="3:9">
      <c r="C780" s="177"/>
      <c r="D780" s="177"/>
      <c r="E780" s="177"/>
      <c r="F780" s="177"/>
      <c r="G780" s="179"/>
      <c r="H780" s="179"/>
      <c r="I780" s="177"/>
    </row>
    <row r="781" spans="3:9">
      <c r="C781" s="177"/>
      <c r="D781" s="177"/>
      <c r="E781" s="177"/>
      <c r="F781" s="177"/>
      <c r="G781" s="179"/>
      <c r="H781" s="179"/>
      <c r="I781" s="177"/>
    </row>
    <row r="782" spans="3:9">
      <c r="C782" s="177"/>
      <c r="D782" s="177"/>
      <c r="E782" s="177"/>
      <c r="F782" s="177"/>
      <c r="G782" s="179"/>
      <c r="H782" s="179"/>
      <c r="I782" s="177"/>
    </row>
    <row r="783" spans="3:9">
      <c r="C783" s="177"/>
      <c r="D783" s="177"/>
      <c r="E783" s="177"/>
      <c r="F783" s="177"/>
      <c r="G783" s="179"/>
      <c r="H783" s="179"/>
      <c r="I783" s="177"/>
    </row>
    <row r="784" spans="3:9">
      <c r="C784" s="177"/>
      <c r="D784" s="177"/>
      <c r="E784" s="177"/>
      <c r="F784" s="177"/>
      <c r="G784" s="179"/>
      <c r="H784" s="179"/>
      <c r="I784" s="177"/>
    </row>
    <row r="785" spans="3:9">
      <c r="C785" s="177"/>
      <c r="D785" s="177"/>
      <c r="E785" s="177"/>
      <c r="F785" s="177"/>
      <c r="G785" s="179"/>
      <c r="H785" s="179"/>
      <c r="I785" s="177"/>
    </row>
    <row r="786" spans="3:9">
      <c r="C786" s="177"/>
      <c r="D786" s="177"/>
      <c r="E786" s="177"/>
      <c r="F786" s="177"/>
      <c r="G786" s="179"/>
      <c r="H786" s="179"/>
      <c r="I786" s="177"/>
    </row>
    <row r="787" spans="3:9">
      <c r="C787" s="177"/>
      <c r="D787" s="177"/>
      <c r="E787" s="177"/>
      <c r="F787" s="177"/>
      <c r="G787" s="179"/>
      <c r="H787" s="179"/>
      <c r="I787" s="177"/>
    </row>
    <row r="788" spans="3:9">
      <c r="C788" s="177"/>
      <c r="D788" s="177"/>
      <c r="E788" s="177"/>
      <c r="F788" s="177"/>
      <c r="G788" s="179"/>
      <c r="H788" s="179"/>
      <c r="I788" s="177"/>
    </row>
    <row r="789" spans="3:9">
      <c r="C789" s="177"/>
      <c r="D789" s="177"/>
      <c r="E789" s="177"/>
      <c r="F789" s="177"/>
      <c r="G789" s="179"/>
      <c r="H789" s="179"/>
      <c r="I789" s="177"/>
    </row>
    <row r="790" spans="3:9">
      <c r="C790" s="177"/>
      <c r="D790" s="177"/>
      <c r="E790" s="177"/>
      <c r="F790" s="177"/>
      <c r="G790" s="179"/>
      <c r="H790" s="179"/>
      <c r="I790" s="177"/>
    </row>
    <row r="791" spans="3:9">
      <c r="C791" s="177"/>
      <c r="D791" s="177"/>
      <c r="E791" s="177"/>
      <c r="F791" s="177"/>
      <c r="G791" s="179"/>
      <c r="H791" s="179"/>
      <c r="I791" s="177"/>
    </row>
    <row r="792" spans="3:9">
      <c r="C792" s="177"/>
      <c r="D792" s="177"/>
      <c r="E792" s="177"/>
      <c r="F792" s="177"/>
      <c r="G792" s="179"/>
      <c r="H792" s="179"/>
      <c r="I792" s="177"/>
    </row>
    <row r="793" spans="3:9">
      <c r="C793" s="177"/>
      <c r="D793" s="177"/>
      <c r="E793" s="177"/>
      <c r="F793" s="177"/>
      <c r="G793" s="179"/>
      <c r="H793" s="179"/>
      <c r="I793" s="177"/>
    </row>
    <row r="794" spans="3:9">
      <c r="C794" s="177"/>
      <c r="D794" s="177"/>
      <c r="E794" s="177"/>
      <c r="F794" s="177"/>
      <c r="G794" s="179"/>
      <c r="H794" s="179"/>
      <c r="I794" s="177"/>
    </row>
    <row r="795" spans="3:9">
      <c r="C795" s="177"/>
      <c r="D795" s="177"/>
      <c r="E795" s="177"/>
      <c r="F795" s="177"/>
      <c r="G795" s="179"/>
      <c r="H795" s="179"/>
      <c r="I795" s="177"/>
    </row>
    <row r="796" spans="3:9">
      <c r="C796" s="177"/>
      <c r="D796" s="177"/>
      <c r="E796" s="177"/>
      <c r="F796" s="177"/>
      <c r="G796" s="179"/>
      <c r="H796" s="179"/>
      <c r="I796" s="177"/>
    </row>
    <row r="797" spans="3:9">
      <c r="C797" s="177"/>
      <c r="D797" s="177"/>
      <c r="E797" s="177"/>
      <c r="F797" s="177"/>
      <c r="G797" s="179"/>
      <c r="H797" s="179"/>
      <c r="I797" s="177"/>
    </row>
    <row r="798" spans="3:9">
      <c r="C798" s="177"/>
      <c r="D798" s="177"/>
      <c r="E798" s="177"/>
      <c r="F798" s="177"/>
      <c r="G798" s="179"/>
      <c r="H798" s="179"/>
      <c r="I798" s="177"/>
    </row>
    <row r="799" spans="3:9">
      <c r="C799" s="177"/>
      <c r="D799" s="177"/>
      <c r="E799" s="177"/>
      <c r="F799" s="177"/>
      <c r="G799" s="179"/>
      <c r="H799" s="179"/>
      <c r="I799" s="177"/>
    </row>
    <row r="800" spans="3:9">
      <c r="C800" s="177"/>
      <c r="D800" s="177"/>
      <c r="E800" s="177"/>
      <c r="F800" s="177"/>
      <c r="G800" s="179"/>
      <c r="H800" s="179"/>
      <c r="I800" s="177"/>
    </row>
    <row r="801" spans="3:9">
      <c r="C801" s="177"/>
      <c r="D801" s="177"/>
      <c r="E801" s="177"/>
      <c r="F801" s="177"/>
      <c r="G801" s="179"/>
      <c r="H801" s="179"/>
      <c r="I801" s="177"/>
    </row>
    <row r="802" spans="3:9">
      <c r="C802" s="177"/>
      <c r="D802" s="177"/>
      <c r="E802" s="177"/>
      <c r="F802" s="177"/>
      <c r="G802" s="179"/>
      <c r="H802" s="179"/>
      <c r="I802" s="177"/>
    </row>
    <row r="803" spans="3:9">
      <c r="C803" s="177"/>
      <c r="D803" s="177"/>
      <c r="E803" s="177"/>
      <c r="F803" s="177"/>
      <c r="G803" s="179"/>
      <c r="H803" s="179"/>
      <c r="I803" s="177"/>
    </row>
    <row r="804" spans="3:9">
      <c r="C804" s="177"/>
      <c r="D804" s="177"/>
      <c r="E804" s="177"/>
      <c r="F804" s="177"/>
      <c r="G804" s="179"/>
      <c r="H804" s="179"/>
      <c r="I804" s="177"/>
    </row>
    <row r="805" spans="3:9">
      <c r="C805" s="177"/>
      <c r="D805" s="177"/>
      <c r="E805" s="177"/>
      <c r="F805" s="177"/>
      <c r="G805" s="179"/>
      <c r="H805" s="179"/>
      <c r="I805" s="177"/>
    </row>
    <row r="806" spans="3:9">
      <c r="C806" s="177"/>
      <c r="D806" s="177"/>
      <c r="E806" s="177"/>
      <c r="F806" s="177"/>
      <c r="G806" s="179"/>
      <c r="H806" s="179"/>
      <c r="I806" s="177"/>
    </row>
    <row r="807" spans="3:9">
      <c r="C807" s="177"/>
      <c r="D807" s="177"/>
      <c r="E807" s="177"/>
      <c r="F807" s="177"/>
      <c r="G807" s="179"/>
      <c r="H807" s="179"/>
      <c r="I807" s="177"/>
    </row>
    <row r="808" spans="3:9">
      <c r="C808" s="177"/>
      <c r="D808" s="177"/>
      <c r="E808" s="177"/>
      <c r="F808" s="177"/>
      <c r="G808" s="179"/>
      <c r="H808" s="179"/>
      <c r="I808" s="177"/>
    </row>
    <row r="809" spans="3:9">
      <c r="C809" s="177"/>
      <c r="D809" s="177"/>
      <c r="E809" s="177"/>
      <c r="F809" s="177"/>
      <c r="G809" s="179"/>
      <c r="H809" s="179"/>
      <c r="I809" s="177"/>
    </row>
    <row r="810" spans="3:9">
      <c r="C810" s="177"/>
      <c r="D810" s="177"/>
      <c r="E810" s="177"/>
      <c r="F810" s="177"/>
      <c r="G810" s="179"/>
      <c r="H810" s="179"/>
      <c r="I810" s="177"/>
    </row>
    <row r="811" spans="3:9">
      <c r="C811" s="177"/>
      <c r="D811" s="177"/>
      <c r="E811" s="177"/>
      <c r="F811" s="177"/>
      <c r="G811" s="179"/>
      <c r="H811" s="179"/>
      <c r="I811" s="177"/>
    </row>
    <row r="812" spans="3:9">
      <c r="C812" s="177"/>
      <c r="D812" s="177"/>
      <c r="E812" s="177"/>
      <c r="F812" s="177"/>
      <c r="G812" s="179"/>
      <c r="H812" s="179"/>
      <c r="I812" s="177"/>
    </row>
    <row r="813" spans="3:9">
      <c r="C813" s="177"/>
      <c r="D813" s="177"/>
      <c r="E813" s="177"/>
      <c r="F813" s="177"/>
      <c r="G813" s="179"/>
      <c r="H813" s="179"/>
      <c r="I813" s="177"/>
    </row>
    <row r="814" spans="3:9">
      <c r="C814" s="177"/>
      <c r="D814" s="177"/>
      <c r="E814" s="177"/>
      <c r="F814" s="177"/>
      <c r="G814" s="179"/>
      <c r="H814" s="179"/>
      <c r="I814" s="177"/>
    </row>
    <row r="815" spans="3:9">
      <c r="C815" s="177"/>
      <c r="D815" s="177"/>
      <c r="E815" s="177"/>
      <c r="F815" s="177"/>
      <c r="G815" s="179"/>
      <c r="H815" s="179"/>
      <c r="I815" s="177"/>
    </row>
    <row r="816" spans="3:9">
      <c r="C816" s="177"/>
      <c r="D816" s="177"/>
      <c r="E816" s="177"/>
      <c r="F816" s="177"/>
      <c r="G816" s="179"/>
      <c r="H816" s="179"/>
      <c r="I816" s="177"/>
    </row>
    <row r="817" spans="3:9">
      <c r="C817" s="177"/>
      <c r="D817" s="177"/>
      <c r="E817" s="177"/>
      <c r="F817" s="177"/>
      <c r="G817" s="179"/>
      <c r="H817" s="179"/>
      <c r="I817" s="177"/>
    </row>
    <row r="818" spans="3:9">
      <c r="C818" s="177"/>
      <c r="D818" s="177"/>
      <c r="E818" s="177"/>
      <c r="F818" s="177"/>
      <c r="G818" s="179"/>
      <c r="H818" s="179"/>
      <c r="I818" s="177"/>
    </row>
    <row r="819" spans="3:9">
      <c r="C819" s="177"/>
      <c r="D819" s="177"/>
      <c r="E819" s="177"/>
      <c r="F819" s="177"/>
      <c r="G819" s="179"/>
      <c r="H819" s="179"/>
      <c r="I819" s="177"/>
    </row>
    <row r="820" spans="3:9">
      <c r="C820" s="177"/>
      <c r="D820" s="177"/>
      <c r="E820" s="177"/>
      <c r="F820" s="177"/>
      <c r="G820" s="179"/>
      <c r="H820" s="179"/>
      <c r="I820" s="177"/>
    </row>
    <row r="821" spans="3:9">
      <c r="C821" s="177"/>
      <c r="D821" s="177"/>
      <c r="E821" s="177"/>
      <c r="F821" s="177"/>
      <c r="G821" s="179"/>
      <c r="H821" s="179"/>
      <c r="I821" s="177"/>
    </row>
    <row r="822" spans="3:9">
      <c r="C822" s="177"/>
      <c r="D822" s="177"/>
      <c r="E822" s="177"/>
      <c r="F822" s="177"/>
      <c r="G822" s="179"/>
      <c r="H822" s="179"/>
      <c r="I822" s="177"/>
    </row>
    <row r="823" spans="3:9">
      <c r="C823" s="177"/>
      <c r="D823" s="177"/>
      <c r="E823" s="177"/>
      <c r="F823" s="177"/>
      <c r="G823" s="179"/>
      <c r="H823" s="179"/>
      <c r="I823" s="177"/>
    </row>
    <row r="824" spans="3:9">
      <c r="C824" s="177"/>
      <c r="D824" s="177"/>
      <c r="E824" s="177"/>
      <c r="F824" s="177"/>
      <c r="G824" s="179"/>
      <c r="H824" s="179"/>
      <c r="I824" s="177"/>
    </row>
    <row r="825" spans="3:9">
      <c r="C825" s="177"/>
      <c r="D825" s="177"/>
      <c r="E825" s="177"/>
      <c r="F825" s="177"/>
      <c r="G825" s="179"/>
      <c r="H825" s="179"/>
      <c r="I825" s="177"/>
    </row>
    <row r="826" spans="3:9">
      <c r="C826" s="177"/>
      <c r="D826" s="177"/>
      <c r="E826" s="177"/>
      <c r="F826" s="177"/>
      <c r="G826" s="179"/>
      <c r="H826" s="179"/>
      <c r="I826" s="177"/>
    </row>
    <row r="827" spans="3:9">
      <c r="C827" s="177"/>
      <c r="D827" s="177"/>
      <c r="E827" s="177"/>
      <c r="F827" s="177"/>
      <c r="G827" s="179"/>
      <c r="H827" s="179"/>
      <c r="I827" s="177"/>
    </row>
    <row r="828" spans="3:9">
      <c r="C828" s="177"/>
      <c r="D828" s="177"/>
      <c r="E828" s="177"/>
      <c r="F828" s="177"/>
      <c r="G828" s="179"/>
      <c r="H828" s="179"/>
      <c r="I828" s="177"/>
    </row>
    <row r="829" spans="3:9">
      <c r="C829" s="177"/>
      <c r="D829" s="177"/>
      <c r="E829" s="177"/>
      <c r="F829" s="177"/>
      <c r="G829" s="179"/>
      <c r="H829" s="179"/>
      <c r="I829" s="177"/>
    </row>
    <row r="830" spans="3:9">
      <c r="C830" s="177"/>
      <c r="D830" s="177"/>
      <c r="E830" s="177"/>
      <c r="F830" s="177"/>
      <c r="G830" s="179"/>
      <c r="H830" s="179"/>
      <c r="I830" s="177"/>
    </row>
    <row r="831" spans="3:9">
      <c r="C831" s="177"/>
      <c r="D831" s="177"/>
      <c r="E831" s="177"/>
      <c r="F831" s="177"/>
      <c r="G831" s="179"/>
      <c r="H831" s="179"/>
      <c r="I831" s="177"/>
    </row>
    <row r="832" spans="3:9">
      <c r="C832" s="177"/>
      <c r="D832" s="177"/>
      <c r="E832" s="177"/>
      <c r="F832" s="177"/>
      <c r="G832" s="179"/>
      <c r="H832" s="179"/>
      <c r="I832" s="177"/>
    </row>
    <row r="833" spans="3:9">
      <c r="C833" s="177"/>
      <c r="D833" s="177"/>
      <c r="E833" s="177"/>
      <c r="F833" s="177"/>
      <c r="G833" s="179"/>
      <c r="H833" s="179"/>
      <c r="I833" s="177"/>
    </row>
    <row r="834" spans="3:9">
      <c r="C834" s="177"/>
      <c r="D834" s="177"/>
      <c r="E834" s="177"/>
      <c r="F834" s="177"/>
      <c r="G834" s="179"/>
      <c r="H834" s="179"/>
      <c r="I834" s="177"/>
    </row>
    <row r="835" spans="3:9">
      <c r="C835" s="177"/>
      <c r="D835" s="177"/>
      <c r="E835" s="177"/>
      <c r="F835" s="177"/>
      <c r="G835" s="179"/>
      <c r="H835" s="179"/>
      <c r="I835" s="177"/>
    </row>
    <row r="836" spans="3:9">
      <c r="C836" s="177"/>
      <c r="D836" s="177"/>
      <c r="E836" s="177"/>
      <c r="F836" s="177"/>
      <c r="G836" s="179"/>
      <c r="H836" s="179"/>
      <c r="I836" s="177"/>
    </row>
    <row r="837" spans="3:9">
      <c r="C837" s="177"/>
      <c r="D837" s="177"/>
      <c r="E837" s="177"/>
      <c r="F837" s="177"/>
      <c r="G837" s="179"/>
      <c r="H837" s="179"/>
      <c r="I837" s="177"/>
    </row>
    <row r="838" spans="3:9">
      <c r="C838" s="177"/>
      <c r="D838" s="177"/>
      <c r="E838" s="177"/>
      <c r="F838" s="177"/>
      <c r="G838" s="179"/>
      <c r="H838" s="179"/>
      <c r="I838" s="177"/>
    </row>
    <row r="839" spans="3:9">
      <c r="C839" s="177"/>
      <c r="D839" s="177"/>
      <c r="E839" s="177"/>
      <c r="F839" s="177"/>
      <c r="G839" s="179"/>
      <c r="H839" s="179"/>
      <c r="I839" s="177"/>
    </row>
    <row r="840" spans="3:9">
      <c r="C840" s="177"/>
      <c r="D840" s="177"/>
      <c r="E840" s="177"/>
      <c r="F840" s="177"/>
      <c r="G840" s="179"/>
      <c r="H840" s="179"/>
      <c r="I840" s="177"/>
    </row>
    <row r="841" spans="3:9">
      <c r="C841" s="177"/>
      <c r="D841" s="177"/>
      <c r="E841" s="177"/>
      <c r="F841" s="177"/>
      <c r="G841" s="179"/>
      <c r="H841" s="179"/>
      <c r="I841" s="177"/>
    </row>
    <row r="842" spans="3:9">
      <c r="C842" s="177"/>
      <c r="D842" s="177"/>
      <c r="E842" s="177"/>
      <c r="F842" s="177"/>
      <c r="G842" s="179"/>
      <c r="H842" s="179"/>
      <c r="I842" s="177"/>
    </row>
    <row r="843" spans="3:9">
      <c r="C843" s="177"/>
      <c r="D843" s="177"/>
      <c r="E843" s="177"/>
      <c r="F843" s="177"/>
      <c r="G843" s="179"/>
      <c r="H843" s="179"/>
      <c r="I843" s="177"/>
    </row>
    <row r="844" spans="3:9">
      <c r="C844" s="177"/>
      <c r="D844" s="177"/>
      <c r="E844" s="177"/>
      <c r="F844" s="177"/>
      <c r="G844" s="179"/>
      <c r="H844" s="179"/>
      <c r="I844" s="177"/>
    </row>
    <row r="845" spans="3:9">
      <c r="C845" s="177"/>
      <c r="D845" s="177"/>
      <c r="E845" s="177"/>
      <c r="F845" s="177"/>
      <c r="G845" s="179"/>
      <c r="H845" s="179"/>
      <c r="I845" s="177"/>
    </row>
    <row r="846" spans="3:9">
      <c r="C846" s="177"/>
      <c r="D846" s="177"/>
      <c r="E846" s="177"/>
      <c r="F846" s="177"/>
      <c r="G846" s="179"/>
      <c r="H846" s="179"/>
      <c r="I846" s="177"/>
    </row>
    <row r="847" spans="3:9">
      <c r="C847" s="177"/>
      <c r="D847" s="177"/>
      <c r="E847" s="177"/>
      <c r="F847" s="177"/>
      <c r="G847" s="179"/>
      <c r="H847" s="179"/>
      <c r="I847" s="177"/>
    </row>
    <row r="848" spans="3:9">
      <c r="C848" s="177"/>
      <c r="D848" s="177"/>
      <c r="E848" s="177"/>
      <c r="F848" s="177"/>
      <c r="G848" s="179"/>
      <c r="H848" s="179"/>
      <c r="I848" s="177"/>
    </row>
    <row r="849" spans="3:9">
      <c r="C849" s="177"/>
      <c r="D849" s="177"/>
      <c r="E849" s="177"/>
      <c r="F849" s="177"/>
      <c r="G849" s="179"/>
      <c r="H849" s="179"/>
      <c r="I849" s="177"/>
    </row>
    <row r="850" spans="3:9">
      <c r="C850" s="177"/>
      <c r="D850" s="177"/>
      <c r="E850" s="177"/>
      <c r="F850" s="177"/>
      <c r="G850" s="179"/>
      <c r="H850" s="179"/>
      <c r="I850" s="177"/>
    </row>
    <row r="851" spans="3:9">
      <c r="C851" s="177"/>
      <c r="D851" s="177"/>
      <c r="E851" s="177"/>
      <c r="F851" s="177"/>
      <c r="G851" s="179"/>
      <c r="H851" s="179"/>
      <c r="I851" s="177"/>
    </row>
    <row r="852" spans="3:9">
      <c r="C852" s="177"/>
      <c r="D852" s="177"/>
      <c r="E852" s="177"/>
      <c r="F852" s="177"/>
      <c r="G852" s="179"/>
      <c r="H852" s="179"/>
      <c r="I852" s="177"/>
    </row>
    <row r="853" spans="3:9">
      <c r="C853" s="177"/>
      <c r="D853" s="177"/>
      <c r="E853" s="177"/>
      <c r="F853" s="177"/>
      <c r="G853" s="179"/>
      <c r="H853" s="179"/>
      <c r="I853" s="177"/>
    </row>
    <row r="854" spans="3:9">
      <c r="C854" s="177"/>
      <c r="D854" s="177"/>
      <c r="E854" s="177"/>
      <c r="F854" s="177"/>
      <c r="G854" s="179"/>
      <c r="H854" s="179"/>
      <c r="I854" s="177"/>
    </row>
    <row r="855" spans="3:9">
      <c r="C855" s="177"/>
      <c r="D855" s="177"/>
      <c r="E855" s="177"/>
      <c r="F855" s="177"/>
      <c r="G855" s="179"/>
      <c r="H855" s="179"/>
      <c r="I855" s="177"/>
    </row>
    <row r="856" spans="3:9">
      <c r="C856" s="177"/>
      <c r="D856" s="177"/>
      <c r="E856" s="177"/>
      <c r="F856" s="177"/>
      <c r="G856" s="179"/>
      <c r="H856" s="179"/>
      <c r="I856" s="177"/>
    </row>
    <row r="857" spans="3:9">
      <c r="C857" s="177"/>
      <c r="D857" s="177"/>
      <c r="E857" s="177"/>
      <c r="F857" s="177"/>
      <c r="G857" s="179"/>
      <c r="H857" s="179"/>
      <c r="I857" s="177"/>
    </row>
    <row r="858" spans="3:9">
      <c r="C858" s="177"/>
      <c r="D858" s="177"/>
      <c r="E858" s="177"/>
      <c r="F858" s="177"/>
      <c r="G858" s="179"/>
      <c r="H858" s="179"/>
      <c r="I858" s="177"/>
    </row>
    <row r="859" spans="3:9">
      <c r="C859" s="177"/>
      <c r="D859" s="177"/>
      <c r="E859" s="177"/>
      <c r="F859" s="177"/>
      <c r="G859" s="179"/>
      <c r="H859" s="179"/>
      <c r="I859" s="177"/>
    </row>
    <row r="860" spans="3:9">
      <c r="C860" s="177"/>
      <c r="D860" s="177"/>
      <c r="E860" s="177"/>
      <c r="F860" s="177"/>
      <c r="G860" s="179"/>
      <c r="H860" s="179"/>
      <c r="I860" s="177"/>
    </row>
    <row r="861" spans="3:9">
      <c r="C861" s="177"/>
      <c r="D861" s="177"/>
      <c r="E861" s="177"/>
      <c r="F861" s="177"/>
      <c r="G861" s="179"/>
      <c r="H861" s="179"/>
      <c r="I861" s="177"/>
    </row>
    <row r="862" spans="3:9">
      <c r="C862" s="177"/>
      <c r="D862" s="177"/>
      <c r="E862" s="177"/>
      <c r="F862" s="177"/>
      <c r="G862" s="179"/>
      <c r="H862" s="179"/>
      <c r="I862" s="177"/>
    </row>
    <row r="863" spans="3:9">
      <c r="C863" s="177"/>
      <c r="D863" s="177"/>
      <c r="E863" s="177"/>
      <c r="F863" s="177"/>
      <c r="G863" s="179"/>
      <c r="H863" s="179"/>
      <c r="I863" s="177"/>
    </row>
    <row r="864" spans="3:9">
      <c r="C864" s="177"/>
      <c r="D864" s="177"/>
      <c r="E864" s="177"/>
      <c r="F864" s="177"/>
      <c r="G864" s="179"/>
      <c r="H864" s="179"/>
      <c r="I864" s="177"/>
    </row>
    <row r="865" spans="3:9">
      <c r="C865" s="177"/>
      <c r="D865" s="177"/>
      <c r="E865" s="177"/>
      <c r="F865" s="177"/>
      <c r="G865" s="179"/>
      <c r="H865" s="179"/>
      <c r="I865" s="177"/>
    </row>
    <row r="866" spans="3:9">
      <c r="C866" s="177"/>
      <c r="D866" s="177"/>
      <c r="E866" s="177"/>
      <c r="F866" s="177"/>
      <c r="G866" s="179"/>
      <c r="H866" s="179"/>
      <c r="I866" s="177"/>
    </row>
    <row r="867" spans="3:9">
      <c r="C867" s="177"/>
      <c r="D867" s="177"/>
      <c r="E867" s="177"/>
      <c r="F867" s="177"/>
      <c r="G867" s="179"/>
      <c r="H867" s="179"/>
      <c r="I867" s="177"/>
    </row>
    <row r="868" spans="3:9">
      <c r="C868" s="177"/>
      <c r="D868" s="177"/>
      <c r="E868" s="177"/>
      <c r="F868" s="177"/>
      <c r="G868" s="179"/>
      <c r="H868" s="179"/>
      <c r="I868" s="177"/>
    </row>
    <row r="869" spans="3:9">
      <c r="C869" s="177"/>
      <c r="D869" s="177"/>
      <c r="E869" s="177"/>
      <c r="F869" s="177"/>
      <c r="G869" s="179"/>
      <c r="H869" s="179"/>
      <c r="I869" s="177"/>
    </row>
    <row r="870" spans="3:9">
      <c r="C870" s="177"/>
      <c r="D870" s="177"/>
      <c r="E870" s="177"/>
      <c r="F870" s="177"/>
      <c r="G870" s="179"/>
      <c r="H870" s="179"/>
      <c r="I870" s="177"/>
    </row>
    <row r="871" spans="3:9">
      <c r="C871" s="177"/>
      <c r="D871" s="177"/>
      <c r="E871" s="177"/>
      <c r="F871" s="177"/>
      <c r="G871" s="179"/>
      <c r="H871" s="179"/>
      <c r="I871" s="177"/>
    </row>
    <row r="872" spans="3:9">
      <c r="C872" s="177"/>
      <c r="D872" s="177"/>
      <c r="E872" s="177"/>
      <c r="F872" s="177"/>
      <c r="G872" s="179"/>
      <c r="H872" s="179"/>
      <c r="I872" s="177"/>
    </row>
    <row r="873" spans="3:9">
      <c r="C873" s="177"/>
      <c r="D873" s="177"/>
      <c r="E873" s="177"/>
      <c r="F873" s="177"/>
      <c r="G873" s="179"/>
      <c r="H873" s="179"/>
      <c r="I873" s="177"/>
    </row>
    <row r="874" spans="3:9">
      <c r="C874" s="177"/>
      <c r="D874" s="177"/>
      <c r="E874" s="177"/>
      <c r="F874" s="177"/>
      <c r="G874" s="179"/>
      <c r="H874" s="179"/>
      <c r="I874" s="177"/>
    </row>
    <row r="875" spans="3:9">
      <c r="C875" s="177"/>
      <c r="D875" s="177"/>
      <c r="E875" s="177"/>
      <c r="F875" s="177"/>
      <c r="G875" s="179"/>
      <c r="H875" s="179"/>
      <c r="I875" s="177"/>
    </row>
    <row r="876" spans="3:9">
      <c r="C876" s="177"/>
      <c r="D876" s="177"/>
      <c r="E876" s="177"/>
      <c r="F876" s="177"/>
      <c r="G876" s="179"/>
      <c r="H876" s="179"/>
      <c r="I876" s="177"/>
    </row>
    <row r="877" spans="3:9">
      <c r="C877" s="177"/>
      <c r="D877" s="177"/>
      <c r="E877" s="177"/>
      <c r="F877" s="177"/>
      <c r="G877" s="179"/>
      <c r="H877" s="179"/>
      <c r="I877" s="177"/>
    </row>
    <row r="878" spans="3:9">
      <c r="C878" s="177"/>
      <c r="D878" s="177"/>
      <c r="E878" s="177"/>
      <c r="F878" s="177"/>
      <c r="G878" s="179"/>
      <c r="H878" s="179"/>
      <c r="I878" s="177"/>
    </row>
    <row r="879" spans="3:9">
      <c r="C879" s="177"/>
      <c r="D879" s="177"/>
      <c r="E879" s="177"/>
      <c r="F879" s="177"/>
      <c r="G879" s="179"/>
      <c r="H879" s="179"/>
      <c r="I879" s="177"/>
    </row>
    <row r="880" spans="3:9">
      <c r="C880" s="177"/>
      <c r="D880" s="177"/>
      <c r="E880" s="177"/>
      <c r="F880" s="177"/>
      <c r="G880" s="179"/>
      <c r="H880" s="179"/>
      <c r="I880" s="177"/>
    </row>
    <row r="881" spans="3:9">
      <c r="C881" s="177"/>
      <c r="D881" s="177"/>
      <c r="E881" s="177"/>
      <c r="F881" s="177"/>
      <c r="G881" s="179"/>
      <c r="H881" s="179"/>
      <c r="I881" s="177"/>
    </row>
    <row r="882" spans="3:9">
      <c r="C882" s="177"/>
      <c r="D882" s="177"/>
      <c r="E882" s="177"/>
      <c r="F882" s="177"/>
      <c r="G882" s="179"/>
      <c r="H882" s="179"/>
      <c r="I882" s="177"/>
    </row>
    <row r="883" spans="3:9">
      <c r="C883" s="177"/>
      <c r="D883" s="177"/>
      <c r="E883" s="177"/>
      <c r="F883" s="177"/>
      <c r="G883" s="179"/>
      <c r="H883" s="179"/>
      <c r="I883" s="177"/>
    </row>
    <row r="884" spans="3:9">
      <c r="C884" s="177"/>
      <c r="D884" s="177"/>
      <c r="E884" s="177"/>
      <c r="F884" s="177"/>
      <c r="G884" s="179"/>
      <c r="H884" s="179"/>
      <c r="I884" s="177"/>
    </row>
    <row r="885" spans="3:9">
      <c r="C885" s="177"/>
      <c r="D885" s="177"/>
      <c r="E885" s="177"/>
      <c r="F885" s="177"/>
      <c r="G885" s="179"/>
      <c r="H885" s="179"/>
      <c r="I885" s="177"/>
    </row>
    <row r="886" spans="3:9">
      <c r="C886" s="177"/>
      <c r="D886" s="177"/>
      <c r="E886" s="177"/>
      <c r="F886" s="177"/>
      <c r="G886" s="179"/>
      <c r="H886" s="179"/>
      <c r="I886" s="177"/>
    </row>
    <row r="887" spans="3:9">
      <c r="C887" s="177"/>
      <c r="D887" s="177"/>
      <c r="E887" s="177"/>
      <c r="F887" s="177"/>
      <c r="G887" s="179"/>
      <c r="H887" s="179"/>
      <c r="I887" s="177"/>
    </row>
    <row r="888" spans="3:9">
      <c r="C888" s="177"/>
      <c r="D888" s="177"/>
      <c r="E888" s="177"/>
      <c r="F888" s="177"/>
      <c r="G888" s="179"/>
      <c r="H888" s="179"/>
      <c r="I888" s="177"/>
    </row>
    <row r="889" spans="3:9">
      <c r="C889" s="177"/>
      <c r="D889" s="177"/>
      <c r="E889" s="177"/>
      <c r="F889" s="177"/>
      <c r="G889" s="179"/>
      <c r="H889" s="179"/>
      <c r="I889" s="177"/>
    </row>
    <row r="890" spans="3:9">
      <c r="C890" s="177"/>
      <c r="D890" s="177"/>
      <c r="E890" s="177"/>
      <c r="F890" s="177"/>
      <c r="G890" s="179"/>
      <c r="H890" s="179"/>
      <c r="I890" s="177"/>
    </row>
    <row r="891" spans="3:9">
      <c r="C891" s="177"/>
      <c r="D891" s="177"/>
      <c r="E891" s="177"/>
      <c r="F891" s="177"/>
      <c r="G891" s="179"/>
      <c r="H891" s="179"/>
      <c r="I891" s="177"/>
    </row>
    <row r="892" spans="3:9">
      <c r="C892" s="177"/>
      <c r="D892" s="177"/>
      <c r="E892" s="177"/>
      <c r="F892" s="177"/>
      <c r="G892" s="179"/>
      <c r="H892" s="179"/>
      <c r="I892" s="177"/>
    </row>
    <row r="893" spans="3:9">
      <c r="C893" s="177"/>
      <c r="D893" s="177"/>
      <c r="E893" s="177"/>
      <c r="F893" s="177"/>
      <c r="G893" s="179"/>
      <c r="H893" s="179"/>
      <c r="I893" s="177"/>
    </row>
    <row r="894" spans="3:9">
      <c r="C894" s="177"/>
      <c r="D894" s="177"/>
      <c r="E894" s="177"/>
      <c r="F894" s="177"/>
      <c r="G894" s="179"/>
      <c r="H894" s="179"/>
      <c r="I894" s="177"/>
    </row>
    <row r="895" spans="3:9">
      <c r="C895" s="177"/>
      <c r="D895" s="177"/>
      <c r="E895" s="177"/>
      <c r="F895" s="177"/>
      <c r="G895" s="179"/>
      <c r="H895" s="179"/>
      <c r="I895" s="177"/>
    </row>
    <row r="896" spans="3:9">
      <c r="C896" s="177"/>
      <c r="D896" s="177"/>
      <c r="E896" s="177"/>
      <c r="F896" s="177"/>
      <c r="G896" s="179"/>
      <c r="H896" s="179"/>
      <c r="I896" s="177"/>
    </row>
    <row r="897" spans="3:9">
      <c r="C897" s="177"/>
      <c r="D897" s="177"/>
      <c r="E897" s="177"/>
      <c r="F897" s="177"/>
      <c r="G897" s="179"/>
      <c r="H897" s="179"/>
      <c r="I897" s="177"/>
    </row>
    <row r="898" spans="3:9">
      <c r="C898" s="177"/>
      <c r="D898" s="177"/>
      <c r="E898" s="177"/>
      <c r="F898" s="177"/>
      <c r="G898" s="179"/>
      <c r="H898" s="179"/>
      <c r="I898" s="177"/>
    </row>
    <row r="899" spans="3:9">
      <c r="C899" s="177"/>
      <c r="D899" s="177"/>
      <c r="E899" s="177"/>
      <c r="F899" s="177"/>
      <c r="G899" s="179"/>
      <c r="H899" s="179"/>
      <c r="I899" s="177"/>
    </row>
    <row r="900" spans="3:9">
      <c r="C900" s="177"/>
      <c r="D900" s="177"/>
      <c r="E900" s="177"/>
      <c r="F900" s="177"/>
      <c r="G900" s="179"/>
      <c r="H900" s="179"/>
      <c r="I900" s="177"/>
    </row>
    <row r="901" spans="3:9">
      <c r="C901" s="177"/>
      <c r="D901" s="177"/>
      <c r="E901" s="177"/>
      <c r="F901" s="177"/>
      <c r="G901" s="179"/>
      <c r="H901" s="179"/>
      <c r="I901" s="177"/>
    </row>
    <row r="902" spans="3:9">
      <c r="C902" s="177"/>
      <c r="D902" s="177"/>
      <c r="E902" s="177"/>
      <c r="F902" s="177"/>
      <c r="G902" s="179"/>
      <c r="H902" s="179"/>
      <c r="I902" s="177"/>
    </row>
    <row r="903" spans="3:9">
      <c r="C903" s="177"/>
      <c r="D903" s="177"/>
      <c r="E903" s="177"/>
      <c r="F903" s="177"/>
      <c r="G903" s="179"/>
      <c r="H903" s="179"/>
      <c r="I903" s="177"/>
    </row>
    <row r="904" spans="3:9">
      <c r="C904" s="177"/>
      <c r="D904" s="177"/>
      <c r="E904" s="177"/>
      <c r="F904" s="177"/>
      <c r="G904" s="179"/>
      <c r="H904" s="179"/>
      <c r="I904" s="177"/>
    </row>
    <row r="905" spans="3:9">
      <c r="C905" s="177"/>
      <c r="D905" s="177"/>
      <c r="E905" s="177"/>
      <c r="F905" s="177"/>
      <c r="G905" s="179"/>
      <c r="H905" s="179"/>
      <c r="I905" s="177"/>
    </row>
    <row r="906" spans="3:9">
      <c r="C906" s="177"/>
      <c r="D906" s="177"/>
      <c r="E906" s="177"/>
      <c r="F906" s="177"/>
      <c r="G906" s="179"/>
      <c r="H906" s="179"/>
      <c r="I906" s="177"/>
    </row>
    <row r="907" spans="3:9">
      <c r="C907" s="177"/>
      <c r="D907" s="177"/>
      <c r="E907" s="177"/>
      <c r="F907" s="177"/>
      <c r="G907" s="179"/>
      <c r="H907" s="179"/>
      <c r="I907" s="177"/>
    </row>
    <row r="908" spans="3:9">
      <c r="C908" s="177"/>
      <c r="D908" s="177"/>
      <c r="E908" s="177"/>
      <c r="F908" s="177"/>
      <c r="G908" s="179"/>
      <c r="H908" s="179"/>
      <c r="I908" s="177"/>
    </row>
    <row r="909" spans="3:9">
      <c r="C909" s="177"/>
      <c r="D909" s="177"/>
      <c r="E909" s="177"/>
      <c r="F909" s="177"/>
      <c r="G909" s="179"/>
      <c r="H909" s="179"/>
      <c r="I909" s="177"/>
    </row>
    <row r="910" spans="3:9">
      <c r="C910" s="177"/>
      <c r="D910" s="177"/>
      <c r="E910" s="177"/>
      <c r="F910" s="177"/>
      <c r="G910" s="179"/>
      <c r="H910" s="179"/>
      <c r="I910" s="177"/>
    </row>
    <row r="911" spans="3:9">
      <c r="C911" s="177"/>
      <c r="D911" s="177"/>
      <c r="E911" s="177"/>
      <c r="F911" s="177"/>
      <c r="G911" s="179"/>
      <c r="H911" s="179"/>
      <c r="I911" s="177"/>
    </row>
    <row r="912" spans="3:9">
      <c r="C912" s="177"/>
      <c r="D912" s="177"/>
      <c r="E912" s="177"/>
      <c r="F912" s="177"/>
      <c r="G912" s="179"/>
      <c r="H912" s="179"/>
      <c r="I912" s="177"/>
    </row>
    <row r="913" spans="3:9">
      <c r="C913" s="177"/>
      <c r="D913" s="177"/>
      <c r="E913" s="177"/>
      <c r="F913" s="177"/>
      <c r="G913" s="179"/>
      <c r="H913" s="179"/>
      <c r="I913" s="177"/>
    </row>
    <row r="914" spans="3:9">
      <c r="C914" s="177"/>
      <c r="D914" s="177"/>
      <c r="E914" s="177"/>
      <c r="F914" s="177"/>
      <c r="G914" s="179"/>
      <c r="H914" s="179"/>
      <c r="I914" s="177"/>
    </row>
    <row r="915" spans="3:9">
      <c r="C915" s="177"/>
      <c r="D915" s="177"/>
      <c r="E915" s="177"/>
      <c r="F915" s="177"/>
      <c r="G915" s="179"/>
      <c r="H915" s="179"/>
      <c r="I915" s="177"/>
    </row>
    <row r="916" spans="3:9">
      <c r="C916" s="177"/>
      <c r="D916" s="177"/>
      <c r="E916" s="177"/>
      <c r="F916" s="177"/>
      <c r="G916" s="179"/>
      <c r="H916" s="179"/>
      <c r="I916" s="177"/>
    </row>
    <row r="917" spans="3:9">
      <c r="C917" s="177"/>
      <c r="D917" s="177"/>
      <c r="E917" s="177"/>
      <c r="F917" s="177"/>
      <c r="G917" s="179"/>
      <c r="H917" s="179"/>
      <c r="I917" s="177"/>
    </row>
    <row r="918" spans="3:9">
      <c r="C918" s="177"/>
      <c r="D918" s="177"/>
      <c r="E918" s="177"/>
      <c r="F918" s="177"/>
      <c r="G918" s="179"/>
      <c r="H918" s="179"/>
      <c r="I918" s="177"/>
    </row>
    <row r="919" spans="3:9">
      <c r="C919" s="177"/>
      <c r="D919" s="177"/>
      <c r="E919" s="177"/>
      <c r="F919" s="177"/>
      <c r="G919" s="179"/>
      <c r="H919" s="179"/>
      <c r="I919" s="177"/>
    </row>
    <row r="920" spans="3:9">
      <c r="C920" s="177"/>
      <c r="D920" s="177"/>
      <c r="E920" s="177"/>
      <c r="F920" s="177"/>
      <c r="G920" s="179"/>
      <c r="H920" s="179"/>
      <c r="I920" s="177"/>
    </row>
    <row r="921" spans="3:9">
      <c r="C921" s="177"/>
      <c r="D921" s="177"/>
      <c r="E921" s="177"/>
      <c r="F921" s="177"/>
      <c r="G921" s="179"/>
      <c r="H921" s="179"/>
      <c r="I921" s="177"/>
    </row>
    <row r="922" spans="3:9">
      <c r="C922" s="177"/>
      <c r="D922" s="177"/>
      <c r="E922" s="177"/>
      <c r="F922" s="177"/>
      <c r="G922" s="179"/>
      <c r="H922" s="179"/>
      <c r="I922" s="177"/>
    </row>
    <row r="923" spans="3:9">
      <c r="C923" s="177"/>
      <c r="D923" s="177"/>
      <c r="E923" s="177"/>
      <c r="F923" s="177"/>
      <c r="G923" s="179"/>
      <c r="H923" s="179"/>
      <c r="I923" s="177"/>
    </row>
    <row r="924" spans="3:9">
      <c r="C924" s="177"/>
      <c r="D924" s="177"/>
      <c r="E924" s="177"/>
      <c r="F924" s="177"/>
      <c r="G924" s="179"/>
      <c r="H924" s="179"/>
      <c r="I924" s="177"/>
    </row>
    <row r="925" spans="3:9">
      <c r="C925" s="177"/>
      <c r="D925" s="177"/>
      <c r="E925" s="177"/>
      <c r="F925" s="177"/>
      <c r="G925" s="179"/>
      <c r="H925" s="179"/>
      <c r="I925" s="177"/>
    </row>
    <row r="926" spans="3:9">
      <c r="C926" s="177"/>
      <c r="D926" s="177"/>
      <c r="E926" s="177"/>
      <c r="F926" s="177"/>
      <c r="G926" s="179"/>
      <c r="H926" s="179"/>
      <c r="I926" s="177"/>
    </row>
    <row r="927" spans="3:9">
      <c r="C927" s="177"/>
      <c r="D927" s="177"/>
      <c r="E927" s="177"/>
      <c r="F927" s="177"/>
      <c r="G927" s="179"/>
      <c r="H927" s="179"/>
      <c r="I927" s="177"/>
    </row>
    <row r="928" spans="3:9">
      <c r="C928" s="177"/>
      <c r="D928" s="177"/>
      <c r="E928" s="177"/>
      <c r="F928" s="177"/>
      <c r="G928" s="179"/>
      <c r="H928" s="179"/>
      <c r="I928" s="177"/>
    </row>
    <row r="929" spans="3:9">
      <c r="C929" s="177"/>
      <c r="D929" s="177"/>
      <c r="E929" s="177"/>
      <c r="F929" s="177"/>
      <c r="G929" s="179"/>
      <c r="H929" s="179"/>
      <c r="I929" s="177"/>
    </row>
    <row r="930" spans="3:9">
      <c r="C930" s="177"/>
      <c r="D930" s="177"/>
      <c r="E930" s="177"/>
      <c r="F930" s="177"/>
      <c r="G930" s="179"/>
      <c r="H930" s="179"/>
      <c r="I930" s="177"/>
    </row>
    <row r="931" spans="3:9">
      <c r="C931" s="177"/>
      <c r="D931" s="177"/>
      <c r="E931" s="177"/>
      <c r="F931" s="177"/>
      <c r="G931" s="179"/>
      <c r="H931" s="179"/>
      <c r="I931" s="177"/>
    </row>
    <row r="932" spans="3:9">
      <c r="C932" s="177"/>
      <c r="D932" s="177"/>
      <c r="E932" s="177"/>
      <c r="F932" s="177"/>
      <c r="G932" s="179"/>
      <c r="H932" s="179"/>
      <c r="I932" s="177"/>
    </row>
    <row r="933" spans="3:9">
      <c r="C933" s="177"/>
      <c r="D933" s="177"/>
      <c r="E933" s="177"/>
      <c r="F933" s="177"/>
      <c r="G933" s="179"/>
      <c r="H933" s="179"/>
      <c r="I933" s="177"/>
    </row>
    <row r="934" spans="3:9">
      <c r="C934" s="177"/>
      <c r="D934" s="177"/>
      <c r="E934" s="177"/>
      <c r="F934" s="177"/>
      <c r="G934" s="179"/>
      <c r="H934" s="179"/>
      <c r="I934" s="177"/>
    </row>
    <row r="935" spans="3:9">
      <c r="C935" s="177"/>
      <c r="D935" s="177"/>
      <c r="E935" s="177"/>
      <c r="F935" s="177"/>
      <c r="G935" s="179"/>
      <c r="H935" s="179"/>
      <c r="I935" s="177"/>
    </row>
    <row r="936" spans="3:9">
      <c r="C936" s="177"/>
      <c r="D936" s="177"/>
      <c r="E936" s="177"/>
      <c r="F936" s="177"/>
      <c r="G936" s="179"/>
      <c r="H936" s="179"/>
      <c r="I936" s="177"/>
    </row>
    <row r="937" spans="3:9">
      <c r="C937" s="177"/>
      <c r="D937" s="177"/>
      <c r="E937" s="177"/>
      <c r="F937" s="177"/>
      <c r="G937" s="179"/>
      <c r="H937" s="179"/>
      <c r="I937" s="177"/>
    </row>
    <row r="938" spans="3:9">
      <c r="C938" s="177"/>
      <c r="D938" s="177"/>
      <c r="E938" s="177"/>
      <c r="F938" s="177"/>
      <c r="G938" s="179"/>
      <c r="H938" s="179"/>
      <c r="I938" s="177"/>
    </row>
    <row r="939" spans="3:9">
      <c r="C939" s="177"/>
      <c r="D939" s="177"/>
      <c r="E939" s="177"/>
      <c r="F939" s="177"/>
      <c r="G939" s="179"/>
      <c r="H939" s="179"/>
      <c r="I939" s="177"/>
    </row>
    <row r="940" spans="3:9">
      <c r="C940" s="177"/>
      <c r="D940" s="177"/>
      <c r="E940" s="177"/>
      <c r="F940" s="177"/>
      <c r="G940" s="179"/>
      <c r="H940" s="179"/>
      <c r="I940" s="177"/>
    </row>
    <row r="941" spans="3:9">
      <c r="C941" s="177"/>
      <c r="D941" s="177"/>
      <c r="E941" s="177"/>
      <c r="F941" s="177"/>
      <c r="G941" s="179"/>
      <c r="H941" s="179"/>
      <c r="I941" s="177"/>
    </row>
    <row r="942" spans="3:9">
      <c r="C942" s="177"/>
      <c r="D942" s="177"/>
      <c r="E942" s="177"/>
      <c r="F942" s="177"/>
      <c r="G942" s="179"/>
      <c r="H942" s="179"/>
      <c r="I942" s="177"/>
    </row>
    <row r="943" spans="3:9">
      <c r="C943" s="177"/>
      <c r="D943" s="177"/>
      <c r="E943" s="177"/>
      <c r="F943" s="177"/>
      <c r="G943" s="179"/>
      <c r="H943" s="179"/>
      <c r="I943" s="177"/>
    </row>
    <row r="944" spans="3:9">
      <c r="C944" s="177"/>
      <c r="D944" s="177"/>
      <c r="E944" s="177"/>
      <c r="F944" s="177"/>
      <c r="G944" s="179"/>
      <c r="H944" s="179"/>
      <c r="I944" s="177"/>
    </row>
    <row r="945" spans="3:9">
      <c r="C945" s="177"/>
      <c r="D945" s="177"/>
      <c r="E945" s="177"/>
      <c r="F945" s="177"/>
      <c r="G945" s="179"/>
      <c r="H945" s="179"/>
      <c r="I945" s="177"/>
    </row>
    <row r="946" spans="3:9">
      <c r="C946" s="177"/>
      <c r="D946" s="177"/>
      <c r="E946" s="177"/>
      <c r="F946" s="177"/>
      <c r="G946" s="179"/>
      <c r="H946" s="179"/>
      <c r="I946" s="177"/>
    </row>
    <row r="947" spans="3:9">
      <c r="C947" s="177"/>
      <c r="D947" s="177"/>
      <c r="E947" s="177"/>
      <c r="F947" s="177"/>
      <c r="G947" s="179"/>
      <c r="H947" s="179"/>
      <c r="I947" s="177"/>
    </row>
    <row r="948" spans="3:9">
      <c r="C948" s="177"/>
      <c r="D948" s="177"/>
      <c r="E948" s="177"/>
      <c r="F948" s="177"/>
      <c r="G948" s="179"/>
      <c r="H948" s="179"/>
      <c r="I948" s="177"/>
    </row>
    <row r="949" spans="3:9">
      <c r="C949" s="177"/>
      <c r="D949" s="177"/>
      <c r="E949" s="177"/>
      <c r="F949" s="177"/>
      <c r="G949" s="179"/>
      <c r="H949" s="179"/>
      <c r="I949" s="177"/>
    </row>
    <row r="950" spans="3:9">
      <c r="C950" s="177"/>
      <c r="D950" s="177"/>
      <c r="E950" s="177"/>
      <c r="F950" s="177"/>
      <c r="G950" s="179"/>
      <c r="H950" s="179"/>
      <c r="I950" s="177"/>
    </row>
    <row r="951" spans="3:9">
      <c r="C951" s="177"/>
      <c r="D951" s="177"/>
      <c r="E951" s="177"/>
      <c r="F951" s="177"/>
      <c r="G951" s="179"/>
      <c r="H951" s="179"/>
      <c r="I951" s="177"/>
    </row>
    <row r="952" spans="3:9">
      <c r="C952" s="177"/>
      <c r="D952" s="177"/>
      <c r="E952" s="177"/>
      <c r="F952" s="177"/>
      <c r="G952" s="179"/>
      <c r="H952" s="179"/>
      <c r="I952" s="177"/>
    </row>
    <row r="953" spans="3:9">
      <c r="C953" s="177"/>
      <c r="D953" s="177"/>
      <c r="E953" s="177"/>
      <c r="F953" s="177"/>
      <c r="G953" s="179"/>
      <c r="H953" s="179"/>
      <c r="I953" s="177"/>
    </row>
    <row r="954" spans="3:9">
      <c r="C954" s="177"/>
      <c r="D954" s="177"/>
      <c r="E954" s="177"/>
      <c r="F954" s="177"/>
      <c r="G954" s="179"/>
      <c r="H954" s="179"/>
      <c r="I954" s="177"/>
    </row>
    <row r="955" spans="3:9">
      <c r="C955" s="177"/>
      <c r="D955" s="177"/>
      <c r="E955" s="177"/>
      <c r="F955" s="177"/>
      <c r="G955" s="179"/>
      <c r="H955" s="179"/>
      <c r="I955" s="177"/>
    </row>
    <row r="956" spans="3:9">
      <c r="C956" s="177"/>
      <c r="D956" s="177"/>
      <c r="E956" s="177"/>
      <c r="F956" s="177"/>
      <c r="G956" s="179"/>
      <c r="H956" s="179"/>
      <c r="I956" s="177"/>
    </row>
    <row r="957" spans="3:9">
      <c r="C957" s="177"/>
      <c r="D957" s="177"/>
      <c r="E957" s="177"/>
      <c r="F957" s="177"/>
      <c r="G957" s="179"/>
      <c r="H957" s="179"/>
      <c r="I957" s="177"/>
    </row>
    <row r="958" spans="3:9">
      <c r="C958" s="177"/>
      <c r="D958" s="177"/>
      <c r="E958" s="177"/>
      <c r="F958" s="177"/>
      <c r="G958" s="179"/>
      <c r="H958" s="179"/>
      <c r="I958" s="177"/>
    </row>
    <row r="959" spans="3:9">
      <c r="C959" s="177"/>
      <c r="D959" s="177"/>
      <c r="E959" s="177"/>
      <c r="F959" s="177"/>
      <c r="G959" s="179"/>
      <c r="H959" s="179"/>
      <c r="I959" s="177"/>
    </row>
    <row r="960" spans="3:9">
      <c r="C960" s="177"/>
      <c r="D960" s="177"/>
      <c r="E960" s="177"/>
      <c r="F960" s="177"/>
      <c r="G960" s="179"/>
      <c r="H960" s="179"/>
      <c r="I960" s="177"/>
    </row>
    <row r="961" spans="3:9">
      <c r="C961" s="177"/>
      <c r="D961" s="177"/>
      <c r="E961" s="177"/>
      <c r="F961" s="177"/>
      <c r="G961" s="179"/>
      <c r="H961" s="179"/>
      <c r="I961" s="177"/>
    </row>
    <row r="962" spans="3:9">
      <c r="C962" s="177"/>
      <c r="D962" s="177"/>
      <c r="E962" s="177"/>
      <c r="F962" s="177"/>
      <c r="G962" s="179"/>
      <c r="H962" s="179"/>
      <c r="I962" s="177"/>
    </row>
    <row r="963" spans="3:9">
      <c r="C963" s="177"/>
      <c r="D963" s="177"/>
      <c r="E963" s="177"/>
      <c r="F963" s="177"/>
      <c r="G963" s="179"/>
      <c r="H963" s="179"/>
      <c r="I963" s="177"/>
    </row>
    <row r="964" spans="3:9">
      <c r="C964" s="177"/>
      <c r="D964" s="177"/>
      <c r="E964" s="177"/>
      <c r="F964" s="177"/>
      <c r="G964" s="179"/>
      <c r="H964" s="179"/>
      <c r="I964" s="177"/>
    </row>
    <row r="965" spans="3:9">
      <c r="C965" s="177"/>
      <c r="D965" s="177"/>
      <c r="E965" s="177"/>
      <c r="F965" s="177"/>
      <c r="G965" s="179"/>
      <c r="H965" s="179"/>
      <c r="I965" s="177"/>
    </row>
    <row r="966" spans="3:9">
      <c r="C966" s="177"/>
      <c r="D966" s="177"/>
      <c r="E966" s="177"/>
      <c r="F966" s="177"/>
      <c r="G966" s="179"/>
      <c r="H966" s="179"/>
      <c r="I966" s="177"/>
    </row>
    <row r="967" spans="3:9">
      <c r="C967" s="177"/>
      <c r="D967" s="177"/>
      <c r="E967" s="177"/>
      <c r="F967" s="177"/>
      <c r="G967" s="179"/>
      <c r="H967" s="179"/>
      <c r="I967" s="177"/>
    </row>
    <row r="968" spans="3:9">
      <c r="C968" s="177"/>
      <c r="D968" s="177"/>
      <c r="E968" s="177"/>
      <c r="F968" s="177"/>
      <c r="G968" s="179"/>
      <c r="H968" s="179"/>
      <c r="I968" s="177"/>
    </row>
    <row r="969" spans="3:9">
      <c r="C969" s="177"/>
      <c r="D969" s="177"/>
      <c r="E969" s="177"/>
      <c r="F969" s="177"/>
      <c r="G969" s="179"/>
      <c r="H969" s="179"/>
      <c r="I969" s="177"/>
    </row>
    <row r="970" spans="3:9">
      <c r="C970" s="177"/>
      <c r="D970" s="177"/>
      <c r="E970" s="177"/>
      <c r="F970" s="177"/>
      <c r="G970" s="179"/>
      <c r="H970" s="179"/>
      <c r="I970" s="177"/>
    </row>
    <row r="971" spans="3:9">
      <c r="C971" s="177"/>
      <c r="D971" s="177"/>
      <c r="E971" s="177"/>
      <c r="F971" s="177"/>
      <c r="G971" s="179"/>
      <c r="H971" s="179"/>
      <c r="I971" s="177"/>
    </row>
    <row r="972" spans="3:9">
      <c r="C972" s="177"/>
      <c r="D972" s="177"/>
      <c r="E972" s="177"/>
      <c r="F972" s="177"/>
      <c r="G972" s="179"/>
      <c r="H972" s="179"/>
      <c r="I972" s="177"/>
    </row>
    <row r="973" spans="3:9">
      <c r="C973" s="177"/>
      <c r="D973" s="177"/>
      <c r="E973" s="177"/>
      <c r="F973" s="177"/>
      <c r="G973" s="179"/>
      <c r="H973" s="179"/>
      <c r="I973" s="177"/>
    </row>
    <row r="974" spans="3:9">
      <c r="C974" s="177"/>
      <c r="D974" s="177"/>
      <c r="E974" s="177"/>
      <c r="F974" s="177"/>
      <c r="G974" s="179"/>
      <c r="H974" s="179"/>
      <c r="I974" s="177"/>
    </row>
    <row r="975" spans="3:9">
      <c r="C975" s="177"/>
      <c r="D975" s="177"/>
      <c r="E975" s="177"/>
      <c r="F975" s="177"/>
      <c r="G975" s="179"/>
      <c r="H975" s="179"/>
      <c r="I975" s="177"/>
    </row>
    <row r="976" spans="3:9">
      <c r="C976" s="177"/>
      <c r="D976" s="177"/>
      <c r="E976" s="177"/>
      <c r="F976" s="177"/>
      <c r="G976" s="179"/>
      <c r="H976" s="179"/>
      <c r="I976" s="177"/>
    </row>
    <row r="977" spans="3:9">
      <c r="C977" s="177"/>
      <c r="D977" s="177"/>
      <c r="E977" s="177"/>
      <c r="F977" s="177"/>
      <c r="G977" s="179"/>
      <c r="H977" s="179"/>
      <c r="I977" s="177"/>
    </row>
    <row r="978" spans="3:9">
      <c r="C978" s="177"/>
      <c r="D978" s="177"/>
      <c r="E978" s="177"/>
      <c r="F978" s="177"/>
      <c r="G978" s="179"/>
      <c r="H978" s="179"/>
      <c r="I978" s="177"/>
    </row>
    <row r="979" spans="3:9">
      <c r="C979" s="177"/>
      <c r="D979" s="177"/>
      <c r="E979" s="177"/>
      <c r="F979" s="177"/>
      <c r="G979" s="179"/>
      <c r="H979" s="179"/>
      <c r="I979" s="177"/>
    </row>
    <row r="980" spans="3:9">
      <c r="C980" s="177"/>
      <c r="D980" s="177"/>
      <c r="E980" s="177"/>
      <c r="F980" s="177"/>
      <c r="G980" s="179"/>
      <c r="H980" s="179"/>
      <c r="I980" s="177"/>
    </row>
    <row r="981" spans="3:9">
      <c r="C981" s="177"/>
      <c r="D981" s="177"/>
      <c r="E981" s="177"/>
      <c r="F981" s="177"/>
      <c r="G981" s="179"/>
      <c r="H981" s="179"/>
      <c r="I981" s="177"/>
    </row>
    <row r="982" spans="3:9">
      <c r="C982" s="177"/>
      <c r="D982" s="177"/>
      <c r="E982" s="177"/>
      <c r="F982" s="177"/>
      <c r="G982" s="179"/>
      <c r="H982" s="179"/>
      <c r="I982" s="177"/>
    </row>
    <row r="983" spans="3:9">
      <c r="C983" s="177"/>
      <c r="D983" s="177"/>
      <c r="E983" s="177"/>
      <c r="F983" s="177"/>
      <c r="G983" s="179"/>
      <c r="H983" s="179"/>
      <c r="I983" s="177"/>
    </row>
    <row r="984" spans="3:9">
      <c r="C984" s="177"/>
      <c r="D984" s="177"/>
      <c r="E984" s="177"/>
      <c r="F984" s="177"/>
      <c r="G984" s="179"/>
      <c r="H984" s="179"/>
      <c r="I984" s="177"/>
    </row>
    <row r="985" spans="3:9">
      <c r="C985" s="177"/>
      <c r="D985" s="177"/>
      <c r="E985" s="177"/>
      <c r="F985" s="177"/>
      <c r="G985" s="179"/>
      <c r="H985" s="179"/>
      <c r="I985" s="177"/>
    </row>
    <row r="986" spans="3:9">
      <c r="C986" s="177"/>
      <c r="D986" s="177"/>
      <c r="E986" s="177"/>
      <c r="F986" s="177"/>
      <c r="G986" s="179"/>
      <c r="H986" s="179"/>
      <c r="I986" s="177"/>
    </row>
    <row r="987" spans="3:9">
      <c r="C987" s="177"/>
      <c r="D987" s="177"/>
      <c r="E987" s="177"/>
      <c r="F987" s="177"/>
      <c r="G987" s="179"/>
      <c r="H987" s="179"/>
      <c r="I987" s="177"/>
    </row>
    <row r="988" spans="3:9">
      <c r="C988" s="177"/>
      <c r="D988" s="177"/>
      <c r="E988" s="177"/>
      <c r="F988" s="177"/>
      <c r="G988" s="179"/>
      <c r="H988" s="179"/>
      <c r="I988" s="177"/>
    </row>
    <row r="989" spans="3:9">
      <c r="C989" s="177"/>
      <c r="D989" s="177"/>
      <c r="E989" s="177"/>
      <c r="F989" s="177"/>
      <c r="G989" s="179"/>
      <c r="H989" s="179"/>
      <c r="I989" s="177"/>
    </row>
    <row r="990" spans="3:9">
      <c r="C990" s="177"/>
      <c r="D990" s="177"/>
      <c r="E990" s="177"/>
      <c r="F990" s="177"/>
      <c r="G990" s="179"/>
      <c r="H990" s="179"/>
      <c r="I990" s="177"/>
    </row>
    <row r="991" spans="3:9">
      <c r="C991" s="177"/>
      <c r="D991" s="177"/>
      <c r="E991" s="177"/>
      <c r="F991" s="177"/>
      <c r="G991" s="179"/>
      <c r="H991" s="179"/>
      <c r="I991" s="177"/>
    </row>
    <row r="992" spans="3:9">
      <c r="C992" s="177"/>
      <c r="D992" s="177"/>
      <c r="E992" s="177"/>
      <c r="F992" s="177"/>
      <c r="G992" s="179"/>
      <c r="H992" s="179"/>
      <c r="I992" s="177"/>
    </row>
    <row r="993" spans="3:9">
      <c r="C993" s="177"/>
      <c r="D993" s="177"/>
      <c r="E993" s="177"/>
      <c r="F993" s="177"/>
      <c r="G993" s="179"/>
      <c r="H993" s="179"/>
      <c r="I993" s="177"/>
    </row>
    <row r="994" spans="3:9">
      <c r="C994" s="177"/>
      <c r="D994" s="177"/>
      <c r="E994" s="177"/>
      <c r="F994" s="177"/>
      <c r="G994" s="179"/>
      <c r="H994" s="179"/>
      <c r="I994" s="177"/>
    </row>
    <row r="995" spans="3:9">
      <c r="C995" s="177"/>
      <c r="D995" s="177"/>
      <c r="E995" s="177"/>
      <c r="F995" s="177"/>
      <c r="G995" s="179"/>
      <c r="H995" s="179"/>
      <c r="I995" s="177"/>
    </row>
    <row r="996" spans="3:9">
      <c r="C996" s="177"/>
      <c r="D996" s="177"/>
      <c r="E996" s="177"/>
      <c r="F996" s="177"/>
      <c r="G996" s="179"/>
      <c r="H996" s="179"/>
      <c r="I996" s="177"/>
    </row>
    <row r="997" spans="3:9">
      <c r="C997" s="177"/>
      <c r="D997" s="177"/>
      <c r="E997" s="177"/>
      <c r="F997" s="177"/>
      <c r="G997" s="179"/>
      <c r="H997" s="179"/>
      <c r="I997" s="177"/>
    </row>
    <row r="998" spans="3:9">
      <c r="C998" s="177"/>
      <c r="D998" s="177"/>
      <c r="E998" s="177"/>
      <c r="F998" s="177"/>
      <c r="G998" s="179"/>
      <c r="H998" s="179"/>
      <c r="I998" s="177"/>
    </row>
    <row r="999" spans="3:9">
      <c r="C999" s="177"/>
      <c r="D999" s="177"/>
      <c r="E999" s="177"/>
      <c r="F999" s="177"/>
      <c r="G999" s="179"/>
      <c r="H999" s="179"/>
      <c r="I999" s="177"/>
    </row>
    <row r="1000" spans="3:9">
      <c r="C1000" s="177"/>
      <c r="D1000" s="177"/>
      <c r="E1000" s="177"/>
      <c r="F1000" s="177"/>
      <c r="G1000" s="179"/>
      <c r="H1000" s="179"/>
      <c r="I1000" s="177"/>
    </row>
    <row r="1001" spans="3:9">
      <c r="C1001" s="177"/>
      <c r="D1001" s="177"/>
      <c r="E1001" s="177"/>
      <c r="F1001" s="177"/>
      <c r="G1001" s="179"/>
      <c r="H1001" s="179"/>
      <c r="I1001" s="177"/>
    </row>
    <row r="1002" spans="3:9">
      <c r="C1002" s="177"/>
      <c r="D1002" s="177"/>
      <c r="E1002" s="177"/>
      <c r="F1002" s="177"/>
      <c r="G1002" s="179"/>
      <c r="H1002" s="179"/>
      <c r="I1002" s="177"/>
    </row>
    <row r="1003" spans="3:9">
      <c r="C1003" s="177"/>
      <c r="D1003" s="177"/>
      <c r="E1003" s="177"/>
      <c r="F1003" s="177"/>
      <c r="G1003" s="179"/>
      <c r="H1003" s="179"/>
      <c r="I1003" s="177"/>
    </row>
    <row r="1004" spans="3:9">
      <c r="C1004" s="177"/>
      <c r="D1004" s="177"/>
      <c r="E1004" s="177"/>
      <c r="F1004" s="177"/>
      <c r="G1004" s="179"/>
      <c r="H1004" s="179"/>
      <c r="I1004" s="177"/>
    </row>
    <row r="1005" spans="3:9">
      <c r="C1005" s="177"/>
      <c r="D1005" s="177"/>
      <c r="E1005" s="177"/>
      <c r="F1005" s="177"/>
      <c r="G1005" s="179"/>
      <c r="H1005" s="179"/>
      <c r="I1005" s="177"/>
    </row>
    <row r="1006" spans="3:9">
      <c r="C1006" s="177"/>
      <c r="D1006" s="177"/>
      <c r="E1006" s="177"/>
      <c r="F1006" s="177"/>
      <c r="G1006" s="179"/>
      <c r="H1006" s="179"/>
      <c r="I1006" s="177"/>
    </row>
    <row r="1007" spans="3:9">
      <c r="C1007" s="177"/>
      <c r="D1007" s="177"/>
      <c r="E1007" s="177"/>
      <c r="F1007" s="177"/>
      <c r="G1007" s="179"/>
      <c r="H1007" s="179"/>
      <c r="I1007" s="177"/>
    </row>
    <row r="1008" spans="3:9">
      <c r="C1008" s="177"/>
      <c r="D1008" s="177"/>
      <c r="E1008" s="177"/>
      <c r="F1008" s="177"/>
      <c r="G1008" s="179"/>
      <c r="H1008" s="179"/>
      <c r="I1008" s="177"/>
    </row>
    <row r="1009" spans="3:9">
      <c r="C1009" s="177"/>
      <c r="D1009" s="177"/>
      <c r="E1009" s="177"/>
      <c r="F1009" s="177"/>
      <c r="G1009" s="179"/>
      <c r="H1009" s="179"/>
      <c r="I1009" s="177"/>
    </row>
    <row r="1010" spans="3:9">
      <c r="C1010" s="177"/>
      <c r="D1010" s="177"/>
      <c r="E1010" s="177"/>
      <c r="F1010" s="177"/>
      <c r="G1010" s="179"/>
      <c r="H1010" s="179"/>
      <c r="I1010" s="177"/>
    </row>
    <row r="1011" spans="3:9">
      <c r="C1011" s="177"/>
      <c r="D1011" s="177"/>
      <c r="E1011" s="177"/>
      <c r="F1011" s="177"/>
      <c r="G1011" s="179"/>
      <c r="H1011" s="179"/>
      <c r="I1011" s="177"/>
    </row>
    <row r="1012" spans="3:9">
      <c r="C1012" s="177"/>
      <c r="D1012" s="177"/>
      <c r="E1012" s="177"/>
      <c r="F1012" s="177"/>
      <c r="G1012" s="179"/>
      <c r="H1012" s="179"/>
      <c r="I1012" s="177"/>
    </row>
    <row r="1013" spans="3:9">
      <c r="C1013" s="177"/>
      <c r="D1013" s="177"/>
      <c r="E1013" s="177"/>
      <c r="F1013" s="177"/>
      <c r="G1013" s="179"/>
      <c r="H1013" s="179"/>
      <c r="I1013" s="177"/>
    </row>
    <row r="1014" spans="3:9">
      <c r="C1014" s="177"/>
      <c r="D1014" s="177"/>
      <c r="E1014" s="177"/>
      <c r="F1014" s="177"/>
      <c r="G1014" s="179"/>
      <c r="H1014" s="179"/>
      <c r="I1014" s="177"/>
    </row>
    <row r="1015" spans="3:9">
      <c r="C1015" s="177"/>
      <c r="D1015" s="177"/>
      <c r="E1015" s="177"/>
      <c r="F1015" s="177"/>
      <c r="G1015" s="179"/>
      <c r="H1015" s="179"/>
      <c r="I1015" s="177"/>
    </row>
    <row r="1016" spans="3:9">
      <c r="C1016" s="177"/>
      <c r="D1016" s="177"/>
      <c r="E1016" s="177"/>
      <c r="F1016" s="177"/>
      <c r="G1016" s="179"/>
      <c r="H1016" s="179"/>
      <c r="I1016" s="177"/>
    </row>
    <row r="1017" spans="3:9">
      <c r="C1017" s="177"/>
      <c r="D1017" s="177"/>
      <c r="E1017" s="177"/>
      <c r="F1017" s="177"/>
      <c r="G1017" s="179"/>
      <c r="H1017" s="179"/>
      <c r="I1017" s="177"/>
    </row>
    <row r="1018" spans="3:9">
      <c r="C1018" s="177"/>
      <c r="D1018" s="177"/>
      <c r="E1018" s="177"/>
      <c r="F1018" s="177"/>
      <c r="G1018" s="179"/>
      <c r="H1018" s="179"/>
      <c r="I1018" s="177"/>
    </row>
    <row r="1019" spans="3:9">
      <c r="C1019" s="177"/>
      <c r="D1019" s="177"/>
      <c r="E1019" s="177"/>
      <c r="F1019" s="177"/>
      <c r="G1019" s="179"/>
      <c r="H1019" s="179"/>
      <c r="I1019" s="177"/>
    </row>
    <row r="1020" spans="3:9">
      <c r="C1020" s="177"/>
      <c r="D1020" s="177"/>
      <c r="E1020" s="177"/>
      <c r="F1020" s="177"/>
      <c r="G1020" s="179"/>
      <c r="H1020" s="179"/>
      <c r="I1020" s="177"/>
    </row>
    <row r="1021" spans="3:9">
      <c r="C1021" s="177"/>
      <c r="D1021" s="177"/>
      <c r="E1021" s="177"/>
      <c r="F1021" s="177"/>
      <c r="G1021" s="179"/>
      <c r="H1021" s="179"/>
      <c r="I1021" s="177"/>
    </row>
    <row r="1022" spans="3:9">
      <c r="C1022" s="177"/>
      <c r="D1022" s="177"/>
      <c r="E1022" s="177"/>
      <c r="F1022" s="177"/>
      <c r="G1022" s="179"/>
      <c r="H1022" s="179"/>
      <c r="I1022" s="177"/>
    </row>
    <row r="1023" spans="3:9">
      <c r="C1023" s="177"/>
      <c r="D1023" s="177"/>
      <c r="E1023" s="177"/>
      <c r="F1023" s="177"/>
      <c r="G1023" s="179"/>
      <c r="H1023" s="179"/>
      <c r="I1023" s="177"/>
    </row>
    <row r="1024" spans="3:9">
      <c r="C1024" s="177"/>
      <c r="D1024" s="177"/>
      <c r="E1024" s="177"/>
      <c r="F1024" s="177"/>
      <c r="G1024" s="179"/>
      <c r="H1024" s="179"/>
      <c r="I1024" s="177"/>
    </row>
    <row r="1025" spans="3:9">
      <c r="C1025" s="177"/>
      <c r="D1025" s="177"/>
      <c r="E1025" s="177"/>
      <c r="F1025" s="177"/>
      <c r="G1025" s="179"/>
      <c r="H1025" s="179"/>
      <c r="I1025" s="177"/>
    </row>
    <row r="1026" spans="3:9">
      <c r="C1026" s="177"/>
      <c r="D1026" s="177"/>
      <c r="E1026" s="177"/>
      <c r="F1026" s="177"/>
      <c r="G1026" s="179"/>
      <c r="H1026" s="179"/>
      <c r="I1026" s="177"/>
    </row>
    <row r="1027" spans="3:9">
      <c r="C1027" s="177"/>
      <c r="D1027" s="177"/>
      <c r="E1027" s="177"/>
      <c r="F1027" s="177"/>
      <c r="G1027" s="179"/>
      <c r="H1027" s="179"/>
      <c r="I1027" s="177"/>
    </row>
    <row r="1028" spans="3:9">
      <c r="C1028" s="177"/>
      <c r="D1028" s="177"/>
      <c r="E1028" s="177"/>
      <c r="F1028" s="177"/>
      <c r="G1028" s="179"/>
      <c r="H1028" s="179"/>
      <c r="I1028" s="177"/>
    </row>
    <row r="1029" spans="3:9">
      <c r="C1029" s="177"/>
      <c r="D1029" s="177"/>
      <c r="E1029" s="177"/>
      <c r="F1029" s="177"/>
      <c r="G1029" s="179"/>
      <c r="H1029" s="179"/>
      <c r="I1029" s="177"/>
    </row>
    <row r="1030" spans="3:9">
      <c r="C1030" s="177"/>
      <c r="D1030" s="177"/>
      <c r="E1030" s="177"/>
      <c r="F1030" s="177"/>
      <c r="G1030" s="179"/>
      <c r="H1030" s="179"/>
      <c r="I1030" s="177"/>
    </row>
    <row r="1031" spans="3:9">
      <c r="C1031" s="177"/>
      <c r="D1031" s="177"/>
      <c r="E1031" s="177"/>
      <c r="F1031" s="177"/>
      <c r="G1031" s="179"/>
      <c r="H1031" s="179"/>
      <c r="I1031" s="177"/>
    </row>
    <row r="1032" spans="3:9">
      <c r="C1032" s="177"/>
      <c r="D1032" s="177"/>
      <c r="E1032" s="177"/>
      <c r="F1032" s="177"/>
      <c r="G1032" s="179"/>
      <c r="H1032" s="179"/>
      <c r="I1032" s="177"/>
    </row>
    <row r="1033" spans="3:9">
      <c r="C1033" s="177"/>
      <c r="D1033" s="177"/>
      <c r="E1033" s="177"/>
      <c r="F1033" s="177"/>
      <c r="G1033" s="179"/>
      <c r="H1033" s="179"/>
      <c r="I1033" s="177"/>
    </row>
    <row r="1034" spans="3:9">
      <c r="C1034" s="177"/>
      <c r="D1034" s="177"/>
      <c r="E1034" s="177"/>
      <c r="F1034" s="177"/>
      <c r="G1034" s="179"/>
      <c r="H1034" s="179"/>
      <c r="I1034" s="177"/>
    </row>
    <row r="1035" spans="3:9">
      <c r="C1035" s="177"/>
      <c r="D1035" s="177"/>
      <c r="E1035" s="177"/>
      <c r="F1035" s="177"/>
      <c r="G1035" s="179"/>
      <c r="H1035" s="179"/>
      <c r="I1035" s="177"/>
    </row>
    <row r="1036" spans="3:9">
      <c r="C1036" s="177"/>
      <c r="D1036" s="177"/>
      <c r="E1036" s="177"/>
      <c r="F1036" s="177"/>
      <c r="G1036" s="179"/>
      <c r="H1036" s="179"/>
      <c r="I1036" s="177"/>
    </row>
    <row r="1037" spans="3:9">
      <c r="C1037" s="177"/>
      <c r="D1037" s="177"/>
      <c r="E1037" s="177"/>
      <c r="F1037" s="177"/>
      <c r="G1037" s="179"/>
      <c r="H1037" s="179"/>
      <c r="I1037" s="177"/>
    </row>
    <row r="1038" spans="3:9">
      <c r="C1038" s="177"/>
      <c r="D1038" s="177"/>
      <c r="E1038" s="177"/>
      <c r="F1038" s="177"/>
      <c r="G1038" s="179"/>
      <c r="H1038" s="179"/>
      <c r="I1038" s="177"/>
    </row>
    <row r="1039" spans="3:9">
      <c r="C1039" s="177"/>
      <c r="D1039" s="177"/>
      <c r="E1039" s="177"/>
      <c r="F1039" s="177"/>
      <c r="G1039" s="179"/>
      <c r="H1039" s="179"/>
      <c r="I1039" s="177"/>
    </row>
    <row r="1040" spans="3:9">
      <c r="C1040" s="177"/>
      <c r="D1040" s="177"/>
      <c r="E1040" s="177"/>
      <c r="F1040" s="177"/>
      <c r="G1040" s="179"/>
      <c r="H1040" s="179"/>
      <c r="I1040" s="177"/>
    </row>
    <row r="1041" spans="3:9">
      <c r="C1041" s="177"/>
      <c r="D1041" s="177"/>
      <c r="E1041" s="177"/>
      <c r="F1041" s="177"/>
      <c r="G1041" s="179"/>
      <c r="H1041" s="179"/>
      <c r="I1041" s="177"/>
    </row>
    <row r="1042" spans="3:9">
      <c r="C1042" s="177"/>
      <c r="D1042" s="177"/>
      <c r="E1042" s="177"/>
      <c r="F1042" s="177"/>
      <c r="G1042" s="179"/>
      <c r="H1042" s="179"/>
      <c r="I1042" s="177"/>
    </row>
    <row r="1043" spans="3:9">
      <c r="C1043" s="177"/>
      <c r="D1043" s="177"/>
      <c r="E1043" s="177"/>
      <c r="F1043" s="177"/>
      <c r="G1043" s="179"/>
      <c r="H1043" s="179"/>
      <c r="I1043" s="177"/>
    </row>
    <row r="1044" spans="3:9">
      <c r="C1044" s="177"/>
      <c r="D1044" s="177"/>
      <c r="E1044" s="177"/>
      <c r="F1044" s="177"/>
      <c r="G1044" s="179"/>
      <c r="H1044" s="179"/>
      <c r="I1044" s="177"/>
    </row>
    <row r="1045" spans="3:9">
      <c r="C1045" s="177"/>
      <c r="D1045" s="177"/>
      <c r="E1045" s="177"/>
      <c r="F1045" s="177"/>
      <c r="G1045" s="179"/>
      <c r="H1045" s="179"/>
      <c r="I1045" s="177"/>
    </row>
    <row r="1046" spans="3:9">
      <c r="C1046" s="177"/>
      <c r="D1046" s="177"/>
      <c r="E1046" s="177"/>
      <c r="F1046" s="177"/>
      <c r="G1046" s="179"/>
      <c r="H1046" s="179"/>
      <c r="I1046" s="177"/>
    </row>
    <row r="1047" spans="3:9">
      <c r="C1047" s="177"/>
      <c r="D1047" s="177"/>
      <c r="E1047" s="177"/>
      <c r="F1047" s="177"/>
      <c r="G1047" s="179"/>
      <c r="H1047" s="179"/>
      <c r="I1047" s="177"/>
    </row>
    <row r="1048" spans="3:9">
      <c r="C1048" s="177"/>
      <c r="D1048" s="177"/>
      <c r="E1048" s="177"/>
      <c r="F1048" s="177"/>
      <c r="G1048" s="179"/>
      <c r="H1048" s="179"/>
      <c r="I1048" s="177"/>
    </row>
    <row r="1049" spans="3:9">
      <c r="C1049" s="177"/>
      <c r="D1049" s="177"/>
      <c r="E1049" s="177"/>
      <c r="F1049" s="177"/>
      <c r="G1049" s="179"/>
      <c r="H1049" s="179"/>
      <c r="I1049" s="177"/>
    </row>
    <row r="1050" spans="3:9">
      <c r="C1050" s="177"/>
      <c r="D1050" s="177"/>
      <c r="E1050" s="177"/>
      <c r="F1050" s="177"/>
      <c r="G1050" s="179"/>
      <c r="H1050" s="179"/>
      <c r="I1050" s="177"/>
    </row>
    <row r="1051" spans="3:9">
      <c r="C1051" s="177"/>
      <c r="D1051" s="177"/>
      <c r="E1051" s="177"/>
      <c r="F1051" s="177"/>
      <c r="G1051" s="179"/>
      <c r="H1051" s="179"/>
      <c r="I1051" s="177"/>
    </row>
    <row r="1052" spans="3:9">
      <c r="C1052" s="177"/>
      <c r="D1052" s="177"/>
      <c r="E1052" s="177"/>
      <c r="F1052" s="177"/>
      <c r="G1052" s="179"/>
      <c r="H1052" s="179"/>
      <c r="I1052" s="177"/>
    </row>
    <row r="1053" spans="3:9">
      <c r="C1053" s="177"/>
      <c r="D1053" s="177"/>
      <c r="E1053" s="177"/>
      <c r="F1053" s="177"/>
      <c r="G1053" s="179"/>
      <c r="H1053" s="179"/>
      <c r="I1053" s="177"/>
    </row>
    <row r="1054" spans="3:9">
      <c r="C1054" s="177"/>
      <c r="D1054" s="177"/>
      <c r="E1054" s="177"/>
      <c r="F1054" s="177"/>
      <c r="G1054" s="179"/>
      <c r="H1054" s="179"/>
      <c r="I1054" s="177"/>
    </row>
    <row r="1055" spans="3:9">
      <c r="C1055" s="177"/>
      <c r="D1055" s="177"/>
      <c r="E1055" s="177"/>
      <c r="F1055" s="177"/>
      <c r="G1055" s="179"/>
      <c r="H1055" s="179"/>
      <c r="I1055" s="177"/>
    </row>
    <row r="1056" spans="3:9">
      <c r="C1056" s="177"/>
      <c r="D1056" s="177"/>
      <c r="E1056" s="177"/>
      <c r="F1056" s="177"/>
      <c r="G1056" s="179"/>
      <c r="H1056" s="179"/>
      <c r="I1056" s="177"/>
    </row>
    <row r="1057" spans="3:9">
      <c r="C1057" s="177"/>
      <c r="D1057" s="177"/>
      <c r="E1057" s="177"/>
      <c r="F1057" s="177"/>
      <c r="G1057" s="179"/>
      <c r="H1057" s="179"/>
      <c r="I1057" s="177"/>
    </row>
    <row r="1058" spans="3:9">
      <c r="C1058" s="177"/>
      <c r="D1058" s="177"/>
      <c r="E1058" s="177"/>
      <c r="F1058" s="177"/>
      <c r="G1058" s="179"/>
      <c r="H1058" s="179"/>
      <c r="I1058" s="177"/>
    </row>
    <row r="1059" spans="3:9">
      <c r="C1059" s="177"/>
      <c r="D1059" s="177"/>
      <c r="E1059" s="177"/>
      <c r="F1059" s="177"/>
      <c r="G1059" s="179"/>
      <c r="H1059" s="179"/>
      <c r="I1059" s="177"/>
    </row>
    <row r="1060" spans="3:9">
      <c r="C1060" s="177"/>
      <c r="D1060" s="177"/>
      <c r="E1060" s="177"/>
      <c r="F1060" s="177"/>
      <c r="G1060" s="179"/>
      <c r="H1060" s="179"/>
      <c r="I1060" s="177"/>
    </row>
    <row r="1061" spans="3:9">
      <c r="C1061" s="177"/>
      <c r="D1061" s="177"/>
      <c r="E1061" s="177"/>
      <c r="F1061" s="177"/>
      <c r="G1061" s="179"/>
      <c r="H1061" s="179"/>
      <c r="I1061" s="177"/>
    </row>
    <row r="1062" spans="3:9">
      <c r="C1062" s="177"/>
      <c r="D1062" s="177"/>
      <c r="E1062" s="177"/>
      <c r="F1062" s="177"/>
      <c r="G1062" s="179"/>
      <c r="H1062" s="179"/>
      <c r="I1062" s="177"/>
    </row>
    <row r="1063" spans="3:9">
      <c r="C1063" s="177"/>
      <c r="D1063" s="177"/>
      <c r="E1063" s="177"/>
      <c r="F1063" s="177"/>
      <c r="G1063" s="179"/>
      <c r="H1063" s="179"/>
      <c r="I1063" s="177"/>
    </row>
    <row r="1064" spans="3:9">
      <c r="C1064" s="177"/>
      <c r="D1064" s="177"/>
      <c r="E1064" s="177"/>
      <c r="F1064" s="177"/>
      <c r="G1064" s="179"/>
      <c r="H1064" s="179"/>
      <c r="I1064" s="177"/>
    </row>
    <row r="1065" spans="3:9">
      <c r="C1065" s="177"/>
      <c r="D1065" s="177"/>
      <c r="E1065" s="177"/>
      <c r="F1065" s="177"/>
      <c r="G1065" s="179"/>
      <c r="H1065" s="179"/>
      <c r="I1065" s="177"/>
    </row>
    <row r="1066" spans="3:9">
      <c r="C1066" s="177"/>
      <c r="D1066" s="177"/>
      <c r="E1066" s="177"/>
      <c r="F1066" s="177"/>
      <c r="G1066" s="179"/>
      <c r="H1066" s="179"/>
      <c r="I1066" s="177"/>
    </row>
    <row r="1067" spans="3:9">
      <c r="C1067" s="177"/>
      <c r="D1067" s="177"/>
      <c r="E1067" s="177"/>
      <c r="F1067" s="177"/>
      <c r="G1067" s="179"/>
      <c r="H1067" s="179"/>
      <c r="I1067" s="177"/>
    </row>
    <row r="1068" spans="3:9">
      <c r="C1068" s="177"/>
      <c r="D1068" s="177"/>
      <c r="E1068" s="177"/>
      <c r="F1068" s="177"/>
      <c r="G1068" s="179"/>
      <c r="H1068" s="179"/>
      <c r="I1068" s="177"/>
    </row>
    <row r="1069" spans="3:9">
      <c r="C1069" s="177"/>
      <c r="D1069" s="177"/>
      <c r="E1069" s="177"/>
      <c r="F1069" s="177"/>
      <c r="G1069" s="179"/>
      <c r="H1069" s="179"/>
      <c r="I1069" s="177"/>
    </row>
    <row r="1070" spans="3:9">
      <c r="C1070" s="177"/>
      <c r="D1070" s="177"/>
      <c r="E1070" s="177"/>
      <c r="F1070" s="177"/>
      <c r="G1070" s="179"/>
      <c r="H1070" s="179"/>
      <c r="I1070" s="177"/>
    </row>
    <row r="1071" spans="3:9">
      <c r="C1071" s="177"/>
      <c r="D1071" s="177"/>
      <c r="E1071" s="177"/>
      <c r="F1071" s="177"/>
      <c r="G1071" s="179"/>
      <c r="H1071" s="179"/>
      <c r="I1071" s="177"/>
    </row>
    <row r="1072" spans="3:9">
      <c r="C1072" s="177"/>
      <c r="D1072" s="177"/>
      <c r="E1072" s="177"/>
      <c r="F1072" s="177"/>
      <c r="G1072" s="179"/>
      <c r="H1072" s="179"/>
      <c r="I1072" s="177"/>
    </row>
    <row r="1073" spans="3:9">
      <c r="C1073" s="177"/>
      <c r="D1073" s="177"/>
      <c r="E1073" s="177"/>
      <c r="F1073" s="177"/>
      <c r="G1073" s="179"/>
      <c r="H1073" s="179"/>
      <c r="I1073" s="177"/>
    </row>
    <row r="1074" spans="3:9">
      <c r="C1074" s="177"/>
      <c r="D1074" s="177"/>
      <c r="E1074" s="177"/>
      <c r="F1074" s="177"/>
      <c r="G1074" s="179"/>
      <c r="H1074" s="179"/>
      <c r="I1074" s="177"/>
    </row>
    <row r="1075" spans="3:9">
      <c r="C1075" s="177"/>
      <c r="D1075" s="177"/>
      <c r="E1075" s="177"/>
      <c r="F1075" s="177"/>
      <c r="G1075" s="179"/>
      <c r="H1075" s="179"/>
      <c r="I1075" s="177"/>
    </row>
    <row r="1076" spans="3:9">
      <c r="C1076" s="177"/>
      <c r="D1076" s="177"/>
      <c r="E1076" s="177"/>
      <c r="F1076" s="177"/>
      <c r="G1076" s="179"/>
      <c r="H1076" s="179"/>
      <c r="I1076" s="177"/>
    </row>
    <row r="1077" spans="3:9">
      <c r="C1077" s="177"/>
      <c r="D1077" s="177"/>
      <c r="E1077" s="177"/>
      <c r="F1077" s="177"/>
      <c r="G1077" s="179"/>
      <c r="H1077" s="179"/>
      <c r="I1077" s="177"/>
    </row>
    <row r="1078" spans="3:9">
      <c r="C1078" s="177"/>
      <c r="D1078" s="177"/>
      <c r="E1078" s="177"/>
      <c r="F1078" s="177"/>
      <c r="G1078" s="179"/>
      <c r="H1078" s="179"/>
      <c r="I1078" s="177"/>
    </row>
    <row r="1079" spans="3:9">
      <c r="C1079" s="177"/>
      <c r="D1079" s="177"/>
      <c r="E1079" s="177"/>
      <c r="F1079" s="177"/>
      <c r="G1079" s="179"/>
      <c r="H1079" s="179"/>
      <c r="I1079" s="177"/>
    </row>
    <row r="1080" spans="3:9">
      <c r="C1080" s="177"/>
      <c r="D1080" s="177"/>
      <c r="E1080" s="177"/>
      <c r="F1080" s="177"/>
      <c r="G1080" s="179"/>
      <c r="H1080" s="179"/>
      <c r="I1080" s="177"/>
    </row>
    <row r="1081" spans="3:9">
      <c r="C1081" s="177"/>
      <c r="D1081" s="177"/>
      <c r="E1081" s="177"/>
      <c r="F1081" s="177"/>
      <c r="G1081" s="179"/>
      <c r="H1081" s="179"/>
      <c r="I1081" s="177"/>
    </row>
    <row r="1082" spans="3:9">
      <c r="C1082" s="177"/>
      <c r="D1082" s="177"/>
      <c r="E1082" s="177"/>
      <c r="F1082" s="177"/>
      <c r="G1082" s="179"/>
      <c r="H1082" s="179"/>
      <c r="I1082" s="177"/>
    </row>
    <row r="1083" spans="3:9">
      <c r="C1083" s="177"/>
      <c r="D1083" s="177"/>
      <c r="E1083" s="177"/>
      <c r="F1083" s="177"/>
      <c r="G1083" s="179"/>
      <c r="H1083" s="179"/>
      <c r="I1083" s="177"/>
    </row>
    <row r="1084" spans="3:9">
      <c r="C1084" s="177"/>
      <c r="D1084" s="177"/>
      <c r="E1084" s="177"/>
      <c r="F1084" s="177"/>
      <c r="G1084" s="179"/>
      <c r="H1084" s="179"/>
      <c r="I1084" s="177"/>
    </row>
    <row r="1085" spans="3:9">
      <c r="C1085" s="177"/>
      <c r="D1085" s="177"/>
      <c r="E1085" s="177"/>
      <c r="F1085" s="177"/>
      <c r="G1085" s="179"/>
      <c r="H1085" s="179"/>
      <c r="I1085" s="177"/>
    </row>
    <row r="1086" spans="3:9">
      <c r="C1086" s="177"/>
      <c r="D1086" s="177"/>
      <c r="E1086" s="177"/>
      <c r="F1086" s="177"/>
      <c r="G1086" s="179"/>
      <c r="H1086" s="179"/>
      <c r="I1086" s="177"/>
    </row>
    <row r="1087" spans="3:9">
      <c r="C1087" s="177"/>
      <c r="D1087" s="177"/>
      <c r="E1087" s="177"/>
      <c r="F1087" s="177"/>
      <c r="G1087" s="179"/>
      <c r="H1087" s="179"/>
      <c r="I1087" s="177"/>
    </row>
    <row r="1088" spans="3:9">
      <c r="C1088" s="177"/>
      <c r="D1088" s="177"/>
      <c r="E1088" s="177"/>
      <c r="F1088" s="177"/>
      <c r="G1088" s="179"/>
      <c r="H1088" s="179"/>
      <c r="I1088" s="177"/>
    </row>
    <row r="1089" spans="3:9">
      <c r="C1089" s="177"/>
      <c r="D1089" s="177"/>
      <c r="E1089" s="177"/>
      <c r="F1089" s="177"/>
      <c r="G1089" s="179"/>
      <c r="H1089" s="179"/>
      <c r="I1089" s="177"/>
    </row>
    <row r="1090" spans="3:9">
      <c r="C1090" s="177"/>
      <c r="D1090" s="177"/>
      <c r="E1090" s="177"/>
      <c r="F1090" s="177"/>
      <c r="G1090" s="179"/>
      <c r="H1090" s="179"/>
      <c r="I1090" s="177"/>
    </row>
    <row r="1091" spans="3:9">
      <c r="C1091" s="177"/>
      <c r="D1091" s="177"/>
      <c r="E1091" s="177"/>
      <c r="F1091" s="177"/>
      <c r="G1091" s="179"/>
      <c r="H1091" s="179"/>
      <c r="I1091" s="177"/>
    </row>
    <row r="1092" spans="3:9">
      <c r="C1092" s="177"/>
      <c r="D1092" s="177"/>
      <c r="E1092" s="177"/>
      <c r="F1092" s="177"/>
      <c r="G1092" s="179"/>
      <c r="H1092" s="179"/>
      <c r="I1092" s="177"/>
    </row>
    <row r="1093" spans="3:9">
      <c r="C1093" s="177"/>
      <c r="D1093" s="177"/>
      <c r="E1093" s="177"/>
      <c r="F1093" s="177"/>
      <c r="G1093" s="179"/>
      <c r="H1093" s="179"/>
      <c r="I1093" s="177"/>
    </row>
    <row r="1094" spans="3:9">
      <c r="C1094" s="177"/>
      <c r="D1094" s="177"/>
      <c r="E1094" s="177"/>
      <c r="F1094" s="177"/>
      <c r="G1094" s="179"/>
      <c r="H1094" s="179"/>
      <c r="I1094" s="177"/>
    </row>
    <row r="1095" spans="3:9">
      <c r="C1095" s="177"/>
      <c r="D1095" s="177"/>
      <c r="E1095" s="177"/>
      <c r="F1095" s="177"/>
      <c r="G1095" s="179"/>
      <c r="H1095" s="179"/>
      <c r="I1095" s="177"/>
    </row>
    <row r="1096" spans="3:9">
      <c r="C1096" s="177"/>
      <c r="D1096" s="177"/>
      <c r="E1096" s="177"/>
      <c r="F1096" s="177"/>
      <c r="G1096" s="179"/>
      <c r="H1096" s="179"/>
      <c r="I1096" s="177"/>
    </row>
    <row r="1097" spans="3:9">
      <c r="C1097" s="177"/>
      <c r="D1097" s="177"/>
      <c r="E1097" s="177"/>
      <c r="F1097" s="177"/>
      <c r="G1097" s="179"/>
      <c r="H1097" s="179"/>
      <c r="I1097" s="177"/>
    </row>
    <row r="1098" spans="3:9">
      <c r="C1098" s="177"/>
      <c r="D1098" s="177"/>
      <c r="E1098" s="177"/>
      <c r="F1098" s="177"/>
      <c r="G1098" s="179"/>
      <c r="H1098" s="179"/>
      <c r="I1098" s="177"/>
    </row>
    <row r="1099" spans="3:9">
      <c r="C1099" s="177"/>
      <c r="D1099" s="177"/>
      <c r="E1099" s="177"/>
      <c r="F1099" s="177"/>
      <c r="G1099" s="179"/>
      <c r="H1099" s="179"/>
      <c r="I1099" s="177"/>
    </row>
    <row r="1100" spans="3:9">
      <c r="C1100" s="177"/>
      <c r="D1100" s="177"/>
      <c r="E1100" s="177"/>
      <c r="F1100" s="177"/>
      <c r="G1100" s="179"/>
      <c r="H1100" s="179"/>
      <c r="I1100" s="177"/>
    </row>
    <row r="1101" spans="3:9">
      <c r="C1101" s="177"/>
      <c r="D1101" s="177"/>
      <c r="E1101" s="177"/>
      <c r="F1101" s="177"/>
      <c r="G1101" s="179"/>
      <c r="H1101" s="179"/>
      <c r="I1101" s="177"/>
    </row>
    <row r="1102" spans="3:9">
      <c r="C1102" s="177"/>
      <c r="D1102" s="177"/>
      <c r="E1102" s="177"/>
      <c r="F1102" s="177"/>
      <c r="G1102" s="179"/>
      <c r="H1102" s="179"/>
      <c r="I1102" s="177"/>
    </row>
    <row r="1103" spans="3:9">
      <c r="C1103" s="177"/>
      <c r="D1103" s="177"/>
      <c r="E1103" s="177"/>
      <c r="F1103" s="177"/>
      <c r="G1103" s="179"/>
      <c r="H1103" s="179"/>
      <c r="I1103" s="177"/>
    </row>
    <row r="1104" spans="3:9">
      <c r="C1104" s="177"/>
      <c r="D1104" s="177"/>
      <c r="E1104" s="177"/>
      <c r="F1104" s="177"/>
      <c r="G1104" s="179"/>
      <c r="H1104" s="179"/>
      <c r="I1104" s="177"/>
    </row>
    <row r="1105" spans="3:9">
      <c r="C1105" s="177"/>
      <c r="D1105" s="177"/>
      <c r="E1105" s="177"/>
      <c r="F1105" s="177"/>
      <c r="G1105" s="179"/>
      <c r="H1105" s="179"/>
      <c r="I1105" s="177"/>
    </row>
    <row r="1106" spans="3:9">
      <c r="C1106" s="177"/>
      <c r="D1106" s="177"/>
      <c r="E1106" s="177"/>
      <c r="F1106" s="177"/>
      <c r="G1106" s="179"/>
      <c r="H1106" s="179"/>
      <c r="I1106" s="177"/>
    </row>
    <row r="1107" spans="3:9">
      <c r="C1107" s="177"/>
      <c r="D1107" s="177"/>
      <c r="E1107" s="177"/>
      <c r="F1107" s="177"/>
      <c r="G1107" s="179"/>
      <c r="H1107" s="179"/>
      <c r="I1107" s="177"/>
    </row>
    <row r="1108" spans="3:9">
      <c r="C1108" s="177"/>
      <c r="D1108" s="177"/>
      <c r="E1108" s="177"/>
      <c r="F1108" s="177"/>
      <c r="G1108" s="179"/>
      <c r="H1108" s="179"/>
      <c r="I1108" s="177"/>
    </row>
    <row r="1109" spans="3:9">
      <c r="C1109" s="177"/>
      <c r="D1109" s="177"/>
      <c r="E1109" s="177"/>
      <c r="F1109" s="177"/>
      <c r="G1109" s="179"/>
      <c r="H1109" s="179"/>
      <c r="I1109" s="177"/>
    </row>
    <row r="1110" spans="3:9">
      <c r="C1110" s="177"/>
      <c r="D1110" s="177"/>
      <c r="E1110" s="177"/>
      <c r="F1110" s="177"/>
      <c r="G1110" s="179"/>
      <c r="H1110" s="179"/>
      <c r="I1110" s="177"/>
    </row>
    <row r="1111" spans="3:9">
      <c r="C1111" s="177"/>
      <c r="D1111" s="177"/>
      <c r="E1111" s="177"/>
      <c r="F1111" s="177"/>
      <c r="G1111" s="179"/>
      <c r="H1111" s="179"/>
      <c r="I1111" s="177"/>
    </row>
    <row r="1112" spans="3:9">
      <c r="C1112" s="177"/>
      <c r="D1112" s="177"/>
      <c r="E1112" s="177"/>
      <c r="F1112" s="177"/>
      <c r="G1112" s="179"/>
      <c r="H1112" s="179"/>
      <c r="I1112" s="177"/>
    </row>
    <row r="1113" spans="3:9">
      <c r="C1113" s="177"/>
      <c r="D1113" s="177"/>
      <c r="E1113" s="177"/>
      <c r="F1113" s="177"/>
      <c r="G1113" s="179"/>
      <c r="H1113" s="179"/>
      <c r="I1113" s="177"/>
    </row>
    <row r="1114" spans="3:9">
      <c r="C1114" s="177"/>
      <c r="D1114" s="177"/>
      <c r="E1114" s="177"/>
      <c r="F1114" s="177"/>
      <c r="G1114" s="179"/>
      <c r="H1114" s="179"/>
      <c r="I1114" s="177"/>
    </row>
    <row r="1115" spans="3:9">
      <c r="C1115" s="177"/>
      <c r="D1115" s="177"/>
      <c r="E1115" s="177"/>
      <c r="F1115" s="177"/>
      <c r="G1115" s="179"/>
      <c r="H1115" s="179"/>
      <c r="I1115" s="177"/>
    </row>
    <row r="1116" spans="3:9">
      <c r="C1116" s="177"/>
      <c r="D1116" s="177"/>
      <c r="E1116" s="177"/>
      <c r="F1116" s="177"/>
      <c r="G1116" s="179"/>
      <c r="H1116" s="179"/>
      <c r="I1116" s="177"/>
    </row>
    <row r="1117" spans="3:9">
      <c r="C1117" s="177"/>
      <c r="D1117" s="177"/>
      <c r="E1117" s="177"/>
      <c r="F1117" s="177"/>
      <c r="G1117" s="179"/>
      <c r="H1117" s="179"/>
      <c r="I1117" s="177"/>
    </row>
    <row r="1118" spans="3:9">
      <c r="C1118" s="177"/>
      <c r="D1118" s="177"/>
      <c r="E1118" s="177"/>
      <c r="F1118" s="177"/>
      <c r="G1118" s="179"/>
      <c r="H1118" s="179"/>
      <c r="I1118" s="177"/>
    </row>
    <row r="1119" spans="3:9">
      <c r="C1119" s="177"/>
      <c r="D1119" s="177"/>
      <c r="E1119" s="177"/>
      <c r="F1119" s="177"/>
      <c r="G1119" s="179"/>
      <c r="H1119" s="179"/>
      <c r="I1119" s="177"/>
    </row>
    <row r="1120" spans="3:9">
      <c r="C1120" s="177"/>
      <c r="D1120" s="177"/>
      <c r="E1120" s="177"/>
      <c r="F1120" s="177"/>
      <c r="G1120" s="179"/>
      <c r="H1120" s="179"/>
      <c r="I1120" s="177"/>
    </row>
    <row r="1121" spans="3:9">
      <c r="C1121" s="177"/>
      <c r="D1121" s="177"/>
      <c r="E1121" s="177"/>
      <c r="F1121" s="177"/>
      <c r="G1121" s="179"/>
      <c r="H1121" s="179"/>
      <c r="I1121" s="177"/>
    </row>
    <row r="1122" spans="3:9">
      <c r="C1122" s="177"/>
      <c r="D1122" s="177"/>
      <c r="E1122" s="177"/>
      <c r="F1122" s="177"/>
      <c r="G1122" s="179"/>
      <c r="H1122" s="179"/>
      <c r="I1122" s="177"/>
    </row>
    <row r="1123" spans="3:9">
      <c r="C1123" s="177"/>
      <c r="D1123" s="177"/>
      <c r="E1123" s="177"/>
      <c r="F1123" s="177"/>
      <c r="G1123" s="179"/>
      <c r="H1123" s="179"/>
      <c r="I1123" s="177"/>
    </row>
    <row r="1124" spans="3:9">
      <c r="C1124" s="177"/>
      <c r="D1124" s="177"/>
      <c r="E1124" s="177"/>
      <c r="F1124" s="177"/>
      <c r="G1124" s="179"/>
      <c r="H1124" s="179"/>
      <c r="I1124" s="177"/>
    </row>
    <row r="1125" spans="3:9">
      <c r="C1125" s="177"/>
      <c r="D1125" s="177"/>
      <c r="E1125" s="177"/>
      <c r="F1125" s="177"/>
      <c r="G1125" s="179"/>
      <c r="H1125" s="179"/>
      <c r="I1125" s="177"/>
    </row>
    <row r="1126" spans="3:9">
      <c r="C1126" s="177"/>
      <c r="D1126" s="177"/>
      <c r="E1126" s="177"/>
      <c r="F1126" s="177"/>
      <c r="G1126" s="179"/>
      <c r="H1126" s="179"/>
      <c r="I1126" s="177"/>
    </row>
    <row r="1127" spans="3:9">
      <c r="C1127" s="177"/>
      <c r="D1127" s="177"/>
      <c r="E1127" s="177"/>
      <c r="F1127" s="177"/>
      <c r="G1127" s="179"/>
      <c r="H1127" s="179"/>
      <c r="I1127" s="177"/>
    </row>
    <row r="1128" spans="3:9">
      <c r="C1128" s="177"/>
      <c r="D1128" s="177"/>
      <c r="E1128" s="177"/>
      <c r="F1128" s="177"/>
      <c r="G1128" s="179"/>
      <c r="H1128" s="179"/>
      <c r="I1128" s="177"/>
    </row>
    <row r="1129" spans="3:9">
      <c r="C1129" s="177"/>
      <c r="D1129" s="177"/>
      <c r="E1129" s="177"/>
      <c r="F1129" s="177"/>
      <c r="G1129" s="179"/>
      <c r="H1129" s="179"/>
      <c r="I1129" s="177"/>
    </row>
    <row r="1130" spans="3:9">
      <c r="C1130" s="177"/>
      <c r="D1130" s="177"/>
      <c r="E1130" s="177"/>
      <c r="F1130" s="177"/>
      <c r="G1130" s="179"/>
      <c r="H1130" s="179"/>
      <c r="I1130" s="177"/>
    </row>
    <row r="1131" spans="3:9">
      <c r="C1131" s="177"/>
      <c r="D1131" s="177"/>
      <c r="E1131" s="177"/>
      <c r="F1131" s="177"/>
      <c r="G1131" s="179"/>
      <c r="H1131" s="179"/>
      <c r="I1131" s="177"/>
    </row>
    <row r="1132" spans="3:9">
      <c r="C1132" s="177"/>
      <c r="D1132" s="177"/>
      <c r="E1132" s="177"/>
      <c r="F1132" s="177"/>
      <c r="G1132" s="179"/>
      <c r="H1132" s="179"/>
      <c r="I1132" s="177"/>
    </row>
    <row r="1133" spans="3:9">
      <c r="C1133" s="177"/>
      <c r="D1133" s="177"/>
      <c r="E1133" s="177"/>
      <c r="F1133" s="177"/>
      <c r="G1133" s="179"/>
      <c r="H1133" s="179"/>
      <c r="I1133" s="177"/>
    </row>
    <row r="1134" spans="3:9">
      <c r="C1134" s="177"/>
      <c r="D1134" s="177"/>
      <c r="E1134" s="177"/>
      <c r="F1134" s="177"/>
      <c r="G1134" s="179"/>
      <c r="H1134" s="179"/>
      <c r="I1134" s="177"/>
    </row>
    <row r="1135" spans="3:9">
      <c r="C1135" s="177"/>
      <c r="D1135" s="177"/>
      <c r="E1135" s="177"/>
      <c r="F1135" s="177"/>
      <c r="G1135" s="179"/>
      <c r="H1135" s="179"/>
      <c r="I1135" s="177"/>
    </row>
    <row r="1136" spans="3:9">
      <c r="C1136" s="177"/>
      <c r="D1136" s="177"/>
      <c r="E1136" s="177"/>
      <c r="F1136" s="177"/>
      <c r="G1136" s="179"/>
      <c r="H1136" s="179"/>
      <c r="I1136" s="177"/>
    </row>
    <row r="1137" spans="3:9">
      <c r="C1137" s="177"/>
      <c r="D1137" s="177"/>
      <c r="E1137" s="177"/>
      <c r="F1137" s="177"/>
      <c r="G1137" s="179"/>
      <c r="H1137" s="179"/>
      <c r="I1137" s="177"/>
    </row>
    <row r="1138" spans="3:9">
      <c r="C1138" s="177"/>
      <c r="D1138" s="177"/>
      <c r="E1138" s="177"/>
      <c r="F1138" s="177"/>
      <c r="G1138" s="179"/>
      <c r="H1138" s="179"/>
      <c r="I1138" s="177"/>
    </row>
    <row r="1139" spans="3:9">
      <c r="C1139" s="177"/>
      <c r="D1139" s="177"/>
      <c r="E1139" s="177"/>
      <c r="F1139" s="177"/>
      <c r="G1139" s="179"/>
      <c r="H1139" s="179"/>
      <c r="I1139" s="177"/>
    </row>
    <row r="1140" spans="3:9">
      <c r="C1140" s="177"/>
      <c r="D1140" s="177"/>
      <c r="E1140" s="177"/>
      <c r="F1140" s="177"/>
      <c r="G1140" s="179"/>
      <c r="H1140" s="179"/>
      <c r="I1140" s="177"/>
    </row>
    <row r="1141" spans="3:9">
      <c r="C1141" s="177"/>
      <c r="D1141" s="177"/>
      <c r="E1141" s="177"/>
      <c r="F1141" s="177"/>
      <c r="G1141" s="179"/>
      <c r="H1141" s="179"/>
      <c r="I1141" s="177"/>
    </row>
    <row r="1142" spans="3:9">
      <c r="C1142" s="177"/>
      <c r="D1142" s="177"/>
      <c r="E1142" s="177"/>
      <c r="F1142" s="177"/>
      <c r="G1142" s="179"/>
      <c r="H1142" s="179"/>
      <c r="I1142" s="177"/>
    </row>
    <row r="1143" spans="3:9">
      <c r="C1143" s="177"/>
      <c r="D1143" s="177"/>
      <c r="E1143" s="177"/>
      <c r="F1143" s="177"/>
      <c r="G1143" s="179"/>
      <c r="H1143" s="179"/>
      <c r="I1143" s="177"/>
    </row>
    <row r="1144" spans="3:9">
      <c r="C1144" s="177"/>
      <c r="D1144" s="177"/>
      <c r="E1144" s="177"/>
      <c r="F1144" s="177"/>
      <c r="G1144" s="179"/>
      <c r="H1144" s="179"/>
      <c r="I1144" s="177"/>
    </row>
    <row r="1145" spans="3:9">
      <c r="C1145" s="177"/>
      <c r="D1145" s="177"/>
      <c r="E1145" s="177"/>
      <c r="F1145" s="177"/>
      <c r="G1145" s="179"/>
      <c r="H1145" s="179"/>
      <c r="I1145" s="177"/>
    </row>
    <row r="1146" spans="3:9">
      <c r="C1146" s="177"/>
      <c r="D1146" s="177"/>
      <c r="E1146" s="177"/>
      <c r="F1146" s="177"/>
      <c r="G1146" s="179"/>
      <c r="H1146" s="179"/>
      <c r="I1146" s="177"/>
    </row>
    <row r="1147" spans="3:9">
      <c r="C1147" s="177"/>
      <c r="D1147" s="177"/>
      <c r="E1147" s="177"/>
      <c r="F1147" s="177"/>
      <c r="G1147" s="179"/>
      <c r="H1147" s="179"/>
      <c r="I1147" s="177"/>
    </row>
    <row r="1148" spans="3:9">
      <c r="C1148" s="177"/>
      <c r="D1148" s="177"/>
      <c r="E1148" s="177"/>
      <c r="F1148" s="177"/>
      <c r="G1148" s="179"/>
      <c r="H1148" s="179"/>
      <c r="I1148" s="177"/>
    </row>
    <row r="1149" spans="3:9">
      <c r="C1149" s="177"/>
      <c r="D1149" s="177"/>
      <c r="E1149" s="177"/>
      <c r="F1149" s="177"/>
      <c r="G1149" s="179"/>
      <c r="H1149" s="179"/>
      <c r="I1149" s="177"/>
    </row>
    <row r="1150" spans="3:9">
      <c r="C1150" s="177"/>
      <c r="D1150" s="177"/>
      <c r="E1150" s="177"/>
      <c r="F1150" s="177"/>
      <c r="G1150" s="179"/>
      <c r="H1150" s="179"/>
      <c r="I1150" s="177"/>
    </row>
    <row r="1151" spans="3:9">
      <c r="C1151" s="177"/>
      <c r="D1151" s="177"/>
      <c r="E1151" s="177"/>
      <c r="F1151" s="177"/>
      <c r="G1151" s="179"/>
      <c r="H1151" s="179"/>
      <c r="I1151" s="177"/>
    </row>
    <row r="1152" spans="3:9">
      <c r="C1152" s="177"/>
      <c r="D1152" s="177"/>
      <c r="E1152" s="177"/>
      <c r="F1152" s="177"/>
      <c r="G1152" s="179"/>
      <c r="H1152" s="179"/>
      <c r="I1152" s="177"/>
    </row>
    <row r="1153" spans="3:9">
      <c r="C1153" s="177"/>
      <c r="D1153" s="177"/>
      <c r="E1153" s="177"/>
      <c r="F1153" s="177"/>
      <c r="G1153" s="179"/>
      <c r="H1153" s="179"/>
      <c r="I1153" s="177"/>
    </row>
    <row r="1154" spans="3:9">
      <c r="C1154" s="177"/>
      <c r="D1154" s="177"/>
      <c r="E1154" s="177"/>
      <c r="F1154" s="177"/>
      <c r="G1154" s="179"/>
      <c r="H1154" s="179"/>
      <c r="I1154" s="177"/>
    </row>
    <row r="1155" spans="3:9">
      <c r="C1155" s="177"/>
      <c r="D1155" s="177"/>
      <c r="E1155" s="177"/>
      <c r="F1155" s="177"/>
      <c r="G1155" s="179"/>
      <c r="H1155" s="179"/>
      <c r="I1155" s="177"/>
    </row>
    <row r="1156" spans="3:9">
      <c r="C1156" s="177"/>
      <c r="D1156" s="177"/>
      <c r="E1156" s="177"/>
      <c r="F1156" s="177"/>
      <c r="G1156" s="179"/>
      <c r="H1156" s="179"/>
      <c r="I1156" s="177"/>
    </row>
    <row r="1157" spans="3:9">
      <c r="C1157" s="177"/>
      <c r="D1157" s="177"/>
      <c r="E1157" s="177"/>
      <c r="F1157" s="177"/>
      <c r="G1157" s="179"/>
      <c r="H1157" s="179"/>
      <c r="I1157" s="177"/>
    </row>
    <row r="1158" spans="3:9">
      <c r="C1158" s="177"/>
      <c r="D1158" s="177"/>
      <c r="E1158" s="177"/>
      <c r="F1158" s="177"/>
      <c r="G1158" s="179"/>
      <c r="H1158" s="179"/>
      <c r="I1158" s="177"/>
    </row>
    <row r="1159" spans="3:9">
      <c r="C1159" s="177"/>
      <c r="D1159" s="177"/>
      <c r="E1159" s="177"/>
      <c r="F1159" s="177"/>
      <c r="G1159" s="179"/>
      <c r="H1159" s="179"/>
      <c r="I1159" s="177"/>
    </row>
    <row r="1160" spans="3:9">
      <c r="C1160" s="177"/>
      <c r="D1160" s="177"/>
      <c r="E1160" s="177"/>
      <c r="F1160" s="177"/>
      <c r="G1160" s="179"/>
      <c r="H1160" s="179"/>
      <c r="I1160" s="177"/>
    </row>
    <row r="1161" spans="3:9">
      <c r="C1161" s="177"/>
      <c r="D1161" s="177"/>
      <c r="E1161" s="177"/>
      <c r="F1161" s="177"/>
      <c r="G1161" s="179"/>
      <c r="H1161" s="179"/>
      <c r="I1161" s="177"/>
    </row>
    <row r="1162" spans="3:9">
      <c r="C1162" s="177"/>
      <c r="D1162" s="177"/>
      <c r="E1162" s="177"/>
      <c r="F1162" s="177"/>
      <c r="G1162" s="179"/>
      <c r="H1162" s="179"/>
      <c r="I1162" s="177"/>
    </row>
    <row r="1163" spans="3:9">
      <c r="C1163" s="177"/>
      <c r="D1163" s="177"/>
      <c r="E1163" s="177"/>
      <c r="F1163" s="177"/>
      <c r="G1163" s="179"/>
      <c r="H1163" s="179"/>
      <c r="I1163" s="177"/>
    </row>
    <row r="1164" spans="3:9">
      <c r="C1164" s="177"/>
      <c r="D1164" s="177"/>
      <c r="E1164" s="177"/>
      <c r="F1164" s="177"/>
      <c r="G1164" s="179"/>
      <c r="H1164" s="179"/>
      <c r="I1164" s="177"/>
    </row>
    <row r="1165" spans="3:9">
      <c r="C1165" s="177"/>
      <c r="D1165" s="177"/>
      <c r="E1165" s="177"/>
      <c r="F1165" s="177"/>
      <c r="G1165" s="179"/>
      <c r="H1165" s="179"/>
      <c r="I1165" s="177"/>
    </row>
    <row r="1166" spans="3:9">
      <c r="C1166" s="177"/>
      <c r="D1166" s="177"/>
      <c r="E1166" s="177"/>
      <c r="F1166" s="177"/>
      <c r="G1166" s="179"/>
      <c r="H1166" s="179"/>
      <c r="I1166" s="177"/>
    </row>
    <row r="1167" spans="3:9">
      <c r="C1167" s="177"/>
      <c r="D1167" s="177"/>
      <c r="E1167" s="177"/>
      <c r="F1167" s="177"/>
      <c r="G1167" s="179"/>
      <c r="H1167" s="179"/>
      <c r="I1167" s="177"/>
    </row>
    <row r="1168" spans="3:9">
      <c r="C1168" s="177"/>
      <c r="D1168" s="177"/>
      <c r="E1168" s="177"/>
      <c r="F1168" s="177"/>
      <c r="G1168" s="179"/>
      <c r="H1168" s="179"/>
      <c r="I1168" s="177"/>
    </row>
    <row r="1169" spans="3:9">
      <c r="C1169" s="177"/>
      <c r="D1169" s="177"/>
      <c r="E1169" s="177"/>
      <c r="F1169" s="177"/>
      <c r="G1169" s="179"/>
      <c r="H1169" s="179"/>
      <c r="I1169" s="177"/>
    </row>
    <row r="1170" spans="3:9">
      <c r="C1170" s="177"/>
      <c r="D1170" s="177"/>
      <c r="E1170" s="177"/>
      <c r="F1170" s="177"/>
      <c r="G1170" s="179"/>
      <c r="H1170" s="179"/>
      <c r="I1170" s="177"/>
    </row>
    <row r="1171" spans="3:9">
      <c r="C1171" s="177"/>
      <c r="D1171" s="177"/>
      <c r="E1171" s="177"/>
      <c r="F1171" s="177"/>
      <c r="G1171" s="179"/>
      <c r="H1171" s="179"/>
      <c r="I1171" s="177"/>
    </row>
    <row r="1172" spans="3:9">
      <c r="C1172" s="177"/>
      <c r="D1172" s="177"/>
      <c r="E1172" s="177"/>
      <c r="F1172" s="177"/>
      <c r="G1172" s="179"/>
      <c r="H1172" s="179"/>
      <c r="I1172" s="177"/>
    </row>
    <row r="1173" spans="3:9">
      <c r="C1173" s="177"/>
      <c r="D1173" s="177"/>
      <c r="E1173" s="177"/>
      <c r="F1173" s="177"/>
      <c r="G1173" s="179"/>
      <c r="H1173" s="179"/>
      <c r="I1173" s="177"/>
    </row>
    <row r="1174" spans="3:9">
      <c r="C1174" s="177"/>
      <c r="D1174" s="177"/>
      <c r="E1174" s="177"/>
      <c r="F1174" s="177"/>
      <c r="G1174" s="179"/>
      <c r="H1174" s="179"/>
      <c r="I1174" s="177"/>
    </row>
    <row r="1175" spans="3:9">
      <c r="C1175" s="177"/>
      <c r="D1175" s="177"/>
      <c r="E1175" s="177"/>
      <c r="F1175" s="177"/>
      <c r="G1175" s="179"/>
      <c r="H1175" s="179"/>
      <c r="I1175" s="177"/>
    </row>
    <row r="1176" spans="3:9">
      <c r="C1176" s="177"/>
      <c r="D1176" s="177"/>
      <c r="E1176" s="177"/>
      <c r="F1176" s="177"/>
      <c r="G1176" s="179"/>
      <c r="H1176" s="179"/>
      <c r="I1176" s="177"/>
    </row>
    <row r="1177" spans="3:9">
      <c r="C1177" s="177"/>
      <c r="D1177" s="177"/>
      <c r="E1177" s="177"/>
      <c r="F1177" s="177"/>
      <c r="G1177" s="179"/>
      <c r="H1177" s="179"/>
      <c r="I1177" s="177"/>
    </row>
    <row r="1178" spans="3:9">
      <c r="C1178" s="177"/>
      <c r="D1178" s="177"/>
      <c r="E1178" s="177"/>
      <c r="F1178" s="177"/>
      <c r="G1178" s="179"/>
      <c r="H1178" s="179"/>
      <c r="I1178" s="177"/>
    </row>
    <row r="1179" spans="3:9">
      <c r="C1179" s="177"/>
      <c r="D1179" s="177"/>
      <c r="E1179" s="177"/>
      <c r="F1179" s="177"/>
      <c r="G1179" s="179"/>
      <c r="H1179" s="179"/>
      <c r="I1179" s="177"/>
    </row>
    <row r="1180" spans="3:9">
      <c r="C1180" s="177"/>
      <c r="D1180" s="177"/>
      <c r="E1180" s="177"/>
      <c r="F1180" s="177"/>
      <c r="G1180" s="179"/>
      <c r="H1180" s="179"/>
      <c r="I1180" s="177"/>
    </row>
    <row r="1181" spans="3:9">
      <c r="C1181" s="177"/>
      <c r="D1181" s="177"/>
      <c r="E1181" s="177"/>
      <c r="F1181" s="177"/>
      <c r="G1181" s="179"/>
      <c r="H1181" s="179"/>
      <c r="I1181" s="177"/>
    </row>
    <row r="1182" spans="3:9">
      <c r="C1182" s="177"/>
      <c r="D1182" s="177"/>
      <c r="E1182" s="177"/>
      <c r="F1182" s="177"/>
      <c r="G1182" s="179"/>
      <c r="H1182" s="179"/>
      <c r="I1182" s="177"/>
    </row>
    <row r="1183" spans="3:9">
      <c r="C1183" s="177"/>
      <c r="D1183" s="177"/>
      <c r="E1183" s="177"/>
      <c r="F1183" s="177"/>
      <c r="G1183" s="179"/>
      <c r="H1183" s="179"/>
      <c r="I1183" s="177"/>
    </row>
    <row r="1184" spans="3:9">
      <c r="C1184" s="177"/>
      <c r="D1184" s="177"/>
      <c r="E1184" s="177"/>
      <c r="F1184" s="177"/>
      <c r="G1184" s="179"/>
      <c r="H1184" s="179"/>
      <c r="I1184" s="177"/>
    </row>
    <row r="1185" spans="3:9">
      <c r="C1185" s="177"/>
      <c r="D1185" s="177"/>
      <c r="E1185" s="177"/>
      <c r="F1185" s="177"/>
      <c r="G1185" s="179"/>
      <c r="H1185" s="179"/>
      <c r="I1185" s="177"/>
    </row>
    <row r="1186" spans="3:9">
      <c r="C1186" s="177"/>
      <c r="D1186" s="177"/>
      <c r="E1186" s="177"/>
      <c r="F1186" s="177"/>
      <c r="G1186" s="179"/>
      <c r="H1186" s="179"/>
      <c r="I1186" s="177"/>
    </row>
    <row r="1187" spans="3:9">
      <c r="C1187" s="177"/>
      <c r="D1187" s="177"/>
      <c r="E1187" s="177"/>
      <c r="F1187" s="177"/>
      <c r="G1187" s="179"/>
      <c r="H1187" s="179"/>
      <c r="I1187" s="177"/>
    </row>
    <row r="1188" spans="3:9">
      <c r="C1188" s="177"/>
      <c r="D1188" s="177"/>
      <c r="E1188" s="177"/>
      <c r="F1188" s="177"/>
      <c r="G1188" s="179"/>
      <c r="H1188" s="179"/>
      <c r="I1188" s="177"/>
    </row>
    <row r="1189" spans="3:9">
      <c r="C1189" s="177"/>
      <c r="D1189" s="177"/>
      <c r="E1189" s="177"/>
      <c r="F1189" s="177"/>
      <c r="G1189" s="179"/>
      <c r="H1189" s="179"/>
      <c r="I1189" s="177"/>
    </row>
    <row r="1190" spans="3:9">
      <c r="C1190" s="177"/>
      <c r="D1190" s="177"/>
      <c r="E1190" s="177"/>
      <c r="F1190" s="177"/>
      <c r="G1190" s="179"/>
      <c r="H1190" s="179"/>
      <c r="I1190" s="177"/>
    </row>
    <row r="1191" spans="3:9">
      <c r="C1191" s="177"/>
      <c r="D1191" s="177"/>
      <c r="E1191" s="177"/>
      <c r="F1191" s="177"/>
      <c r="G1191" s="179"/>
      <c r="H1191" s="179"/>
      <c r="I1191" s="177"/>
    </row>
    <row r="1192" spans="3:9">
      <c r="C1192" s="177"/>
      <c r="D1192" s="177"/>
      <c r="E1192" s="177"/>
      <c r="F1192" s="177"/>
      <c r="G1192" s="179"/>
      <c r="H1192" s="179"/>
      <c r="I1192" s="177"/>
    </row>
    <row r="1193" spans="3:9">
      <c r="C1193" s="177"/>
      <c r="D1193" s="177"/>
      <c r="E1193" s="177"/>
      <c r="F1193" s="177"/>
      <c r="G1193" s="179"/>
      <c r="H1193" s="179"/>
      <c r="I1193" s="177"/>
    </row>
    <row r="1194" spans="3:9">
      <c r="C1194" s="177"/>
      <c r="D1194" s="177"/>
      <c r="E1194" s="177"/>
      <c r="F1194" s="177"/>
      <c r="G1194" s="179"/>
      <c r="H1194" s="179"/>
      <c r="I1194" s="177"/>
    </row>
    <row r="1195" spans="3:9">
      <c r="C1195" s="177"/>
      <c r="D1195" s="177"/>
      <c r="E1195" s="177"/>
      <c r="F1195" s="177"/>
      <c r="G1195" s="179"/>
      <c r="H1195" s="179"/>
      <c r="I1195" s="177"/>
    </row>
    <row r="1196" spans="3:9">
      <c r="C1196" s="177"/>
      <c r="D1196" s="177"/>
      <c r="E1196" s="177"/>
      <c r="F1196" s="177"/>
      <c r="G1196" s="179"/>
      <c r="H1196" s="179"/>
      <c r="I1196" s="177"/>
    </row>
    <row r="1197" spans="3:9">
      <c r="C1197" s="177"/>
      <c r="D1197" s="177"/>
      <c r="E1197" s="177"/>
      <c r="F1197" s="177"/>
      <c r="G1197" s="179"/>
      <c r="H1197" s="179"/>
      <c r="I1197" s="177"/>
    </row>
    <row r="1198" spans="3:9">
      <c r="C1198" s="177"/>
      <c r="D1198" s="177"/>
      <c r="E1198" s="177"/>
      <c r="F1198" s="177"/>
      <c r="G1198" s="179"/>
      <c r="H1198" s="179"/>
      <c r="I1198" s="177"/>
    </row>
    <row r="1199" spans="3:9">
      <c r="C1199" s="177"/>
      <c r="D1199" s="177"/>
      <c r="E1199" s="177"/>
      <c r="F1199" s="177"/>
      <c r="G1199" s="179"/>
      <c r="H1199" s="179"/>
      <c r="I1199" s="177"/>
    </row>
    <row r="1200" spans="3:9">
      <c r="C1200" s="177"/>
      <c r="D1200" s="177"/>
      <c r="E1200" s="177"/>
      <c r="F1200" s="177"/>
      <c r="G1200" s="179"/>
      <c r="H1200" s="179"/>
      <c r="I1200" s="177"/>
    </row>
    <row r="1201" spans="3:9">
      <c r="C1201" s="177"/>
      <c r="D1201" s="177"/>
      <c r="E1201" s="177"/>
      <c r="F1201" s="177"/>
      <c r="G1201" s="179"/>
      <c r="H1201" s="179"/>
      <c r="I1201" s="177"/>
    </row>
    <row r="1202" spans="3:9">
      <c r="C1202" s="177"/>
      <c r="D1202" s="177"/>
      <c r="E1202" s="177"/>
      <c r="F1202" s="177"/>
      <c r="G1202" s="179"/>
      <c r="H1202" s="179"/>
      <c r="I1202" s="177"/>
    </row>
    <row r="1203" spans="3:9">
      <c r="C1203" s="177"/>
      <c r="D1203" s="177"/>
      <c r="E1203" s="177"/>
      <c r="F1203" s="177"/>
      <c r="G1203" s="179"/>
      <c r="H1203" s="179"/>
      <c r="I1203" s="177"/>
    </row>
    <row r="1204" spans="3:9">
      <c r="C1204" s="177"/>
      <c r="D1204" s="177"/>
      <c r="E1204" s="177"/>
      <c r="F1204" s="177"/>
      <c r="G1204" s="179"/>
      <c r="H1204" s="179"/>
      <c r="I1204" s="177"/>
    </row>
    <row r="1205" spans="3:9">
      <c r="C1205" s="177"/>
      <c r="D1205" s="177"/>
      <c r="E1205" s="177"/>
      <c r="F1205" s="177"/>
      <c r="G1205" s="179"/>
      <c r="H1205" s="179"/>
      <c r="I1205" s="177"/>
    </row>
    <row r="1206" spans="3:9">
      <c r="C1206" s="177"/>
      <c r="D1206" s="177"/>
      <c r="E1206" s="177"/>
      <c r="F1206" s="177"/>
      <c r="G1206" s="179"/>
      <c r="H1206" s="179"/>
      <c r="I1206" s="177"/>
    </row>
    <row r="1207" spans="3:9">
      <c r="C1207" s="177"/>
      <c r="D1207" s="177"/>
      <c r="E1207" s="177"/>
      <c r="F1207" s="177"/>
      <c r="G1207" s="179"/>
      <c r="H1207" s="179"/>
      <c r="I1207" s="177"/>
    </row>
    <row r="1208" spans="3:9">
      <c r="C1208" s="177"/>
      <c r="D1208" s="177"/>
      <c r="E1208" s="177"/>
      <c r="F1208" s="177"/>
      <c r="G1208" s="179"/>
      <c r="H1208" s="179"/>
      <c r="I1208" s="177"/>
    </row>
    <row r="1209" spans="3:9">
      <c r="C1209" s="177"/>
      <c r="D1209" s="177"/>
      <c r="E1209" s="177"/>
      <c r="F1209" s="177"/>
      <c r="G1209" s="179"/>
      <c r="H1209" s="179"/>
      <c r="I1209" s="177"/>
    </row>
    <row r="1210" spans="3:9">
      <c r="C1210" s="177"/>
      <c r="D1210" s="177"/>
      <c r="E1210" s="177"/>
      <c r="F1210" s="177"/>
      <c r="G1210" s="179"/>
      <c r="H1210" s="179"/>
      <c r="I1210" s="177"/>
    </row>
    <row r="1211" spans="3:9">
      <c r="C1211" s="177"/>
      <c r="D1211" s="177"/>
      <c r="E1211" s="177"/>
      <c r="F1211" s="177"/>
      <c r="G1211" s="179"/>
      <c r="H1211" s="179"/>
      <c r="I1211" s="177"/>
    </row>
    <row r="1212" spans="3:9">
      <c r="C1212" s="177"/>
      <c r="D1212" s="177"/>
      <c r="E1212" s="177"/>
      <c r="F1212" s="177"/>
      <c r="G1212" s="179"/>
      <c r="H1212" s="179"/>
      <c r="I1212" s="177"/>
    </row>
    <row r="1213" spans="3:9">
      <c r="C1213" s="177"/>
      <c r="D1213" s="177"/>
      <c r="E1213" s="177"/>
      <c r="F1213" s="177"/>
      <c r="G1213" s="179"/>
      <c r="H1213" s="179"/>
      <c r="I1213" s="177"/>
    </row>
    <row r="1214" spans="3:9">
      <c r="C1214" s="177"/>
      <c r="D1214" s="177"/>
      <c r="E1214" s="177"/>
      <c r="F1214" s="177"/>
      <c r="G1214" s="179"/>
      <c r="H1214" s="179"/>
      <c r="I1214" s="177"/>
    </row>
    <row r="1215" spans="3:9">
      <c r="C1215" s="177"/>
      <c r="D1215" s="177"/>
      <c r="E1215" s="177"/>
      <c r="F1215" s="177"/>
      <c r="G1215" s="179"/>
      <c r="H1215" s="179"/>
      <c r="I1215" s="177"/>
    </row>
    <row r="1216" spans="3:9">
      <c r="C1216" s="177"/>
      <c r="D1216" s="177"/>
      <c r="E1216" s="177"/>
      <c r="F1216" s="177"/>
      <c r="G1216" s="179"/>
      <c r="H1216" s="179"/>
      <c r="I1216" s="177"/>
    </row>
    <row r="1217" spans="3:9">
      <c r="C1217" s="177"/>
      <c r="D1217" s="177"/>
      <c r="E1217" s="177"/>
      <c r="F1217" s="177"/>
      <c r="G1217" s="179"/>
      <c r="H1217" s="179"/>
      <c r="I1217" s="177"/>
    </row>
    <row r="1218" spans="3:9">
      <c r="C1218" s="177"/>
      <c r="D1218" s="177"/>
      <c r="E1218" s="177"/>
      <c r="F1218" s="177"/>
      <c r="G1218" s="179"/>
      <c r="H1218" s="179"/>
      <c r="I1218" s="177"/>
    </row>
    <row r="1219" spans="3:9">
      <c r="C1219" s="177"/>
      <c r="D1219" s="177"/>
      <c r="E1219" s="177"/>
      <c r="F1219" s="177"/>
      <c r="G1219" s="179"/>
      <c r="H1219" s="179"/>
      <c r="I1219" s="177"/>
    </row>
    <row r="1220" spans="3:9">
      <c r="C1220" s="177"/>
      <c r="D1220" s="177"/>
      <c r="E1220" s="177"/>
      <c r="F1220" s="177"/>
      <c r="G1220" s="179"/>
      <c r="H1220" s="179"/>
      <c r="I1220" s="177"/>
    </row>
    <row r="1221" spans="3:9">
      <c r="C1221" s="177"/>
      <c r="D1221" s="177"/>
      <c r="E1221" s="177"/>
      <c r="F1221" s="177"/>
      <c r="G1221" s="179"/>
      <c r="H1221" s="179"/>
      <c r="I1221" s="177"/>
    </row>
    <row r="1222" spans="3:9">
      <c r="C1222" s="177"/>
      <c r="D1222" s="177"/>
      <c r="E1222" s="177"/>
      <c r="F1222" s="177"/>
      <c r="G1222" s="179"/>
      <c r="H1222" s="179"/>
      <c r="I1222" s="177"/>
    </row>
    <row r="1223" spans="3:9">
      <c r="C1223" s="177"/>
      <c r="D1223" s="177"/>
      <c r="E1223" s="177"/>
      <c r="F1223" s="177"/>
      <c r="G1223" s="179"/>
      <c r="H1223" s="179"/>
      <c r="I1223" s="177"/>
    </row>
    <row r="1224" spans="3:9">
      <c r="C1224" s="177"/>
      <c r="D1224" s="177"/>
      <c r="E1224" s="177"/>
      <c r="F1224" s="177"/>
      <c r="G1224" s="179"/>
      <c r="H1224" s="179"/>
      <c r="I1224" s="177"/>
    </row>
    <row r="1225" spans="3:9">
      <c r="C1225" s="177"/>
      <c r="D1225" s="177"/>
      <c r="E1225" s="177"/>
      <c r="F1225" s="177"/>
      <c r="G1225" s="179"/>
      <c r="H1225" s="179"/>
      <c r="I1225" s="177"/>
    </row>
    <row r="1226" spans="3:9">
      <c r="C1226" s="177"/>
      <c r="D1226" s="177"/>
      <c r="E1226" s="177"/>
      <c r="F1226" s="177"/>
      <c r="G1226" s="179"/>
      <c r="H1226" s="179"/>
      <c r="I1226" s="177"/>
    </row>
    <row r="1227" spans="3:9">
      <c r="C1227" s="177"/>
      <c r="D1227" s="177"/>
      <c r="E1227" s="177"/>
      <c r="F1227" s="177"/>
      <c r="G1227" s="179"/>
      <c r="H1227" s="179"/>
      <c r="I1227" s="177"/>
    </row>
    <row r="1228" spans="3:9">
      <c r="C1228" s="177"/>
      <c r="D1228" s="177"/>
      <c r="E1228" s="177"/>
      <c r="F1228" s="177"/>
      <c r="G1228" s="179"/>
      <c r="H1228" s="179"/>
      <c r="I1228" s="177"/>
    </row>
    <row r="1229" spans="3:9">
      <c r="C1229" s="177"/>
      <c r="D1229" s="177"/>
      <c r="E1229" s="177"/>
      <c r="F1229" s="177"/>
      <c r="G1229" s="179"/>
      <c r="H1229" s="179"/>
      <c r="I1229" s="177"/>
    </row>
    <row r="1230" spans="3:9">
      <c r="C1230" s="177"/>
      <c r="D1230" s="177"/>
      <c r="E1230" s="177"/>
      <c r="F1230" s="177"/>
      <c r="G1230" s="179"/>
      <c r="H1230" s="179"/>
      <c r="I1230" s="177"/>
    </row>
    <row r="1231" spans="3:9">
      <c r="C1231" s="177"/>
      <c r="D1231" s="177"/>
      <c r="E1231" s="177"/>
      <c r="F1231" s="177"/>
      <c r="G1231" s="179"/>
      <c r="H1231" s="179"/>
      <c r="I1231" s="177"/>
    </row>
    <row r="1232" spans="3:9">
      <c r="C1232" s="177"/>
      <c r="D1232" s="177"/>
      <c r="E1232" s="177"/>
      <c r="F1232" s="177"/>
      <c r="G1232" s="179"/>
      <c r="H1232" s="179"/>
      <c r="I1232" s="177"/>
    </row>
    <row r="1233" spans="3:9">
      <c r="C1233" s="177"/>
      <c r="D1233" s="177"/>
      <c r="E1233" s="177"/>
      <c r="F1233" s="177"/>
      <c r="G1233" s="179"/>
      <c r="H1233" s="179"/>
      <c r="I1233" s="177"/>
    </row>
    <row r="1234" spans="3:9">
      <c r="C1234" s="177"/>
      <c r="D1234" s="177"/>
      <c r="E1234" s="177"/>
      <c r="F1234" s="177"/>
      <c r="G1234" s="179"/>
      <c r="H1234" s="179"/>
      <c r="I1234" s="177"/>
    </row>
    <row r="1235" spans="3:9">
      <c r="C1235" s="177"/>
      <c r="D1235" s="177"/>
      <c r="E1235" s="177"/>
      <c r="F1235" s="177"/>
      <c r="G1235" s="179"/>
      <c r="H1235" s="179"/>
      <c r="I1235" s="177"/>
    </row>
    <row r="1236" spans="3:9">
      <c r="C1236" s="177"/>
      <c r="D1236" s="177"/>
      <c r="E1236" s="177"/>
      <c r="F1236" s="177"/>
      <c r="G1236" s="179"/>
      <c r="H1236" s="179"/>
      <c r="I1236" s="177"/>
    </row>
    <row r="1237" spans="3:9">
      <c r="C1237" s="177"/>
      <c r="D1237" s="177"/>
      <c r="E1237" s="177"/>
      <c r="F1237" s="177"/>
      <c r="G1237" s="179"/>
      <c r="H1237" s="179"/>
      <c r="I1237" s="177"/>
    </row>
    <row r="1238" spans="3:9">
      <c r="C1238" s="177"/>
      <c r="D1238" s="177"/>
      <c r="E1238" s="177"/>
      <c r="F1238" s="177"/>
      <c r="G1238" s="179"/>
      <c r="H1238" s="179"/>
      <c r="I1238" s="177"/>
    </row>
    <row r="1239" spans="3:9">
      <c r="C1239" s="177"/>
      <c r="D1239" s="177"/>
      <c r="E1239" s="177"/>
      <c r="F1239" s="177"/>
      <c r="G1239" s="179"/>
      <c r="H1239" s="179"/>
      <c r="I1239" s="177"/>
    </row>
    <row r="1240" spans="3:9">
      <c r="C1240" s="177"/>
      <c r="D1240" s="177"/>
      <c r="E1240" s="177"/>
      <c r="F1240" s="177"/>
      <c r="G1240" s="179"/>
      <c r="H1240" s="179"/>
      <c r="I1240" s="177"/>
    </row>
    <row r="1241" spans="3:9">
      <c r="C1241" s="177"/>
      <c r="D1241" s="177"/>
      <c r="E1241" s="177"/>
      <c r="F1241" s="177"/>
      <c r="G1241" s="179"/>
      <c r="H1241" s="179"/>
      <c r="I1241" s="177"/>
    </row>
    <row r="1242" spans="3:9">
      <c r="C1242" s="177"/>
      <c r="D1242" s="177"/>
      <c r="E1242" s="177"/>
      <c r="F1242" s="177"/>
      <c r="G1242" s="179"/>
      <c r="H1242" s="179"/>
      <c r="I1242" s="177"/>
    </row>
    <row r="1243" spans="3:9">
      <c r="C1243" s="177"/>
      <c r="D1243" s="177"/>
      <c r="E1243" s="177"/>
      <c r="F1243" s="177"/>
      <c r="G1243" s="179"/>
      <c r="H1243" s="179"/>
      <c r="I1243" s="177"/>
    </row>
    <row r="1244" spans="3:9">
      <c r="C1244" s="177"/>
      <c r="D1244" s="177"/>
      <c r="E1244" s="177"/>
      <c r="F1244" s="177"/>
      <c r="G1244" s="179"/>
      <c r="H1244" s="179"/>
      <c r="I1244" s="177"/>
    </row>
    <row r="1245" spans="3:9">
      <c r="C1245" s="177"/>
      <c r="D1245" s="177"/>
      <c r="E1245" s="177"/>
      <c r="F1245" s="177"/>
      <c r="G1245" s="179"/>
      <c r="H1245" s="179"/>
      <c r="I1245" s="177"/>
    </row>
    <row r="1246" spans="3:9">
      <c r="C1246" s="177"/>
      <c r="D1246" s="177"/>
      <c r="E1246" s="177"/>
      <c r="F1246" s="177"/>
      <c r="G1246" s="179"/>
      <c r="H1246" s="179"/>
      <c r="I1246" s="177"/>
    </row>
    <row r="1247" spans="3:9">
      <c r="C1247" s="177"/>
      <c r="D1247" s="177"/>
      <c r="E1247" s="177"/>
      <c r="F1247" s="177"/>
      <c r="G1247" s="179"/>
      <c r="H1247" s="179"/>
      <c r="I1247" s="177"/>
    </row>
    <row r="1248" spans="3:9">
      <c r="C1248" s="177"/>
      <c r="D1248" s="177"/>
      <c r="E1248" s="177"/>
      <c r="F1248" s="177"/>
      <c r="G1248" s="179"/>
      <c r="H1248" s="179"/>
      <c r="I1248" s="177"/>
    </row>
    <row r="1249" spans="3:9">
      <c r="C1249" s="177"/>
      <c r="D1249" s="177"/>
      <c r="E1249" s="177"/>
      <c r="F1249" s="177"/>
      <c r="G1249" s="179"/>
      <c r="H1249" s="179"/>
      <c r="I1249" s="177"/>
    </row>
    <row r="1250" spans="3:9">
      <c r="C1250" s="177"/>
      <c r="D1250" s="177"/>
      <c r="E1250" s="177"/>
      <c r="F1250" s="177"/>
      <c r="G1250" s="179"/>
      <c r="H1250" s="179"/>
      <c r="I1250" s="177"/>
    </row>
    <row r="1251" spans="3:9">
      <c r="C1251" s="177"/>
      <c r="D1251" s="177"/>
      <c r="E1251" s="177"/>
      <c r="F1251" s="177"/>
      <c r="G1251" s="179"/>
      <c r="H1251" s="179"/>
      <c r="I1251" s="177"/>
    </row>
    <row r="1252" spans="3:9">
      <c r="C1252" s="177"/>
      <c r="D1252" s="177"/>
      <c r="E1252" s="177"/>
      <c r="F1252" s="177"/>
      <c r="G1252" s="179"/>
      <c r="H1252" s="179"/>
      <c r="I1252" s="177"/>
    </row>
    <row r="1253" spans="3:9">
      <c r="C1253" s="177"/>
      <c r="D1253" s="177"/>
      <c r="E1253" s="177"/>
      <c r="F1253" s="177"/>
      <c r="G1253" s="179"/>
      <c r="H1253" s="179"/>
      <c r="I1253" s="177"/>
    </row>
    <row r="1254" spans="3:9">
      <c r="C1254" s="177"/>
      <c r="D1254" s="177"/>
      <c r="E1254" s="177"/>
      <c r="F1254" s="177"/>
      <c r="G1254" s="179"/>
      <c r="H1254" s="179"/>
      <c r="I1254" s="177"/>
    </row>
    <row r="1255" spans="3:9">
      <c r="C1255" s="177"/>
      <c r="D1255" s="177"/>
      <c r="E1255" s="177"/>
      <c r="F1255" s="177"/>
      <c r="G1255" s="179"/>
      <c r="H1255" s="179"/>
      <c r="I1255" s="177"/>
    </row>
    <row r="1256" spans="3:9">
      <c r="C1256" s="177"/>
      <c r="D1256" s="177"/>
      <c r="E1256" s="177"/>
      <c r="F1256" s="177"/>
      <c r="G1256" s="179"/>
      <c r="H1256" s="179"/>
      <c r="I1256" s="177"/>
    </row>
    <row r="1257" spans="3:9">
      <c r="C1257" s="177"/>
      <c r="D1257" s="177"/>
      <c r="E1257" s="177"/>
      <c r="F1257" s="177"/>
      <c r="G1257" s="179"/>
      <c r="H1257" s="179"/>
      <c r="I1257" s="177"/>
    </row>
    <row r="1258" spans="3:9">
      <c r="C1258" s="177"/>
      <c r="D1258" s="177"/>
      <c r="E1258" s="177"/>
      <c r="F1258" s="177"/>
      <c r="G1258" s="179"/>
      <c r="H1258" s="179"/>
      <c r="I1258" s="177"/>
    </row>
    <row r="1259" spans="3:9">
      <c r="C1259" s="177"/>
      <c r="D1259" s="177"/>
      <c r="E1259" s="177"/>
      <c r="F1259" s="177"/>
      <c r="G1259" s="179"/>
      <c r="H1259" s="179"/>
      <c r="I1259" s="177"/>
    </row>
    <row r="1260" spans="3:9">
      <c r="C1260" s="177"/>
      <c r="D1260" s="177"/>
      <c r="E1260" s="177"/>
      <c r="F1260" s="177"/>
      <c r="G1260" s="179"/>
      <c r="H1260" s="179"/>
      <c r="I1260" s="177"/>
    </row>
    <row r="1261" spans="3:9">
      <c r="C1261" s="177"/>
      <c r="D1261" s="177"/>
      <c r="E1261" s="177"/>
      <c r="F1261" s="177"/>
      <c r="G1261" s="179"/>
      <c r="H1261" s="179"/>
      <c r="I1261" s="177"/>
    </row>
    <row r="1262" spans="3:9">
      <c r="C1262" s="177"/>
      <c r="D1262" s="177"/>
      <c r="E1262" s="177"/>
      <c r="F1262" s="177"/>
      <c r="G1262" s="179"/>
      <c r="H1262" s="179"/>
      <c r="I1262" s="177"/>
    </row>
    <row r="1263" spans="3:9">
      <c r="C1263" s="177"/>
      <c r="D1263" s="177"/>
      <c r="E1263" s="177"/>
      <c r="F1263" s="177"/>
      <c r="G1263" s="179"/>
      <c r="H1263" s="179"/>
      <c r="I1263" s="177"/>
    </row>
    <row r="1264" spans="3:9">
      <c r="C1264" s="177"/>
      <c r="D1264" s="177"/>
      <c r="E1264" s="177"/>
      <c r="F1264" s="177"/>
      <c r="G1264" s="179"/>
      <c r="H1264" s="179"/>
      <c r="I1264" s="177"/>
    </row>
    <row r="1265" spans="3:9">
      <c r="C1265" s="177"/>
      <c r="D1265" s="177"/>
      <c r="E1265" s="177"/>
      <c r="F1265" s="177"/>
      <c r="G1265" s="179"/>
      <c r="H1265" s="179"/>
      <c r="I1265" s="177"/>
    </row>
    <row r="1266" spans="3:9">
      <c r="C1266" s="177"/>
      <c r="D1266" s="177"/>
      <c r="E1266" s="177"/>
      <c r="F1266" s="177"/>
      <c r="G1266" s="179"/>
      <c r="H1266" s="179"/>
      <c r="I1266" s="177"/>
    </row>
    <row r="1267" spans="3:9">
      <c r="C1267" s="177"/>
      <c r="D1267" s="177"/>
      <c r="E1267" s="177"/>
      <c r="F1267" s="177"/>
      <c r="G1267" s="179"/>
      <c r="H1267" s="179"/>
      <c r="I1267" s="177"/>
    </row>
    <row r="1268" spans="3:9">
      <c r="C1268" s="177"/>
      <c r="D1268" s="177"/>
      <c r="E1268" s="177"/>
      <c r="F1268" s="177"/>
      <c r="G1268" s="179"/>
      <c r="H1268" s="179"/>
      <c r="I1268" s="177"/>
    </row>
    <row r="1269" spans="3:9">
      <c r="C1269" s="177"/>
      <c r="D1269" s="177"/>
      <c r="E1269" s="177"/>
      <c r="F1269" s="177"/>
      <c r="G1269" s="179"/>
      <c r="H1269" s="179"/>
      <c r="I1269" s="177"/>
    </row>
    <row r="1270" spans="3:9">
      <c r="C1270" s="177"/>
      <c r="D1270" s="177"/>
      <c r="E1270" s="177"/>
      <c r="F1270" s="177"/>
      <c r="G1270" s="179"/>
      <c r="H1270" s="179"/>
      <c r="I1270" s="177"/>
    </row>
    <row r="1271" spans="3:9">
      <c r="C1271" s="177"/>
      <c r="D1271" s="177"/>
      <c r="E1271" s="177"/>
      <c r="F1271" s="177"/>
      <c r="G1271" s="179"/>
      <c r="H1271" s="179"/>
      <c r="I1271" s="177"/>
    </row>
    <row r="1272" spans="3:9">
      <c r="C1272" s="177"/>
      <c r="D1272" s="177"/>
      <c r="E1272" s="177"/>
      <c r="F1272" s="177"/>
      <c r="G1272" s="179"/>
      <c r="H1272" s="179"/>
      <c r="I1272" s="177"/>
    </row>
    <row r="1273" spans="3:9">
      <c r="C1273" s="177"/>
      <c r="D1273" s="177"/>
      <c r="E1273" s="177"/>
      <c r="F1273" s="177"/>
      <c r="G1273" s="179"/>
      <c r="H1273" s="179"/>
      <c r="I1273" s="177"/>
    </row>
    <row r="1274" spans="3:9">
      <c r="C1274" s="177"/>
      <c r="D1274" s="177"/>
      <c r="E1274" s="177"/>
      <c r="F1274" s="177"/>
      <c r="G1274" s="179"/>
      <c r="H1274" s="179"/>
      <c r="I1274" s="177"/>
    </row>
    <row r="1275" spans="3:9">
      <c r="C1275" s="177"/>
      <c r="D1275" s="177"/>
      <c r="E1275" s="177"/>
      <c r="F1275" s="177"/>
      <c r="G1275" s="179"/>
      <c r="H1275" s="179"/>
      <c r="I1275" s="177"/>
    </row>
    <row r="1276" spans="3:9">
      <c r="C1276" s="177"/>
      <c r="D1276" s="177"/>
      <c r="E1276" s="177"/>
      <c r="F1276" s="177"/>
      <c r="G1276" s="179"/>
      <c r="H1276" s="179"/>
      <c r="I1276" s="177"/>
    </row>
    <row r="1277" spans="3:9">
      <c r="C1277" s="177"/>
      <c r="D1277" s="177"/>
      <c r="E1277" s="177"/>
      <c r="F1277" s="177"/>
      <c r="G1277" s="179"/>
      <c r="H1277" s="179"/>
      <c r="I1277" s="177"/>
    </row>
    <row r="1278" spans="3:9">
      <c r="C1278" s="177"/>
      <c r="D1278" s="177"/>
      <c r="E1278" s="177"/>
      <c r="F1278" s="177"/>
      <c r="G1278" s="179"/>
      <c r="H1278" s="179"/>
      <c r="I1278" s="177"/>
    </row>
    <row r="1279" spans="3:9">
      <c r="C1279" s="177"/>
      <c r="D1279" s="177"/>
      <c r="E1279" s="177"/>
      <c r="F1279" s="177"/>
      <c r="G1279" s="179"/>
      <c r="H1279" s="179"/>
      <c r="I1279" s="177"/>
    </row>
    <row r="1280" spans="3:9">
      <c r="C1280" s="177"/>
      <c r="D1280" s="177"/>
      <c r="E1280" s="177"/>
      <c r="F1280" s="177"/>
      <c r="G1280" s="179"/>
      <c r="H1280" s="179"/>
      <c r="I1280" s="177"/>
    </row>
    <row r="1281" spans="3:9">
      <c r="C1281" s="177"/>
      <c r="D1281" s="177"/>
      <c r="E1281" s="177"/>
      <c r="F1281" s="177"/>
      <c r="G1281" s="179"/>
      <c r="H1281" s="179"/>
      <c r="I1281" s="177"/>
    </row>
    <row r="1282" spans="3:9">
      <c r="C1282" s="177"/>
      <c r="D1282" s="177"/>
      <c r="E1282" s="177"/>
      <c r="F1282" s="177"/>
      <c r="G1282" s="179"/>
      <c r="H1282" s="179"/>
      <c r="I1282" s="177"/>
    </row>
    <row r="1283" spans="3:9">
      <c r="C1283" s="177"/>
      <c r="D1283" s="177"/>
      <c r="E1283" s="177"/>
      <c r="F1283" s="177"/>
      <c r="G1283" s="179"/>
      <c r="H1283" s="179"/>
      <c r="I1283" s="177"/>
    </row>
    <row r="1284" spans="3:9">
      <c r="C1284" s="177"/>
      <c r="D1284" s="177"/>
      <c r="E1284" s="177"/>
      <c r="F1284" s="177"/>
      <c r="G1284" s="179"/>
      <c r="H1284" s="179"/>
      <c r="I1284" s="177"/>
    </row>
    <row r="1285" spans="3:9">
      <c r="C1285" s="177"/>
      <c r="D1285" s="177"/>
      <c r="E1285" s="177"/>
      <c r="F1285" s="177"/>
      <c r="G1285" s="179"/>
      <c r="H1285" s="179"/>
      <c r="I1285" s="177"/>
    </row>
    <row r="1286" spans="3:9">
      <c r="C1286" s="177"/>
      <c r="D1286" s="177"/>
      <c r="E1286" s="177"/>
      <c r="F1286" s="177"/>
      <c r="G1286" s="179"/>
      <c r="H1286" s="179"/>
      <c r="I1286" s="177"/>
    </row>
    <row r="1287" spans="3:9">
      <c r="C1287" s="177"/>
      <c r="D1287" s="177"/>
      <c r="E1287" s="177"/>
      <c r="F1287" s="177"/>
      <c r="G1287" s="179"/>
      <c r="H1287" s="179"/>
      <c r="I1287" s="177"/>
    </row>
    <row r="1288" spans="3:9">
      <c r="C1288" s="177"/>
      <c r="D1288" s="177"/>
      <c r="E1288" s="177"/>
      <c r="F1288" s="177"/>
      <c r="G1288" s="179"/>
      <c r="H1288" s="179"/>
      <c r="I1288" s="177"/>
    </row>
    <row r="1289" spans="3:9">
      <c r="C1289" s="177"/>
      <c r="D1289" s="177"/>
      <c r="E1289" s="177"/>
      <c r="F1289" s="177"/>
      <c r="G1289" s="179"/>
      <c r="H1289" s="179"/>
      <c r="I1289" s="177"/>
    </row>
    <row r="1290" spans="3:9">
      <c r="C1290" s="177"/>
      <c r="D1290" s="177"/>
      <c r="E1290" s="177"/>
      <c r="F1290" s="177"/>
      <c r="G1290" s="179"/>
      <c r="H1290" s="179"/>
      <c r="I1290" s="177"/>
    </row>
    <row r="1291" spans="3:9">
      <c r="C1291" s="177"/>
      <c r="D1291" s="177"/>
      <c r="E1291" s="177"/>
      <c r="F1291" s="177"/>
      <c r="G1291" s="179"/>
      <c r="H1291" s="179"/>
      <c r="I1291" s="177"/>
    </row>
    <row r="1292" spans="3:9">
      <c r="C1292" s="177"/>
      <c r="D1292" s="177"/>
      <c r="E1292" s="177"/>
      <c r="F1292" s="177"/>
      <c r="G1292" s="179"/>
      <c r="H1292" s="179"/>
      <c r="I1292" s="177"/>
    </row>
    <row r="1293" spans="3:9">
      <c r="C1293" s="177"/>
      <c r="D1293" s="177"/>
      <c r="E1293" s="177"/>
      <c r="F1293" s="177"/>
      <c r="G1293" s="179"/>
      <c r="H1293" s="179"/>
      <c r="I1293" s="177"/>
    </row>
    <row r="1294" spans="3:9">
      <c r="C1294" s="177"/>
      <c r="D1294" s="177"/>
      <c r="E1294" s="177"/>
      <c r="F1294" s="177"/>
      <c r="G1294" s="179"/>
      <c r="H1294" s="179"/>
      <c r="I1294" s="177"/>
    </row>
    <row r="1295" spans="3:9">
      <c r="C1295" s="177"/>
      <c r="D1295" s="177"/>
      <c r="E1295" s="177"/>
      <c r="F1295" s="177"/>
      <c r="G1295" s="179"/>
      <c r="H1295" s="179"/>
      <c r="I1295" s="177"/>
    </row>
    <row r="1296" spans="3:9">
      <c r="C1296" s="177"/>
      <c r="D1296" s="177"/>
      <c r="E1296" s="177"/>
      <c r="F1296" s="177"/>
      <c r="G1296" s="179"/>
      <c r="H1296" s="179"/>
      <c r="I1296" s="177"/>
    </row>
    <row r="1297" spans="3:9">
      <c r="C1297" s="177"/>
      <c r="D1297" s="177"/>
      <c r="E1297" s="177"/>
      <c r="F1297" s="177"/>
      <c r="G1297" s="179"/>
      <c r="H1297" s="179"/>
      <c r="I1297" s="177"/>
    </row>
    <row r="1298" spans="3:9">
      <c r="C1298" s="177"/>
      <c r="D1298" s="177"/>
      <c r="E1298" s="177"/>
      <c r="F1298" s="177"/>
      <c r="G1298" s="179"/>
      <c r="H1298" s="179"/>
      <c r="I1298" s="177"/>
    </row>
    <row r="1299" spans="3:9">
      <c r="C1299" s="177"/>
      <c r="D1299" s="177"/>
      <c r="E1299" s="177"/>
      <c r="F1299" s="177"/>
      <c r="G1299" s="179"/>
      <c r="H1299" s="179"/>
      <c r="I1299" s="177"/>
    </row>
    <row r="1300" spans="3:9">
      <c r="C1300" s="177"/>
      <c r="D1300" s="177"/>
      <c r="E1300" s="177"/>
      <c r="F1300" s="177"/>
      <c r="G1300" s="179"/>
      <c r="H1300" s="179"/>
      <c r="I1300" s="177"/>
    </row>
    <row r="1301" spans="3:9">
      <c r="C1301" s="177"/>
      <c r="D1301" s="177"/>
      <c r="E1301" s="177"/>
      <c r="F1301" s="177"/>
      <c r="G1301" s="179"/>
      <c r="H1301" s="179"/>
      <c r="I1301" s="177"/>
    </row>
    <row r="1302" spans="3:9">
      <c r="C1302" s="177"/>
      <c r="D1302" s="177"/>
      <c r="E1302" s="177"/>
      <c r="F1302" s="177"/>
      <c r="G1302" s="179"/>
      <c r="H1302" s="179"/>
      <c r="I1302" s="177"/>
    </row>
    <row r="1303" spans="3:9">
      <c r="C1303" s="177"/>
      <c r="D1303" s="177"/>
      <c r="E1303" s="177"/>
      <c r="F1303" s="177"/>
      <c r="G1303" s="179"/>
      <c r="H1303" s="179"/>
      <c r="I1303" s="177"/>
    </row>
    <row r="1304" spans="3:9">
      <c r="C1304" s="177"/>
      <c r="D1304" s="177"/>
      <c r="E1304" s="177"/>
      <c r="F1304" s="177"/>
      <c r="G1304" s="179"/>
      <c r="H1304" s="179"/>
      <c r="I1304" s="177"/>
    </row>
    <row r="1305" spans="3:9">
      <c r="C1305" s="177"/>
      <c r="D1305" s="177"/>
      <c r="E1305" s="177"/>
      <c r="F1305" s="177"/>
      <c r="G1305" s="179"/>
      <c r="H1305" s="179"/>
      <c r="I1305" s="177"/>
    </row>
    <row r="1306" spans="3:9">
      <c r="C1306" s="177"/>
      <c r="D1306" s="177"/>
      <c r="E1306" s="177"/>
      <c r="F1306" s="177"/>
      <c r="G1306" s="179"/>
      <c r="H1306" s="179"/>
      <c r="I1306" s="177"/>
    </row>
    <row r="1307" spans="3:9">
      <c r="C1307" s="177"/>
      <c r="D1307" s="177"/>
      <c r="E1307" s="177"/>
      <c r="F1307" s="177"/>
      <c r="G1307" s="179"/>
      <c r="H1307" s="179"/>
      <c r="I1307" s="177"/>
    </row>
    <row r="1308" spans="3:9">
      <c r="C1308" s="177"/>
      <c r="D1308" s="177"/>
      <c r="E1308" s="177"/>
      <c r="F1308" s="177"/>
      <c r="G1308" s="179"/>
      <c r="H1308" s="179"/>
      <c r="I1308" s="177"/>
    </row>
    <row r="1309" spans="3:9">
      <c r="C1309" s="177"/>
      <c r="D1309" s="177"/>
      <c r="E1309" s="177"/>
      <c r="F1309" s="177"/>
      <c r="G1309" s="179"/>
      <c r="H1309" s="179"/>
      <c r="I1309" s="177"/>
    </row>
    <row r="1310" spans="3:9">
      <c r="C1310" s="177"/>
      <c r="D1310" s="177"/>
      <c r="E1310" s="177"/>
      <c r="F1310" s="177"/>
      <c r="G1310" s="179"/>
      <c r="H1310" s="179"/>
      <c r="I1310" s="177"/>
    </row>
    <row r="1311" spans="3:9">
      <c r="C1311" s="177"/>
      <c r="D1311" s="177"/>
      <c r="E1311" s="177"/>
      <c r="F1311" s="177"/>
      <c r="G1311" s="179"/>
      <c r="H1311" s="179"/>
      <c r="I1311" s="177"/>
    </row>
    <row r="1312" spans="3:9">
      <c r="C1312" s="177"/>
      <c r="D1312" s="177"/>
      <c r="E1312" s="177"/>
      <c r="F1312" s="177"/>
      <c r="G1312" s="179"/>
      <c r="H1312" s="179"/>
      <c r="I1312" s="177"/>
    </row>
    <row r="1313" spans="3:9">
      <c r="C1313" s="177"/>
      <c r="D1313" s="177"/>
      <c r="E1313" s="177"/>
      <c r="F1313" s="177"/>
      <c r="G1313" s="179"/>
      <c r="H1313" s="179"/>
      <c r="I1313" s="177"/>
    </row>
    <row r="1314" spans="3:9">
      <c r="C1314" s="177"/>
      <c r="D1314" s="177"/>
      <c r="E1314" s="177"/>
      <c r="F1314" s="177"/>
      <c r="G1314" s="179"/>
      <c r="H1314" s="179"/>
      <c r="I1314" s="177"/>
    </row>
    <row r="1315" spans="3:9">
      <c r="C1315" s="177"/>
      <c r="D1315" s="177"/>
      <c r="E1315" s="177"/>
      <c r="F1315" s="177"/>
      <c r="G1315" s="179"/>
      <c r="H1315" s="179"/>
      <c r="I1315" s="177"/>
    </row>
    <row r="1316" spans="3:9">
      <c r="C1316" s="177"/>
      <c r="D1316" s="177"/>
      <c r="E1316" s="177"/>
      <c r="F1316" s="177"/>
      <c r="G1316" s="179"/>
      <c r="H1316" s="179"/>
      <c r="I1316" s="177"/>
    </row>
    <row r="1317" spans="3:9">
      <c r="C1317" s="177"/>
      <c r="D1317" s="177"/>
      <c r="E1317" s="177"/>
      <c r="F1317" s="177"/>
      <c r="G1317" s="179"/>
      <c r="H1317" s="179"/>
      <c r="I1317" s="177"/>
    </row>
    <row r="1318" spans="3:9">
      <c r="C1318" s="177"/>
      <c r="D1318" s="177"/>
      <c r="E1318" s="177"/>
      <c r="F1318" s="177"/>
      <c r="G1318" s="179"/>
      <c r="H1318" s="179"/>
      <c r="I1318" s="177"/>
    </row>
    <row r="1319" spans="3:9">
      <c r="C1319" s="177"/>
      <c r="D1319" s="177"/>
      <c r="E1319" s="177"/>
      <c r="F1319" s="177"/>
      <c r="G1319" s="179"/>
      <c r="H1319" s="179"/>
      <c r="I1319" s="177"/>
    </row>
    <row r="1320" spans="3:9">
      <c r="C1320" s="177"/>
      <c r="D1320" s="177"/>
      <c r="E1320" s="177"/>
      <c r="F1320" s="177"/>
      <c r="G1320" s="179"/>
      <c r="H1320" s="179"/>
      <c r="I1320" s="177"/>
    </row>
    <row r="1321" spans="3:9">
      <c r="C1321" s="177"/>
      <c r="D1321" s="177"/>
      <c r="E1321" s="177"/>
      <c r="F1321" s="177"/>
      <c r="G1321" s="179"/>
      <c r="H1321" s="179"/>
      <c r="I1321" s="177"/>
    </row>
    <row r="1322" spans="3:9">
      <c r="C1322" s="177"/>
      <c r="D1322" s="177"/>
      <c r="E1322" s="177"/>
      <c r="F1322" s="177"/>
      <c r="G1322" s="179"/>
      <c r="H1322" s="179"/>
      <c r="I1322" s="177"/>
    </row>
    <row r="1323" spans="3:9">
      <c r="C1323" s="177"/>
      <c r="D1323" s="177"/>
      <c r="E1323" s="177"/>
      <c r="F1323" s="177"/>
      <c r="G1323" s="179"/>
      <c r="H1323" s="179"/>
      <c r="I1323" s="177"/>
    </row>
    <row r="1324" spans="3:9">
      <c r="C1324" s="177"/>
      <c r="D1324" s="177"/>
      <c r="E1324" s="177"/>
      <c r="F1324" s="177"/>
      <c r="G1324" s="179"/>
      <c r="H1324" s="179"/>
      <c r="I1324" s="177"/>
    </row>
    <row r="1325" spans="3:9">
      <c r="C1325" s="177"/>
      <c r="D1325" s="177"/>
      <c r="E1325" s="177"/>
      <c r="F1325" s="177"/>
      <c r="G1325" s="179"/>
      <c r="H1325" s="179"/>
      <c r="I1325" s="177"/>
    </row>
    <row r="1326" spans="3:9">
      <c r="C1326" s="177"/>
      <c r="D1326" s="177"/>
      <c r="E1326" s="177"/>
      <c r="F1326" s="177"/>
      <c r="G1326" s="179"/>
      <c r="H1326" s="179"/>
      <c r="I1326" s="177"/>
    </row>
    <row r="1327" spans="3:9">
      <c r="C1327" s="177"/>
      <c r="D1327" s="177"/>
      <c r="E1327" s="177"/>
      <c r="F1327" s="177"/>
      <c r="G1327" s="179"/>
      <c r="H1327" s="179"/>
      <c r="I1327" s="177"/>
    </row>
    <row r="1328" spans="3:9">
      <c r="C1328" s="177"/>
      <c r="D1328" s="177"/>
      <c r="E1328" s="177"/>
      <c r="F1328" s="177"/>
      <c r="G1328" s="179"/>
      <c r="H1328" s="179"/>
      <c r="I1328" s="177"/>
    </row>
    <row r="1329" spans="3:9">
      <c r="C1329" s="177"/>
      <c r="D1329" s="177"/>
      <c r="E1329" s="177"/>
      <c r="F1329" s="177"/>
      <c r="G1329" s="179"/>
      <c r="H1329" s="179"/>
      <c r="I1329" s="177"/>
    </row>
    <row r="1330" spans="3:9">
      <c r="C1330" s="177"/>
      <c r="D1330" s="177"/>
      <c r="E1330" s="177"/>
      <c r="F1330" s="177"/>
      <c r="G1330" s="179"/>
      <c r="H1330" s="179"/>
      <c r="I1330" s="177"/>
    </row>
    <row r="1331" spans="3:9">
      <c r="C1331" s="177"/>
      <c r="D1331" s="177"/>
      <c r="E1331" s="177"/>
      <c r="F1331" s="177"/>
      <c r="G1331" s="179"/>
      <c r="H1331" s="179"/>
      <c r="I1331" s="177"/>
    </row>
    <row r="1332" spans="3:9">
      <c r="C1332" s="177"/>
      <c r="D1332" s="177"/>
      <c r="E1332" s="177"/>
      <c r="F1332" s="177"/>
      <c r="G1332" s="179"/>
      <c r="H1332" s="179"/>
      <c r="I1332" s="177"/>
    </row>
    <row r="1333" spans="3:9">
      <c r="C1333" s="177"/>
      <c r="D1333" s="177"/>
      <c r="E1333" s="177"/>
      <c r="F1333" s="177"/>
      <c r="G1333" s="179"/>
      <c r="H1333" s="179"/>
      <c r="I1333" s="177"/>
    </row>
    <row r="1334" spans="3:9">
      <c r="C1334" s="177"/>
      <c r="D1334" s="177"/>
      <c r="E1334" s="177"/>
      <c r="F1334" s="177"/>
      <c r="G1334" s="179"/>
      <c r="H1334" s="179"/>
      <c r="I1334" s="177"/>
    </row>
    <row r="1335" spans="3:9">
      <c r="C1335" s="177"/>
      <c r="D1335" s="177"/>
      <c r="E1335" s="177"/>
      <c r="F1335" s="177"/>
      <c r="G1335" s="179"/>
      <c r="H1335" s="179"/>
      <c r="I1335" s="177"/>
    </row>
    <row r="1336" spans="3:9">
      <c r="C1336" s="177"/>
      <c r="D1336" s="177"/>
      <c r="E1336" s="177"/>
      <c r="F1336" s="177"/>
      <c r="G1336" s="179"/>
      <c r="H1336" s="179"/>
      <c r="I1336" s="177"/>
    </row>
    <row r="1337" spans="3:9">
      <c r="C1337" s="177"/>
      <c r="D1337" s="177"/>
      <c r="E1337" s="177"/>
      <c r="F1337" s="177"/>
      <c r="G1337" s="179"/>
      <c r="H1337" s="179"/>
      <c r="I1337" s="177"/>
    </row>
    <row r="1338" spans="3:9">
      <c r="C1338" s="177"/>
      <c r="D1338" s="177"/>
      <c r="E1338" s="177"/>
      <c r="F1338" s="177"/>
      <c r="G1338" s="179"/>
      <c r="H1338" s="179"/>
      <c r="I1338" s="177"/>
    </row>
    <row r="1339" spans="3:9">
      <c r="C1339" s="177"/>
      <c r="D1339" s="177"/>
      <c r="E1339" s="177"/>
      <c r="F1339" s="177"/>
      <c r="G1339" s="179"/>
      <c r="H1339" s="179"/>
      <c r="I1339" s="177"/>
    </row>
    <row r="1340" spans="3:9">
      <c r="C1340" s="177"/>
      <c r="D1340" s="177"/>
      <c r="E1340" s="177"/>
      <c r="F1340" s="177"/>
      <c r="G1340" s="179"/>
      <c r="H1340" s="179"/>
      <c r="I1340" s="177"/>
    </row>
    <row r="1341" spans="3:9">
      <c r="C1341" s="177"/>
      <c r="D1341" s="177"/>
      <c r="E1341" s="177"/>
      <c r="F1341" s="177"/>
      <c r="G1341" s="179"/>
      <c r="H1341" s="179"/>
      <c r="I1341" s="177"/>
    </row>
    <row r="1342" spans="3:9">
      <c r="C1342" s="177"/>
      <c r="D1342" s="177"/>
      <c r="E1342" s="177"/>
      <c r="F1342" s="177"/>
      <c r="G1342" s="179"/>
      <c r="H1342" s="179"/>
      <c r="I1342" s="177"/>
    </row>
    <row r="1343" spans="3:9">
      <c r="C1343" s="177"/>
      <c r="D1343" s="177"/>
      <c r="E1343" s="177"/>
      <c r="F1343" s="177"/>
      <c r="G1343" s="179"/>
      <c r="H1343" s="179"/>
      <c r="I1343" s="177"/>
    </row>
    <row r="1344" spans="3:9">
      <c r="C1344" s="177"/>
      <c r="D1344" s="177"/>
      <c r="E1344" s="177"/>
      <c r="F1344" s="177"/>
      <c r="G1344" s="179"/>
      <c r="H1344" s="179"/>
      <c r="I1344" s="177"/>
    </row>
    <row r="1345" spans="3:9">
      <c r="C1345" s="177"/>
      <c r="D1345" s="177"/>
      <c r="E1345" s="177"/>
      <c r="F1345" s="177"/>
      <c r="G1345" s="179"/>
      <c r="H1345" s="179"/>
      <c r="I1345" s="177"/>
    </row>
    <row r="1346" spans="3:9">
      <c r="C1346" s="177"/>
      <c r="D1346" s="177"/>
      <c r="E1346" s="177"/>
      <c r="F1346" s="177"/>
      <c r="G1346" s="179"/>
      <c r="H1346" s="179"/>
      <c r="I1346" s="177"/>
    </row>
    <row r="1347" spans="3:9">
      <c r="C1347" s="177"/>
      <c r="D1347" s="177"/>
      <c r="E1347" s="177"/>
      <c r="F1347" s="177"/>
      <c r="G1347" s="179"/>
      <c r="H1347" s="179"/>
      <c r="I1347" s="177"/>
    </row>
    <row r="1348" spans="3:9">
      <c r="C1348" s="177"/>
      <c r="D1348" s="177"/>
      <c r="E1348" s="177"/>
      <c r="F1348" s="177"/>
      <c r="G1348" s="179"/>
      <c r="H1348" s="179"/>
      <c r="I1348" s="177"/>
    </row>
    <row r="1349" spans="3:9">
      <c r="C1349" s="177"/>
      <c r="D1349" s="177"/>
      <c r="E1349" s="177"/>
      <c r="F1349" s="177"/>
      <c r="G1349" s="179"/>
      <c r="H1349" s="179"/>
      <c r="I1349" s="177"/>
    </row>
    <row r="1350" spans="3:9">
      <c r="C1350" s="177"/>
      <c r="D1350" s="177"/>
      <c r="E1350" s="177"/>
      <c r="F1350" s="177"/>
      <c r="G1350" s="179"/>
      <c r="H1350" s="179"/>
      <c r="I1350" s="177"/>
    </row>
    <row r="1351" spans="3:9">
      <c r="C1351" s="177"/>
      <c r="D1351" s="177"/>
      <c r="E1351" s="177"/>
      <c r="F1351" s="177"/>
      <c r="G1351" s="179"/>
      <c r="H1351" s="179"/>
      <c r="I1351" s="177"/>
    </row>
    <row r="1352" spans="3:9">
      <c r="C1352" s="177"/>
      <c r="D1352" s="177"/>
      <c r="E1352" s="177"/>
      <c r="F1352" s="177"/>
      <c r="G1352" s="179"/>
      <c r="H1352" s="179"/>
      <c r="I1352" s="177"/>
    </row>
    <row r="1353" spans="3:9">
      <c r="C1353" s="177"/>
      <c r="D1353" s="177"/>
      <c r="E1353" s="177"/>
      <c r="F1353" s="177"/>
      <c r="G1353" s="179"/>
      <c r="H1353" s="179"/>
      <c r="I1353" s="177"/>
    </row>
    <row r="1354" spans="3:9">
      <c r="C1354" s="177"/>
      <c r="D1354" s="177"/>
      <c r="E1354" s="177"/>
      <c r="F1354" s="177"/>
      <c r="G1354" s="179"/>
      <c r="H1354" s="179"/>
      <c r="I1354" s="177"/>
    </row>
    <row r="1355" spans="3:9">
      <c r="C1355" s="177"/>
      <c r="D1355" s="177"/>
      <c r="E1355" s="177"/>
      <c r="F1355" s="177"/>
      <c r="G1355" s="179"/>
      <c r="H1355" s="179"/>
      <c r="I1355" s="177"/>
    </row>
    <row r="1356" spans="3:9">
      <c r="C1356" s="177"/>
      <c r="D1356" s="177"/>
      <c r="E1356" s="177"/>
      <c r="F1356" s="177"/>
      <c r="G1356" s="179"/>
      <c r="H1356" s="179"/>
      <c r="I1356" s="177"/>
    </row>
    <row r="1357" spans="3:9">
      <c r="C1357" s="177"/>
      <c r="D1357" s="177"/>
      <c r="E1357" s="177"/>
      <c r="F1357" s="177"/>
      <c r="G1357" s="179"/>
      <c r="H1357" s="179"/>
      <c r="I1357" s="177"/>
    </row>
    <row r="1358" spans="3:9">
      <c r="C1358" s="177"/>
      <c r="D1358" s="177"/>
      <c r="E1358" s="177"/>
      <c r="F1358" s="177"/>
      <c r="G1358" s="179"/>
      <c r="H1358" s="179"/>
      <c r="I1358" s="177"/>
    </row>
    <row r="1359" spans="3:9">
      <c r="C1359" s="177"/>
      <c r="D1359" s="177"/>
      <c r="E1359" s="177"/>
      <c r="F1359" s="177"/>
      <c r="G1359" s="179"/>
      <c r="H1359" s="179"/>
      <c r="I1359" s="177"/>
    </row>
    <row r="1360" spans="3:9">
      <c r="C1360" s="177"/>
      <c r="D1360" s="177"/>
      <c r="E1360" s="177"/>
      <c r="F1360" s="177"/>
      <c r="G1360" s="179"/>
      <c r="H1360" s="179"/>
      <c r="I1360" s="177"/>
    </row>
    <row r="1361" spans="3:9">
      <c r="C1361" s="177"/>
      <c r="D1361" s="177"/>
      <c r="E1361" s="177"/>
      <c r="F1361" s="177"/>
      <c r="G1361" s="179"/>
      <c r="H1361" s="179"/>
      <c r="I1361" s="177"/>
    </row>
    <row r="1362" spans="3:9">
      <c r="C1362" s="177"/>
      <c r="D1362" s="177"/>
      <c r="E1362" s="177"/>
      <c r="F1362" s="177"/>
      <c r="G1362" s="179"/>
      <c r="H1362" s="179"/>
      <c r="I1362" s="177"/>
    </row>
    <row r="1363" spans="3:9">
      <c r="C1363" s="177"/>
      <c r="D1363" s="177"/>
      <c r="E1363" s="177"/>
      <c r="F1363" s="177"/>
      <c r="G1363" s="179"/>
      <c r="H1363" s="179"/>
      <c r="I1363" s="177"/>
    </row>
    <row r="1364" spans="3:9">
      <c r="C1364" s="177"/>
      <c r="D1364" s="177"/>
      <c r="E1364" s="177"/>
      <c r="F1364" s="177"/>
      <c r="G1364" s="179"/>
      <c r="H1364" s="179"/>
      <c r="I1364" s="177"/>
    </row>
    <row r="1365" spans="3:9">
      <c r="C1365" s="177"/>
      <c r="D1365" s="177"/>
      <c r="E1365" s="177"/>
      <c r="F1365" s="177"/>
      <c r="G1365" s="179"/>
      <c r="H1365" s="179"/>
      <c r="I1365" s="177"/>
    </row>
    <row r="1366" spans="3:9">
      <c r="C1366" s="177"/>
      <c r="D1366" s="177"/>
      <c r="E1366" s="177"/>
      <c r="F1366" s="177"/>
      <c r="G1366" s="179"/>
      <c r="H1366" s="179"/>
      <c r="I1366" s="177"/>
    </row>
    <row r="1367" spans="3:9">
      <c r="C1367" s="177"/>
      <c r="D1367" s="177"/>
      <c r="E1367" s="177"/>
      <c r="F1367" s="177"/>
      <c r="G1367" s="179"/>
      <c r="H1367" s="179"/>
      <c r="I1367" s="177"/>
    </row>
    <row r="1368" spans="3:9">
      <c r="C1368" s="177"/>
      <c r="D1368" s="177"/>
      <c r="E1368" s="177"/>
      <c r="F1368" s="177"/>
      <c r="G1368" s="179"/>
      <c r="H1368" s="179"/>
      <c r="I1368" s="177"/>
    </row>
    <row r="1369" spans="3:9">
      <c r="C1369" s="177"/>
      <c r="D1369" s="177"/>
      <c r="E1369" s="177"/>
      <c r="F1369" s="177"/>
      <c r="G1369" s="179"/>
      <c r="H1369" s="179"/>
      <c r="I1369" s="177"/>
    </row>
    <row r="1370" spans="3:9">
      <c r="C1370" s="177"/>
      <c r="D1370" s="177"/>
      <c r="E1370" s="177"/>
      <c r="F1370" s="177"/>
      <c r="G1370" s="179"/>
      <c r="H1370" s="179"/>
      <c r="I1370" s="177"/>
    </row>
    <row r="1371" spans="3:9">
      <c r="C1371" s="177"/>
      <c r="D1371" s="177"/>
      <c r="E1371" s="177"/>
      <c r="F1371" s="177"/>
      <c r="G1371" s="179"/>
      <c r="H1371" s="179"/>
      <c r="I1371" s="177"/>
    </row>
    <row r="1372" spans="3:9">
      <c r="C1372" s="177"/>
      <c r="D1372" s="177"/>
      <c r="E1372" s="177"/>
      <c r="F1372" s="177"/>
      <c r="G1372" s="179"/>
      <c r="H1372" s="179"/>
      <c r="I1372" s="177"/>
    </row>
    <row r="1373" spans="3:9">
      <c r="C1373" s="177"/>
      <c r="D1373" s="177"/>
      <c r="E1373" s="177"/>
      <c r="F1373" s="177"/>
      <c r="G1373" s="179"/>
      <c r="H1373" s="179"/>
      <c r="I1373" s="177"/>
    </row>
    <row r="1374" spans="3:9">
      <c r="C1374" s="177"/>
      <c r="D1374" s="177"/>
      <c r="E1374" s="177"/>
      <c r="F1374" s="177"/>
      <c r="G1374" s="179"/>
      <c r="H1374" s="179"/>
      <c r="I1374" s="177"/>
    </row>
    <row r="1375" spans="3:9">
      <c r="C1375" s="177"/>
      <c r="D1375" s="177"/>
      <c r="E1375" s="177"/>
      <c r="F1375" s="177"/>
      <c r="G1375" s="179"/>
      <c r="H1375" s="179"/>
      <c r="I1375" s="177"/>
    </row>
    <row r="1376" spans="3:9">
      <c r="C1376" s="177"/>
      <c r="D1376" s="177"/>
      <c r="E1376" s="177"/>
      <c r="F1376" s="177"/>
      <c r="G1376" s="179"/>
      <c r="H1376" s="179"/>
      <c r="I1376" s="177"/>
    </row>
    <row r="1377" spans="3:9">
      <c r="C1377" s="177"/>
      <c r="D1377" s="177"/>
      <c r="E1377" s="177"/>
      <c r="F1377" s="177"/>
      <c r="G1377" s="179"/>
      <c r="H1377" s="179"/>
      <c r="I1377" s="177"/>
    </row>
    <row r="1378" spans="3:9">
      <c r="C1378" s="177"/>
      <c r="D1378" s="177"/>
      <c r="E1378" s="177"/>
      <c r="F1378" s="177"/>
      <c r="G1378" s="179"/>
      <c r="H1378" s="179"/>
      <c r="I1378" s="177"/>
    </row>
    <row r="1379" spans="3:9">
      <c r="C1379" s="177"/>
      <c r="D1379" s="177"/>
      <c r="E1379" s="177"/>
      <c r="F1379" s="177"/>
      <c r="G1379" s="179"/>
      <c r="H1379" s="179"/>
      <c r="I1379" s="177"/>
    </row>
    <row r="1380" spans="3:9">
      <c r="C1380" s="177"/>
      <c r="D1380" s="177"/>
      <c r="E1380" s="177"/>
      <c r="F1380" s="177"/>
      <c r="G1380" s="179"/>
      <c r="H1380" s="179"/>
      <c r="I1380" s="177"/>
    </row>
    <row r="1381" spans="3:9">
      <c r="C1381" s="177"/>
      <c r="D1381" s="177"/>
      <c r="E1381" s="177"/>
      <c r="F1381" s="177"/>
      <c r="G1381" s="179"/>
      <c r="H1381" s="179"/>
      <c r="I1381" s="177"/>
    </row>
    <row r="1382" spans="3:9">
      <c r="C1382" s="177"/>
      <c r="D1382" s="177"/>
      <c r="E1382" s="177"/>
      <c r="F1382" s="177"/>
      <c r="G1382" s="179"/>
      <c r="H1382" s="179"/>
      <c r="I1382" s="177"/>
    </row>
    <row r="1383" spans="3:9">
      <c r="C1383" s="177"/>
      <c r="D1383" s="177"/>
      <c r="E1383" s="177"/>
      <c r="F1383" s="177"/>
      <c r="G1383" s="179"/>
      <c r="H1383" s="179"/>
      <c r="I1383" s="177"/>
    </row>
    <row r="1384" spans="3:9">
      <c r="C1384" s="177"/>
      <c r="D1384" s="177"/>
      <c r="E1384" s="177"/>
      <c r="F1384" s="177"/>
      <c r="G1384" s="179"/>
      <c r="H1384" s="179"/>
      <c r="I1384" s="177"/>
    </row>
    <row r="1385" spans="3:9">
      <c r="C1385" s="177"/>
      <c r="D1385" s="177"/>
      <c r="E1385" s="177"/>
      <c r="F1385" s="177"/>
      <c r="G1385" s="179"/>
      <c r="H1385" s="179"/>
      <c r="I1385" s="177"/>
    </row>
    <row r="1386" spans="3:9">
      <c r="C1386" s="177"/>
      <c r="D1386" s="177"/>
      <c r="E1386" s="177"/>
      <c r="F1386" s="177"/>
      <c r="G1386" s="179"/>
      <c r="H1386" s="179"/>
      <c r="I1386" s="177"/>
    </row>
    <row r="1387" spans="3:9">
      <c r="C1387" s="177"/>
      <c r="D1387" s="177"/>
      <c r="E1387" s="177"/>
      <c r="F1387" s="177"/>
      <c r="G1387" s="179"/>
      <c r="H1387" s="179"/>
      <c r="I1387" s="177"/>
    </row>
    <row r="1388" spans="3:9">
      <c r="C1388" s="177"/>
      <c r="D1388" s="177"/>
      <c r="E1388" s="177"/>
      <c r="F1388" s="177"/>
      <c r="G1388" s="179"/>
      <c r="H1388" s="179"/>
      <c r="I1388" s="177"/>
    </row>
    <row r="1389" spans="3:9">
      <c r="C1389" s="177"/>
      <c r="D1389" s="177"/>
      <c r="E1389" s="177"/>
      <c r="F1389" s="177"/>
      <c r="G1389" s="179"/>
      <c r="H1389" s="179"/>
      <c r="I1389" s="177"/>
    </row>
    <row r="1390" spans="3:9">
      <c r="C1390" s="177"/>
      <c r="D1390" s="177"/>
      <c r="E1390" s="177"/>
      <c r="F1390" s="177"/>
      <c r="G1390" s="179"/>
      <c r="H1390" s="179"/>
      <c r="I1390" s="177"/>
    </row>
    <row r="1391" spans="3:9">
      <c r="C1391" s="177"/>
      <c r="D1391" s="177"/>
      <c r="E1391" s="177"/>
      <c r="F1391" s="177"/>
      <c r="G1391" s="179"/>
      <c r="H1391" s="179"/>
      <c r="I1391" s="177"/>
    </row>
    <row r="1392" spans="3:9">
      <c r="C1392" s="177"/>
      <c r="D1392" s="177"/>
      <c r="E1392" s="177"/>
      <c r="F1392" s="177"/>
      <c r="G1392" s="179"/>
      <c r="H1392" s="179"/>
      <c r="I1392" s="177"/>
    </row>
    <row r="1393" spans="3:9">
      <c r="C1393" s="177"/>
      <c r="D1393" s="177"/>
      <c r="E1393" s="177"/>
      <c r="F1393" s="177"/>
      <c r="G1393" s="179"/>
      <c r="H1393" s="179"/>
      <c r="I1393" s="177"/>
    </row>
    <row r="1394" spans="3:9">
      <c r="C1394" s="177"/>
      <c r="D1394" s="177"/>
      <c r="E1394" s="177"/>
      <c r="F1394" s="177"/>
      <c r="G1394" s="179"/>
      <c r="H1394" s="179"/>
      <c r="I1394" s="177"/>
    </row>
    <row r="1395" spans="3:9">
      <c r="C1395" s="177"/>
      <c r="D1395" s="177"/>
      <c r="E1395" s="177"/>
      <c r="F1395" s="177"/>
      <c r="G1395" s="179"/>
      <c r="H1395" s="179"/>
      <c r="I1395" s="177"/>
    </row>
    <row r="1396" spans="3:9">
      <c r="C1396" s="177"/>
      <c r="D1396" s="177"/>
      <c r="E1396" s="177"/>
      <c r="F1396" s="177"/>
      <c r="G1396" s="179"/>
      <c r="H1396" s="179"/>
      <c r="I1396" s="177"/>
    </row>
    <row r="1397" spans="3:9">
      <c r="C1397" s="177"/>
      <c r="D1397" s="177"/>
      <c r="E1397" s="177"/>
      <c r="F1397" s="177"/>
      <c r="G1397" s="179"/>
      <c r="H1397" s="179"/>
      <c r="I1397" s="177"/>
    </row>
    <row r="1398" spans="3:9">
      <c r="C1398" s="177"/>
      <c r="D1398" s="177"/>
      <c r="E1398" s="177"/>
      <c r="F1398" s="177"/>
      <c r="G1398" s="179"/>
      <c r="H1398" s="179"/>
      <c r="I1398" s="177"/>
    </row>
    <row r="1399" spans="3:9">
      <c r="C1399" s="177"/>
      <c r="D1399" s="177"/>
      <c r="E1399" s="177"/>
      <c r="F1399" s="177"/>
      <c r="G1399" s="179"/>
      <c r="H1399" s="179"/>
      <c r="I1399" s="177"/>
    </row>
    <row r="1400" spans="3:9">
      <c r="C1400" s="177"/>
      <c r="D1400" s="177"/>
      <c r="E1400" s="177"/>
      <c r="F1400" s="177"/>
      <c r="G1400" s="179"/>
      <c r="H1400" s="179"/>
      <c r="I1400" s="177"/>
    </row>
    <row r="1401" spans="3:9">
      <c r="C1401" s="177"/>
      <c r="D1401" s="177"/>
      <c r="E1401" s="177"/>
      <c r="F1401" s="177"/>
      <c r="G1401" s="179"/>
      <c r="H1401" s="179"/>
      <c r="I1401" s="177"/>
    </row>
    <row r="1402" spans="3:9">
      <c r="C1402" s="177"/>
      <c r="D1402" s="177"/>
      <c r="E1402" s="177"/>
      <c r="F1402" s="177"/>
      <c r="G1402" s="179"/>
      <c r="H1402" s="179"/>
      <c r="I1402" s="177"/>
    </row>
    <row r="1403" spans="3:9">
      <c r="C1403" s="177"/>
      <c r="D1403" s="177"/>
      <c r="E1403" s="177"/>
      <c r="F1403" s="177"/>
      <c r="G1403" s="179"/>
      <c r="H1403" s="179"/>
      <c r="I1403" s="177"/>
    </row>
    <row r="1404" spans="3:9">
      <c r="C1404" s="177"/>
      <c r="D1404" s="177"/>
      <c r="E1404" s="177"/>
      <c r="F1404" s="177"/>
      <c r="G1404" s="179"/>
      <c r="H1404" s="179"/>
      <c r="I1404" s="177"/>
    </row>
    <row r="1405" spans="3:9">
      <c r="C1405" s="177"/>
      <c r="D1405" s="177"/>
      <c r="E1405" s="177"/>
      <c r="F1405" s="177"/>
      <c r="G1405" s="179"/>
      <c r="H1405" s="179"/>
      <c r="I1405" s="177"/>
    </row>
    <row r="1406" spans="3:9">
      <c r="C1406" s="177"/>
      <c r="D1406" s="177"/>
      <c r="E1406" s="177"/>
      <c r="F1406" s="177"/>
      <c r="G1406" s="179"/>
      <c r="H1406" s="179"/>
      <c r="I1406" s="177"/>
    </row>
    <row r="1407" spans="3:9">
      <c r="C1407" s="177"/>
      <c r="D1407" s="177"/>
      <c r="E1407" s="177"/>
      <c r="F1407" s="177"/>
      <c r="G1407" s="179"/>
      <c r="H1407" s="179"/>
      <c r="I1407" s="177"/>
    </row>
    <row r="1408" spans="3:9">
      <c r="C1408" s="177"/>
      <c r="D1408" s="177"/>
      <c r="E1408" s="177"/>
      <c r="F1408" s="177"/>
      <c r="G1408" s="179"/>
      <c r="H1408" s="179"/>
      <c r="I1408" s="177"/>
    </row>
    <row r="1409" spans="3:9">
      <c r="C1409" s="177"/>
      <c r="D1409" s="177"/>
      <c r="E1409" s="177"/>
      <c r="F1409" s="177"/>
      <c r="G1409" s="179"/>
      <c r="H1409" s="179"/>
      <c r="I1409" s="177"/>
    </row>
    <row r="1410" spans="3:9">
      <c r="C1410" s="177"/>
      <c r="D1410" s="177"/>
      <c r="E1410" s="177"/>
      <c r="F1410" s="177"/>
      <c r="G1410" s="179"/>
      <c r="H1410" s="179"/>
      <c r="I1410" s="177"/>
    </row>
    <row r="1411" spans="3:9">
      <c r="C1411" s="177"/>
      <c r="D1411" s="177"/>
      <c r="E1411" s="177"/>
      <c r="F1411" s="177"/>
      <c r="G1411" s="179"/>
      <c r="H1411" s="179"/>
      <c r="I1411" s="177"/>
    </row>
    <row r="1412" spans="3:9">
      <c r="C1412" s="177"/>
      <c r="D1412" s="177"/>
      <c r="E1412" s="177"/>
      <c r="F1412" s="177"/>
      <c r="G1412" s="179"/>
      <c r="H1412" s="179"/>
      <c r="I1412" s="177"/>
    </row>
    <row r="1413" spans="3:9">
      <c r="C1413" s="177"/>
      <c r="D1413" s="177"/>
      <c r="E1413" s="177"/>
      <c r="F1413" s="177"/>
      <c r="G1413" s="179"/>
      <c r="H1413" s="179"/>
      <c r="I1413" s="177"/>
    </row>
    <row r="1414" spans="3:9">
      <c r="C1414" s="177"/>
      <c r="D1414" s="177"/>
      <c r="E1414" s="177"/>
      <c r="F1414" s="177"/>
      <c r="G1414" s="179"/>
      <c r="H1414" s="179"/>
      <c r="I1414" s="177"/>
    </row>
    <row r="1415" spans="3:9">
      <c r="C1415" s="177"/>
      <c r="D1415" s="177"/>
      <c r="E1415" s="177"/>
      <c r="F1415" s="177"/>
      <c r="G1415" s="179"/>
      <c r="H1415" s="179"/>
      <c r="I1415" s="177"/>
    </row>
    <row r="1416" spans="3:9">
      <c r="C1416" s="177"/>
      <c r="D1416" s="177"/>
      <c r="E1416" s="177"/>
      <c r="F1416" s="177"/>
      <c r="G1416" s="179"/>
      <c r="H1416" s="179"/>
      <c r="I1416" s="177"/>
    </row>
    <row r="1417" spans="3:9">
      <c r="C1417" s="177"/>
      <c r="D1417" s="177"/>
      <c r="E1417" s="177"/>
      <c r="F1417" s="177"/>
      <c r="G1417" s="179"/>
      <c r="H1417" s="179"/>
      <c r="I1417" s="177"/>
    </row>
    <row r="1418" spans="3:9">
      <c r="C1418" s="177"/>
      <c r="D1418" s="177"/>
      <c r="E1418" s="177"/>
      <c r="F1418" s="177"/>
      <c r="G1418" s="179"/>
      <c r="H1418" s="179"/>
      <c r="I1418" s="177"/>
    </row>
    <row r="1419" spans="3:9">
      <c r="C1419" s="177"/>
      <c r="D1419" s="177"/>
      <c r="E1419" s="177"/>
      <c r="F1419" s="177"/>
      <c r="G1419" s="179"/>
      <c r="H1419" s="179"/>
      <c r="I1419" s="177"/>
    </row>
    <row r="1420" spans="3:9">
      <c r="C1420" s="177"/>
      <c r="D1420" s="177"/>
      <c r="E1420" s="177"/>
      <c r="F1420" s="177"/>
      <c r="G1420" s="179"/>
      <c r="H1420" s="179"/>
      <c r="I1420" s="177"/>
    </row>
    <row r="1421" spans="3:9">
      <c r="C1421" s="177"/>
      <c r="D1421" s="177"/>
      <c r="E1421" s="177"/>
      <c r="F1421" s="177"/>
      <c r="G1421" s="179"/>
      <c r="H1421" s="179"/>
      <c r="I1421" s="177"/>
    </row>
    <row r="1422" spans="3:9">
      <c r="C1422" s="177"/>
      <c r="D1422" s="177"/>
      <c r="E1422" s="177"/>
      <c r="F1422" s="177"/>
      <c r="G1422" s="179"/>
      <c r="H1422" s="179"/>
      <c r="I1422" s="177"/>
    </row>
    <row r="1423" spans="3:9">
      <c r="C1423" s="177"/>
      <c r="D1423" s="177"/>
      <c r="E1423" s="177"/>
      <c r="F1423" s="177"/>
      <c r="G1423" s="179"/>
      <c r="H1423" s="179"/>
      <c r="I1423" s="177"/>
    </row>
    <row r="1424" spans="3:9">
      <c r="C1424" s="177"/>
      <c r="D1424" s="177"/>
      <c r="E1424" s="177"/>
      <c r="F1424" s="177"/>
      <c r="G1424" s="179"/>
      <c r="H1424" s="179"/>
      <c r="I1424" s="177"/>
    </row>
    <row r="1425" spans="3:9">
      <c r="C1425" s="177"/>
      <c r="D1425" s="177"/>
      <c r="E1425" s="177"/>
      <c r="F1425" s="177"/>
      <c r="G1425" s="179"/>
      <c r="H1425" s="179"/>
      <c r="I1425" s="177"/>
    </row>
    <row r="1426" spans="3:9">
      <c r="C1426" s="177"/>
      <c r="D1426" s="177"/>
      <c r="E1426" s="177"/>
      <c r="F1426" s="177"/>
      <c r="G1426" s="179"/>
      <c r="H1426" s="179"/>
      <c r="I1426" s="177"/>
    </row>
    <row r="1427" spans="3:9">
      <c r="C1427" s="177"/>
      <c r="D1427" s="177"/>
      <c r="E1427" s="177"/>
      <c r="F1427" s="177"/>
      <c r="G1427" s="179"/>
      <c r="H1427" s="179"/>
      <c r="I1427" s="177"/>
    </row>
    <row r="1428" spans="3:9">
      <c r="C1428" s="177"/>
      <c r="D1428" s="177"/>
      <c r="E1428" s="177"/>
      <c r="F1428" s="177"/>
      <c r="G1428" s="179"/>
      <c r="H1428" s="179"/>
      <c r="I1428" s="177"/>
    </row>
    <row r="1429" spans="3:9">
      <c r="C1429" s="177"/>
      <c r="D1429" s="177"/>
      <c r="E1429" s="177"/>
      <c r="F1429" s="177"/>
      <c r="G1429" s="179"/>
      <c r="H1429" s="179"/>
      <c r="I1429" s="177"/>
    </row>
    <row r="1430" spans="3:9">
      <c r="C1430" s="177"/>
      <c r="D1430" s="177"/>
      <c r="E1430" s="177"/>
      <c r="F1430" s="177"/>
      <c r="G1430" s="179"/>
      <c r="H1430" s="179"/>
      <c r="I1430" s="177"/>
    </row>
    <row r="1431" spans="3:9">
      <c r="C1431" s="177"/>
      <c r="D1431" s="177"/>
      <c r="E1431" s="177"/>
      <c r="F1431" s="177"/>
      <c r="G1431" s="179"/>
      <c r="H1431" s="179"/>
      <c r="I1431" s="177"/>
    </row>
    <row r="1432" spans="3:9">
      <c r="C1432" s="177"/>
      <c r="D1432" s="177"/>
      <c r="E1432" s="177"/>
      <c r="F1432" s="177"/>
      <c r="G1432" s="179"/>
      <c r="H1432" s="179"/>
      <c r="I1432" s="177"/>
    </row>
    <row r="1433" spans="3:9">
      <c r="C1433" s="177"/>
      <c r="D1433" s="177"/>
      <c r="E1433" s="177"/>
      <c r="F1433" s="177"/>
      <c r="G1433" s="179"/>
      <c r="H1433" s="179"/>
      <c r="I1433" s="177"/>
    </row>
    <row r="1434" spans="3:9">
      <c r="C1434" s="177"/>
      <c r="D1434" s="177"/>
      <c r="E1434" s="177"/>
      <c r="F1434" s="177"/>
      <c r="G1434" s="179"/>
      <c r="H1434" s="179"/>
      <c r="I1434" s="177"/>
    </row>
    <row r="1435" spans="3:9">
      <c r="C1435" s="177"/>
      <c r="D1435" s="177"/>
      <c r="E1435" s="177"/>
      <c r="F1435" s="177"/>
      <c r="G1435" s="179"/>
      <c r="H1435" s="179"/>
      <c r="I1435" s="177"/>
    </row>
    <row r="1436" spans="3:9">
      <c r="C1436" s="177"/>
      <c r="D1436" s="177"/>
      <c r="E1436" s="177"/>
      <c r="F1436" s="177"/>
      <c r="G1436" s="179"/>
      <c r="H1436" s="179"/>
      <c r="I1436" s="177"/>
    </row>
    <row r="1437" spans="3:9">
      <c r="C1437" s="177"/>
      <c r="D1437" s="177"/>
      <c r="E1437" s="177"/>
      <c r="F1437" s="177"/>
      <c r="G1437" s="179"/>
      <c r="H1437" s="179"/>
      <c r="I1437" s="177"/>
    </row>
    <row r="1438" spans="3:9">
      <c r="C1438" s="177"/>
      <c r="D1438" s="177"/>
      <c r="E1438" s="177"/>
      <c r="F1438" s="177"/>
      <c r="G1438" s="179"/>
      <c r="H1438" s="179"/>
      <c r="I1438" s="177"/>
    </row>
    <row r="1439" spans="3:9">
      <c r="C1439" s="177"/>
      <c r="D1439" s="177"/>
      <c r="E1439" s="177"/>
      <c r="F1439" s="177"/>
      <c r="G1439" s="179"/>
      <c r="H1439" s="179"/>
      <c r="I1439" s="177"/>
    </row>
    <row r="1440" spans="3:9">
      <c r="C1440" s="177"/>
      <c r="D1440" s="177"/>
      <c r="E1440" s="177"/>
      <c r="F1440" s="177"/>
      <c r="G1440" s="179"/>
      <c r="H1440" s="179"/>
      <c r="I1440" s="177"/>
    </row>
    <row r="1441" spans="3:9">
      <c r="C1441" s="177"/>
      <c r="D1441" s="177"/>
      <c r="E1441" s="177"/>
      <c r="F1441" s="177"/>
      <c r="G1441" s="179"/>
      <c r="H1441" s="179"/>
      <c r="I1441" s="177"/>
    </row>
    <row r="1442" spans="3:9">
      <c r="C1442" s="177"/>
      <c r="D1442" s="177"/>
      <c r="E1442" s="177"/>
      <c r="F1442" s="177"/>
      <c r="G1442" s="179"/>
      <c r="H1442" s="179"/>
      <c r="I1442" s="177"/>
    </row>
    <row r="1443" spans="3:9">
      <c r="C1443" s="177"/>
      <c r="D1443" s="177"/>
      <c r="E1443" s="177"/>
      <c r="F1443" s="177"/>
      <c r="G1443" s="179"/>
      <c r="H1443" s="179"/>
      <c r="I1443" s="177"/>
    </row>
    <row r="1444" spans="3:9">
      <c r="C1444" s="177"/>
      <c r="D1444" s="177"/>
      <c r="E1444" s="177"/>
      <c r="F1444" s="177"/>
      <c r="G1444" s="179"/>
      <c r="H1444" s="179"/>
      <c r="I1444" s="177"/>
    </row>
    <row r="1445" spans="3:9">
      <c r="C1445" s="177"/>
      <c r="D1445" s="177"/>
      <c r="E1445" s="177"/>
      <c r="F1445" s="177"/>
      <c r="G1445" s="179"/>
      <c r="H1445" s="179"/>
      <c r="I1445" s="177"/>
    </row>
    <row r="1446" spans="3:9">
      <c r="C1446" s="177"/>
      <c r="D1446" s="177"/>
      <c r="E1446" s="177"/>
      <c r="F1446" s="177"/>
      <c r="G1446" s="179"/>
      <c r="H1446" s="179"/>
      <c r="I1446" s="177"/>
    </row>
    <row r="1447" spans="3:9">
      <c r="C1447" s="177"/>
      <c r="D1447" s="177"/>
      <c r="E1447" s="177"/>
      <c r="F1447" s="177"/>
      <c r="G1447" s="179"/>
      <c r="H1447" s="179"/>
      <c r="I1447" s="177"/>
    </row>
    <row r="1448" spans="3:9">
      <c r="C1448" s="177"/>
      <c r="D1448" s="177"/>
      <c r="E1448" s="177"/>
      <c r="F1448" s="177"/>
      <c r="G1448" s="179"/>
      <c r="H1448" s="179"/>
      <c r="I1448" s="177"/>
    </row>
    <row r="1449" spans="3:9">
      <c r="C1449" s="177"/>
      <c r="D1449" s="177"/>
      <c r="E1449" s="177"/>
      <c r="F1449" s="177"/>
      <c r="G1449" s="179"/>
      <c r="H1449" s="179"/>
      <c r="I1449" s="177"/>
    </row>
    <row r="1450" spans="3:9">
      <c r="C1450" s="177"/>
      <c r="D1450" s="177"/>
      <c r="E1450" s="177"/>
      <c r="F1450" s="177"/>
      <c r="G1450" s="179"/>
      <c r="H1450" s="179"/>
      <c r="I1450" s="177"/>
    </row>
    <row r="1451" spans="3:9">
      <c r="C1451" s="177"/>
      <c r="D1451" s="177"/>
      <c r="E1451" s="177"/>
      <c r="F1451" s="177"/>
      <c r="G1451" s="179"/>
      <c r="H1451" s="179"/>
      <c r="I1451" s="177"/>
    </row>
    <row r="1452" spans="3:9">
      <c r="C1452" s="177"/>
      <c r="D1452" s="177"/>
      <c r="E1452" s="177"/>
      <c r="F1452" s="177"/>
      <c r="G1452" s="179"/>
      <c r="H1452" s="179"/>
      <c r="I1452" s="177"/>
    </row>
    <row r="1453" spans="3:9">
      <c r="C1453" s="177"/>
      <c r="D1453" s="177"/>
      <c r="E1453" s="177"/>
      <c r="F1453" s="177"/>
      <c r="G1453" s="179"/>
      <c r="H1453" s="179"/>
      <c r="I1453" s="177"/>
    </row>
    <row r="1454" spans="3:9">
      <c r="C1454" s="177"/>
      <c r="D1454" s="177"/>
      <c r="E1454" s="177"/>
      <c r="F1454" s="177"/>
      <c r="G1454" s="179"/>
      <c r="H1454" s="179"/>
      <c r="I1454" s="177"/>
    </row>
    <row r="1455" spans="3:9">
      <c r="C1455" s="177"/>
      <c r="D1455" s="177"/>
      <c r="E1455" s="177"/>
      <c r="F1455" s="177"/>
      <c r="G1455" s="179"/>
      <c r="H1455" s="179"/>
      <c r="I1455" s="177"/>
    </row>
    <row r="1456" spans="3:9">
      <c r="C1456" s="177"/>
      <c r="D1456" s="177"/>
      <c r="E1456" s="177"/>
      <c r="F1456" s="177"/>
      <c r="G1456" s="179"/>
      <c r="H1456" s="179"/>
      <c r="I1456" s="177"/>
    </row>
    <row r="1457" spans="3:9">
      <c r="C1457" s="177"/>
      <c r="D1457" s="177"/>
      <c r="E1457" s="177"/>
      <c r="F1457" s="177"/>
      <c r="G1457" s="179"/>
      <c r="H1457" s="179"/>
      <c r="I1457" s="177"/>
    </row>
    <row r="1458" spans="3:9">
      <c r="C1458" s="177"/>
      <c r="D1458" s="177"/>
      <c r="E1458" s="177"/>
      <c r="F1458" s="177"/>
      <c r="G1458" s="179"/>
      <c r="H1458" s="179"/>
      <c r="I1458" s="177"/>
    </row>
    <row r="1459" spans="3:9">
      <c r="C1459" s="177"/>
      <c r="D1459" s="177"/>
      <c r="E1459" s="177"/>
      <c r="F1459" s="177"/>
      <c r="G1459" s="179"/>
      <c r="H1459" s="179"/>
      <c r="I1459" s="177"/>
    </row>
    <row r="1460" spans="3:9">
      <c r="C1460" s="177"/>
      <c r="D1460" s="177"/>
      <c r="E1460" s="177"/>
      <c r="F1460" s="177"/>
      <c r="G1460" s="179"/>
      <c r="H1460" s="179"/>
      <c r="I1460" s="177"/>
    </row>
    <row r="1461" spans="3:9">
      <c r="C1461" s="177"/>
      <c r="D1461" s="177"/>
      <c r="E1461" s="177"/>
      <c r="F1461" s="177"/>
      <c r="G1461" s="179"/>
      <c r="H1461" s="179"/>
      <c r="I1461" s="177"/>
    </row>
    <row r="1462" spans="3:9">
      <c r="C1462" s="177"/>
      <c r="D1462" s="177"/>
      <c r="E1462" s="177"/>
      <c r="F1462" s="177"/>
      <c r="G1462" s="179"/>
      <c r="H1462" s="179"/>
      <c r="I1462" s="177"/>
    </row>
    <row r="1463" spans="3:9">
      <c r="C1463" s="177"/>
      <c r="D1463" s="177"/>
      <c r="E1463" s="177"/>
      <c r="F1463" s="177"/>
      <c r="G1463" s="179"/>
      <c r="H1463" s="179"/>
      <c r="I1463" s="177"/>
    </row>
    <row r="1464" spans="3:9">
      <c r="C1464" s="177"/>
      <c r="D1464" s="177"/>
      <c r="E1464" s="177"/>
      <c r="F1464" s="177"/>
      <c r="G1464" s="179"/>
      <c r="H1464" s="179"/>
      <c r="I1464" s="177"/>
    </row>
    <row r="1465" spans="3:9">
      <c r="C1465" s="177"/>
      <c r="D1465" s="177"/>
      <c r="E1465" s="177"/>
      <c r="F1465" s="177"/>
      <c r="G1465" s="179"/>
      <c r="H1465" s="179"/>
      <c r="I1465" s="177"/>
    </row>
    <row r="1466" spans="3:9">
      <c r="C1466" s="177"/>
      <c r="D1466" s="177"/>
      <c r="E1466" s="177"/>
      <c r="F1466" s="177"/>
      <c r="G1466" s="179"/>
      <c r="H1466" s="179"/>
      <c r="I1466" s="177"/>
    </row>
    <row r="1467" spans="3:9">
      <c r="C1467" s="177"/>
      <c r="D1467" s="177"/>
      <c r="E1467" s="177"/>
      <c r="F1467" s="177"/>
      <c r="G1467" s="179"/>
      <c r="H1467" s="179"/>
      <c r="I1467" s="177"/>
    </row>
    <row r="1468" spans="3:9">
      <c r="C1468" s="177"/>
      <c r="D1468" s="177"/>
      <c r="E1468" s="177"/>
      <c r="F1468" s="177"/>
      <c r="G1468" s="179"/>
      <c r="H1468" s="179"/>
      <c r="I1468" s="177"/>
    </row>
    <row r="1469" spans="3:9">
      <c r="C1469" s="177"/>
      <c r="D1469" s="177"/>
      <c r="E1469" s="177"/>
      <c r="F1469" s="177"/>
      <c r="G1469" s="179"/>
      <c r="H1469" s="179"/>
      <c r="I1469" s="177"/>
    </row>
    <row r="1470" spans="3:9">
      <c r="C1470" s="177"/>
      <c r="D1470" s="177"/>
      <c r="E1470" s="177"/>
      <c r="F1470" s="177"/>
      <c r="G1470" s="179"/>
      <c r="H1470" s="179"/>
      <c r="I1470" s="177"/>
    </row>
    <row r="1471" spans="3:9">
      <c r="C1471" s="177"/>
      <c r="D1471" s="177"/>
      <c r="E1471" s="177"/>
      <c r="F1471" s="177"/>
      <c r="G1471" s="179"/>
      <c r="H1471" s="179"/>
      <c r="I1471" s="177"/>
    </row>
    <row r="1472" spans="3:9">
      <c r="C1472" s="177"/>
      <c r="D1472" s="177"/>
      <c r="E1472" s="177"/>
      <c r="F1472" s="177"/>
      <c r="G1472" s="179"/>
      <c r="H1472" s="179"/>
      <c r="I1472" s="177"/>
    </row>
    <row r="1473" spans="3:9">
      <c r="C1473" s="177"/>
      <c r="D1473" s="177"/>
      <c r="E1473" s="177"/>
      <c r="F1473" s="177"/>
      <c r="G1473" s="179"/>
      <c r="H1473" s="179"/>
      <c r="I1473" s="177"/>
    </row>
    <row r="1474" spans="3:9">
      <c r="C1474" s="177"/>
      <c r="D1474" s="177"/>
      <c r="E1474" s="177"/>
      <c r="F1474" s="177"/>
      <c r="G1474" s="179"/>
      <c r="H1474" s="179"/>
      <c r="I1474" s="177"/>
    </row>
    <row r="1475" spans="3:9">
      <c r="C1475" s="177"/>
      <c r="D1475" s="177"/>
      <c r="E1475" s="177"/>
      <c r="F1475" s="177"/>
      <c r="G1475" s="179"/>
      <c r="H1475" s="179"/>
      <c r="I1475" s="177"/>
    </row>
    <row r="1476" spans="3:9">
      <c r="C1476" s="177"/>
      <c r="D1476" s="177"/>
      <c r="E1476" s="177"/>
      <c r="F1476" s="177"/>
      <c r="G1476" s="179"/>
      <c r="H1476" s="179"/>
      <c r="I1476" s="177"/>
    </row>
    <row r="1477" spans="3:9">
      <c r="C1477" s="177"/>
      <c r="D1477" s="177"/>
      <c r="E1477" s="177"/>
      <c r="F1477" s="177"/>
      <c r="G1477" s="179"/>
      <c r="H1477" s="179"/>
      <c r="I1477" s="177"/>
    </row>
    <row r="1478" spans="3:9">
      <c r="C1478" s="177"/>
      <c r="D1478" s="177"/>
      <c r="E1478" s="177"/>
      <c r="F1478" s="177"/>
      <c r="G1478" s="179"/>
      <c r="H1478" s="179"/>
      <c r="I1478" s="177"/>
    </row>
    <row r="1479" spans="3:9">
      <c r="C1479" s="177"/>
      <c r="D1479" s="177"/>
      <c r="E1479" s="177"/>
      <c r="F1479" s="177"/>
      <c r="G1479" s="179"/>
      <c r="H1479" s="179"/>
      <c r="I1479" s="177"/>
    </row>
    <row r="1480" spans="3:9">
      <c r="C1480" s="177"/>
      <c r="D1480" s="177"/>
      <c r="E1480" s="177"/>
      <c r="F1480" s="177"/>
      <c r="G1480" s="179"/>
      <c r="H1480" s="179"/>
      <c r="I1480" s="177"/>
    </row>
    <row r="1481" spans="3:9">
      <c r="C1481" s="177"/>
      <c r="D1481" s="177"/>
      <c r="E1481" s="177"/>
      <c r="F1481" s="177"/>
      <c r="G1481" s="179"/>
      <c r="H1481" s="179"/>
      <c r="I1481" s="177"/>
    </row>
    <row r="1482" spans="3:9">
      <c r="C1482" s="177"/>
      <c r="D1482" s="177"/>
      <c r="E1482" s="177"/>
      <c r="F1482" s="177"/>
      <c r="G1482" s="179"/>
      <c r="H1482" s="179"/>
      <c r="I1482" s="177"/>
    </row>
    <row r="1483" spans="3:9">
      <c r="C1483" s="177"/>
      <c r="D1483" s="177"/>
      <c r="E1483" s="177"/>
      <c r="F1483" s="177"/>
      <c r="G1483" s="179"/>
      <c r="H1483" s="179"/>
      <c r="I1483" s="177"/>
    </row>
    <row r="1484" spans="3:9">
      <c r="C1484" s="177"/>
      <c r="D1484" s="177"/>
      <c r="E1484" s="177"/>
      <c r="F1484" s="177"/>
      <c r="G1484" s="179"/>
      <c r="H1484" s="179"/>
      <c r="I1484" s="177"/>
    </row>
    <row r="1485" spans="3:9">
      <c r="C1485" s="177"/>
      <c r="D1485" s="177"/>
      <c r="E1485" s="177"/>
      <c r="F1485" s="177"/>
      <c r="G1485" s="179"/>
      <c r="H1485" s="179"/>
      <c r="I1485" s="177"/>
    </row>
    <row r="1486" spans="3:9">
      <c r="C1486" s="177"/>
      <c r="D1486" s="177"/>
      <c r="E1486" s="177"/>
      <c r="F1486" s="177"/>
      <c r="G1486" s="179"/>
      <c r="H1486" s="179"/>
      <c r="I1486" s="177"/>
    </row>
    <row r="1487" spans="3:9">
      <c r="C1487" s="177"/>
      <c r="D1487" s="177"/>
      <c r="E1487" s="177"/>
      <c r="F1487" s="177"/>
      <c r="G1487" s="179"/>
      <c r="H1487" s="179"/>
      <c r="I1487" s="177"/>
    </row>
    <row r="1488" spans="3:9">
      <c r="C1488" s="177"/>
      <c r="D1488" s="177"/>
      <c r="E1488" s="177"/>
      <c r="F1488" s="177"/>
      <c r="G1488" s="179"/>
      <c r="H1488" s="179"/>
      <c r="I1488" s="177"/>
    </row>
    <row r="1489" spans="3:9">
      <c r="C1489" s="177"/>
      <c r="D1489" s="177"/>
      <c r="E1489" s="177"/>
      <c r="F1489" s="177"/>
      <c r="G1489" s="179"/>
      <c r="H1489" s="179"/>
      <c r="I1489" s="177"/>
    </row>
    <row r="1490" spans="3:9">
      <c r="C1490" s="177"/>
      <c r="D1490" s="177"/>
      <c r="E1490" s="177"/>
      <c r="F1490" s="177"/>
      <c r="G1490" s="179"/>
      <c r="H1490" s="179"/>
      <c r="I1490" s="177"/>
    </row>
    <row r="1491" spans="3:9">
      <c r="C1491" s="177"/>
      <c r="D1491" s="177"/>
      <c r="E1491" s="177"/>
      <c r="F1491" s="177"/>
      <c r="G1491" s="179"/>
      <c r="H1491" s="179"/>
      <c r="I1491" s="177"/>
    </row>
    <row r="1492" spans="3:9">
      <c r="C1492" s="177"/>
      <c r="D1492" s="177"/>
      <c r="E1492" s="177"/>
      <c r="F1492" s="177"/>
      <c r="G1492" s="179"/>
      <c r="H1492" s="179"/>
      <c r="I1492" s="177"/>
    </row>
    <row r="1493" spans="3:9">
      <c r="C1493" s="177"/>
      <c r="D1493" s="177"/>
      <c r="E1493" s="177"/>
      <c r="F1493" s="177"/>
      <c r="G1493" s="179"/>
      <c r="H1493" s="179"/>
      <c r="I1493" s="177"/>
    </row>
    <row r="1494" spans="3:9">
      <c r="C1494" s="177"/>
      <c r="D1494" s="177"/>
      <c r="E1494" s="177"/>
      <c r="F1494" s="177"/>
      <c r="G1494" s="179"/>
      <c r="H1494" s="179"/>
      <c r="I1494" s="177"/>
    </row>
    <row r="1495" spans="3:9">
      <c r="C1495" s="177"/>
      <c r="D1495" s="177"/>
      <c r="E1495" s="177"/>
      <c r="F1495" s="177"/>
      <c r="G1495" s="179"/>
      <c r="H1495" s="179"/>
      <c r="I1495" s="177"/>
    </row>
    <row r="1496" spans="3:9">
      <c r="C1496" s="177"/>
      <c r="D1496" s="177"/>
      <c r="E1496" s="177"/>
      <c r="F1496" s="177"/>
      <c r="G1496" s="179"/>
      <c r="H1496" s="179"/>
      <c r="I1496" s="177"/>
    </row>
    <row r="1497" spans="3:9">
      <c r="C1497" s="177"/>
      <c r="D1497" s="177"/>
      <c r="E1497" s="177"/>
      <c r="F1497" s="177"/>
      <c r="G1497" s="179"/>
      <c r="H1497" s="179"/>
      <c r="I1497" s="177"/>
    </row>
    <row r="1498" spans="3:9">
      <c r="C1498" s="177"/>
      <c r="D1498" s="177"/>
      <c r="E1498" s="177"/>
      <c r="F1498" s="177"/>
      <c r="G1498" s="179"/>
      <c r="H1498" s="179"/>
      <c r="I1498" s="177"/>
    </row>
    <row r="1499" spans="3:9">
      <c r="C1499" s="177"/>
      <c r="D1499" s="177"/>
      <c r="E1499" s="177"/>
      <c r="F1499" s="177"/>
      <c r="G1499" s="179"/>
      <c r="H1499" s="179"/>
      <c r="I1499" s="177"/>
    </row>
    <row r="1500" spans="3:9">
      <c r="C1500" s="177"/>
      <c r="D1500" s="177"/>
      <c r="E1500" s="177"/>
      <c r="F1500" s="177"/>
      <c r="G1500" s="179"/>
      <c r="H1500" s="179"/>
      <c r="I1500" s="177"/>
    </row>
    <row r="1501" spans="3:9">
      <c r="C1501" s="177"/>
      <c r="D1501" s="177"/>
      <c r="E1501" s="177"/>
      <c r="F1501" s="177"/>
      <c r="G1501" s="179"/>
      <c r="H1501" s="179"/>
      <c r="I1501" s="177"/>
    </row>
    <row r="1502" spans="3:9">
      <c r="C1502" s="177"/>
      <c r="D1502" s="177"/>
      <c r="E1502" s="177"/>
      <c r="F1502" s="177"/>
      <c r="G1502" s="179"/>
      <c r="H1502" s="179"/>
      <c r="I1502" s="177"/>
    </row>
    <row r="1503" spans="3:9">
      <c r="C1503" s="177"/>
      <c r="D1503" s="177"/>
      <c r="E1503" s="177"/>
      <c r="F1503" s="177"/>
      <c r="G1503" s="179"/>
      <c r="H1503" s="179"/>
      <c r="I1503" s="177"/>
    </row>
    <row r="1504" spans="3:9">
      <c r="C1504" s="177"/>
      <c r="D1504" s="177"/>
      <c r="E1504" s="177"/>
      <c r="F1504" s="177"/>
      <c r="G1504" s="179"/>
      <c r="H1504" s="179"/>
      <c r="I1504" s="177"/>
    </row>
    <row r="1505" spans="3:9">
      <c r="C1505" s="177"/>
      <c r="D1505" s="177"/>
      <c r="E1505" s="177"/>
      <c r="F1505" s="177"/>
      <c r="G1505" s="179"/>
      <c r="H1505" s="179"/>
      <c r="I1505" s="177"/>
    </row>
    <row r="1506" spans="3:9">
      <c r="C1506" s="177"/>
      <c r="D1506" s="177"/>
      <c r="E1506" s="177"/>
      <c r="F1506" s="177"/>
      <c r="G1506" s="179"/>
      <c r="H1506" s="179"/>
      <c r="I1506" s="177"/>
    </row>
    <row r="1507" spans="3:9">
      <c r="C1507" s="177"/>
      <c r="D1507" s="177"/>
      <c r="E1507" s="177"/>
      <c r="F1507" s="177"/>
      <c r="G1507" s="179"/>
      <c r="H1507" s="179"/>
      <c r="I1507" s="177"/>
    </row>
    <row r="1508" spans="3:9">
      <c r="C1508" s="177"/>
      <c r="D1508" s="177"/>
      <c r="E1508" s="177"/>
      <c r="F1508" s="177"/>
      <c r="G1508" s="179"/>
      <c r="H1508" s="179"/>
      <c r="I1508" s="177"/>
    </row>
    <row r="1509" spans="3:9">
      <c r="C1509" s="177"/>
      <c r="D1509" s="177"/>
      <c r="E1509" s="177"/>
      <c r="F1509" s="177"/>
      <c r="G1509" s="179"/>
      <c r="H1509" s="179"/>
      <c r="I1509" s="177"/>
    </row>
    <row r="1510" spans="3:9">
      <c r="C1510" s="177"/>
      <c r="D1510" s="177"/>
      <c r="E1510" s="177"/>
      <c r="F1510" s="177"/>
      <c r="G1510" s="179"/>
      <c r="H1510" s="179"/>
      <c r="I1510" s="177"/>
    </row>
    <row r="1511" spans="3:9">
      <c r="C1511" s="177"/>
      <c r="D1511" s="177"/>
      <c r="E1511" s="177"/>
      <c r="F1511" s="177"/>
      <c r="G1511" s="179"/>
      <c r="H1511" s="179"/>
      <c r="I1511" s="177"/>
    </row>
    <row r="1512" spans="3:9">
      <c r="C1512" s="177"/>
      <c r="D1512" s="177"/>
      <c r="E1512" s="177"/>
      <c r="F1512" s="177"/>
      <c r="G1512" s="179"/>
      <c r="H1512" s="179"/>
      <c r="I1512" s="177"/>
    </row>
    <row r="1513" spans="3:9">
      <c r="C1513" s="177"/>
      <c r="D1513" s="177"/>
      <c r="E1513" s="177"/>
      <c r="F1513" s="177"/>
      <c r="G1513" s="179"/>
      <c r="H1513" s="179"/>
      <c r="I1513" s="177"/>
    </row>
    <row r="1514" spans="3:9">
      <c r="C1514" s="177"/>
      <c r="D1514" s="177"/>
      <c r="E1514" s="177"/>
      <c r="F1514" s="177"/>
      <c r="G1514" s="179"/>
      <c r="H1514" s="179"/>
      <c r="I1514" s="177"/>
    </row>
    <row r="1515" spans="3:9">
      <c r="C1515" s="177"/>
      <c r="D1515" s="177"/>
      <c r="E1515" s="177"/>
      <c r="F1515" s="177"/>
      <c r="G1515" s="179"/>
      <c r="H1515" s="179"/>
      <c r="I1515" s="177"/>
    </row>
    <row r="1516" spans="3:9">
      <c r="C1516" s="177"/>
      <c r="D1516" s="177"/>
      <c r="E1516" s="177"/>
      <c r="F1516" s="177"/>
      <c r="G1516" s="179"/>
      <c r="H1516" s="179"/>
      <c r="I1516" s="177"/>
    </row>
    <row r="1517" spans="3:9">
      <c r="C1517" s="177"/>
      <c r="D1517" s="177"/>
      <c r="E1517" s="177"/>
      <c r="F1517" s="177"/>
      <c r="G1517" s="179"/>
      <c r="H1517" s="179"/>
      <c r="I1517" s="177"/>
    </row>
    <row r="1518" spans="3:9">
      <c r="C1518" s="177"/>
      <c r="D1518" s="177"/>
      <c r="E1518" s="177"/>
      <c r="F1518" s="177"/>
      <c r="G1518" s="179"/>
      <c r="H1518" s="179"/>
      <c r="I1518" s="177"/>
    </row>
    <row r="1519" spans="3:9">
      <c r="C1519" s="177"/>
      <c r="D1519" s="177"/>
      <c r="E1519" s="177"/>
      <c r="F1519" s="177"/>
      <c r="G1519" s="179"/>
      <c r="H1519" s="179"/>
      <c r="I1519" s="177"/>
    </row>
    <row r="1520" spans="3:9">
      <c r="C1520" s="177"/>
      <c r="D1520" s="177"/>
      <c r="E1520" s="177"/>
      <c r="F1520" s="177"/>
      <c r="G1520" s="179"/>
      <c r="H1520" s="179"/>
      <c r="I1520" s="177"/>
    </row>
    <row r="1521" spans="3:9">
      <c r="C1521" s="177"/>
      <c r="D1521" s="177"/>
      <c r="E1521" s="177"/>
      <c r="F1521" s="177"/>
      <c r="G1521" s="179"/>
      <c r="H1521" s="179"/>
      <c r="I1521" s="177"/>
    </row>
    <row r="1522" spans="3:9">
      <c r="C1522" s="177"/>
      <c r="D1522" s="177"/>
      <c r="E1522" s="177"/>
      <c r="F1522" s="177"/>
      <c r="G1522" s="179"/>
      <c r="H1522" s="179"/>
      <c r="I1522" s="177"/>
    </row>
    <row r="1523" spans="3:9">
      <c r="C1523" s="177"/>
      <c r="D1523" s="177"/>
      <c r="E1523" s="177"/>
      <c r="F1523" s="177"/>
      <c r="G1523" s="179"/>
      <c r="H1523" s="179"/>
      <c r="I1523" s="177"/>
    </row>
    <row r="1524" spans="3:9">
      <c r="C1524" s="177"/>
      <c r="D1524" s="177"/>
      <c r="E1524" s="177"/>
      <c r="F1524" s="177"/>
      <c r="G1524" s="179"/>
      <c r="H1524" s="179"/>
      <c r="I1524" s="177"/>
    </row>
    <row r="1525" spans="3:9">
      <c r="C1525" s="177"/>
      <c r="D1525" s="177"/>
      <c r="E1525" s="177"/>
      <c r="F1525" s="177"/>
      <c r="G1525" s="179"/>
      <c r="H1525" s="179"/>
      <c r="I1525" s="177"/>
    </row>
    <row r="1526" spans="3:9">
      <c r="C1526" s="177"/>
      <c r="D1526" s="177"/>
      <c r="E1526" s="177"/>
      <c r="F1526" s="177"/>
      <c r="G1526" s="179"/>
      <c r="H1526" s="179"/>
      <c r="I1526" s="177"/>
    </row>
    <row r="1527" spans="3:9">
      <c r="C1527" s="177"/>
      <c r="D1527" s="177"/>
      <c r="E1527" s="177"/>
      <c r="F1527" s="177"/>
      <c r="G1527" s="179"/>
      <c r="H1527" s="179"/>
      <c r="I1527" s="177"/>
    </row>
    <row r="1528" spans="3:9">
      <c r="C1528" s="177"/>
      <c r="D1528" s="177"/>
      <c r="E1528" s="177"/>
      <c r="F1528" s="177"/>
      <c r="G1528" s="179"/>
      <c r="H1528" s="179"/>
      <c r="I1528" s="177"/>
    </row>
    <row r="1529" spans="3:9">
      <c r="C1529" s="177"/>
      <c r="D1529" s="177"/>
      <c r="E1529" s="177"/>
      <c r="F1529" s="177"/>
      <c r="G1529" s="179"/>
      <c r="H1529" s="179"/>
      <c r="I1529" s="177"/>
    </row>
    <row r="1530" spans="3:9">
      <c r="C1530" s="177"/>
      <c r="D1530" s="177"/>
      <c r="E1530" s="177"/>
      <c r="F1530" s="177"/>
      <c r="G1530" s="179"/>
      <c r="H1530" s="179"/>
      <c r="I1530" s="177"/>
    </row>
    <row r="1531" spans="3:9">
      <c r="C1531" s="177"/>
      <c r="D1531" s="177"/>
      <c r="E1531" s="177"/>
      <c r="F1531" s="177"/>
      <c r="G1531" s="179"/>
      <c r="H1531" s="179"/>
      <c r="I1531" s="177"/>
    </row>
    <row r="1532" spans="3:9">
      <c r="C1532" s="177"/>
      <c r="D1532" s="177"/>
      <c r="E1532" s="177"/>
      <c r="F1532" s="177"/>
      <c r="G1532" s="179"/>
      <c r="H1532" s="179"/>
      <c r="I1532" s="177"/>
    </row>
    <row r="1533" spans="3:9">
      <c r="C1533" s="177"/>
      <c r="D1533" s="177"/>
      <c r="E1533" s="177"/>
      <c r="F1533" s="177"/>
      <c r="G1533" s="179"/>
      <c r="H1533" s="179"/>
      <c r="I1533" s="177"/>
    </row>
    <row r="1534" spans="3:9">
      <c r="C1534" s="177"/>
      <c r="D1534" s="177"/>
      <c r="E1534" s="177"/>
      <c r="F1534" s="177"/>
      <c r="G1534" s="179"/>
      <c r="H1534" s="179"/>
      <c r="I1534" s="177"/>
    </row>
    <row r="1535" spans="3:9">
      <c r="C1535" s="177"/>
      <c r="D1535" s="177"/>
      <c r="E1535" s="177"/>
      <c r="F1535" s="177"/>
      <c r="G1535" s="179"/>
      <c r="H1535" s="179"/>
      <c r="I1535" s="177"/>
    </row>
    <row r="1536" spans="3:9">
      <c r="C1536" s="177"/>
      <c r="D1536" s="177"/>
      <c r="E1536" s="177"/>
      <c r="F1536" s="177"/>
      <c r="G1536" s="179"/>
      <c r="H1536" s="179"/>
      <c r="I1536" s="177"/>
    </row>
    <row r="1537" spans="3:9">
      <c r="C1537" s="177"/>
      <c r="D1537" s="177"/>
      <c r="E1537" s="177"/>
      <c r="F1537" s="177"/>
      <c r="G1537" s="179"/>
      <c r="H1537" s="179"/>
      <c r="I1537" s="177"/>
    </row>
    <row r="1538" spans="3:9">
      <c r="C1538" s="177"/>
      <c r="D1538" s="177"/>
      <c r="E1538" s="177"/>
      <c r="F1538" s="177"/>
      <c r="G1538" s="179"/>
      <c r="H1538" s="179"/>
      <c r="I1538" s="177"/>
    </row>
    <row r="1539" spans="3:9">
      <c r="C1539" s="177"/>
      <c r="D1539" s="177"/>
      <c r="E1539" s="177"/>
      <c r="F1539" s="177"/>
      <c r="G1539" s="179"/>
      <c r="H1539" s="179"/>
      <c r="I1539" s="177"/>
    </row>
    <row r="1540" spans="3:9">
      <c r="C1540" s="177"/>
      <c r="D1540" s="177"/>
      <c r="E1540" s="177"/>
      <c r="F1540" s="177"/>
      <c r="G1540" s="179"/>
      <c r="H1540" s="179"/>
      <c r="I1540" s="177"/>
    </row>
    <row r="1541" spans="3:9">
      <c r="C1541" s="177"/>
      <c r="D1541" s="177"/>
      <c r="E1541" s="177"/>
      <c r="F1541" s="177"/>
      <c r="G1541" s="179"/>
      <c r="H1541" s="179"/>
      <c r="I1541" s="177"/>
    </row>
    <row r="1542" spans="3:9">
      <c r="C1542" s="177"/>
      <c r="D1542" s="177"/>
      <c r="E1542" s="177"/>
      <c r="F1542" s="177"/>
      <c r="G1542" s="179"/>
      <c r="H1542" s="179"/>
      <c r="I1542" s="177"/>
    </row>
    <row r="1543" spans="3:9">
      <c r="C1543" s="177"/>
      <c r="D1543" s="177"/>
      <c r="E1543" s="177"/>
      <c r="F1543" s="177"/>
      <c r="G1543" s="179"/>
      <c r="H1543" s="179"/>
      <c r="I1543" s="177"/>
    </row>
    <row r="1544" spans="3:9">
      <c r="C1544" s="177"/>
      <c r="D1544" s="177"/>
      <c r="E1544" s="177"/>
      <c r="F1544" s="177"/>
      <c r="G1544" s="179"/>
      <c r="H1544" s="179"/>
      <c r="I1544" s="177"/>
    </row>
    <row r="1545" spans="3:9">
      <c r="C1545" s="177"/>
      <c r="D1545" s="177"/>
      <c r="E1545" s="177"/>
      <c r="F1545" s="177"/>
      <c r="G1545" s="179"/>
      <c r="H1545" s="179"/>
      <c r="I1545" s="177"/>
    </row>
    <row r="1546" spans="3:9">
      <c r="C1546" s="177"/>
      <c r="D1546" s="177"/>
      <c r="E1546" s="177"/>
      <c r="F1546" s="177"/>
      <c r="G1546" s="179"/>
      <c r="H1546" s="179"/>
      <c r="I1546" s="177"/>
    </row>
    <row r="1547" spans="3:9">
      <c r="C1547" s="177"/>
      <c r="D1547" s="177"/>
      <c r="E1547" s="177"/>
      <c r="F1547" s="177"/>
      <c r="G1547" s="179"/>
      <c r="H1547" s="179"/>
      <c r="I1547" s="177"/>
    </row>
    <row r="1548" spans="3:9">
      <c r="C1548" s="177"/>
      <c r="D1548" s="177"/>
      <c r="E1548" s="177"/>
      <c r="F1548" s="177"/>
      <c r="G1548" s="179"/>
      <c r="H1548" s="179"/>
      <c r="I1548" s="177"/>
    </row>
    <row r="1549" spans="3:9">
      <c r="C1549" s="177"/>
      <c r="D1549" s="177"/>
      <c r="E1549" s="177"/>
      <c r="F1549" s="177"/>
      <c r="G1549" s="179"/>
      <c r="H1549" s="179"/>
      <c r="I1549" s="177"/>
    </row>
    <row r="1550" spans="3:9">
      <c r="C1550" s="177"/>
      <c r="D1550" s="177"/>
      <c r="E1550" s="177"/>
      <c r="F1550" s="177"/>
      <c r="G1550" s="179"/>
      <c r="H1550" s="179"/>
      <c r="I1550" s="177"/>
    </row>
    <row r="1551" spans="3:9">
      <c r="C1551" s="177"/>
      <c r="D1551" s="177"/>
      <c r="E1551" s="177"/>
      <c r="F1551" s="177"/>
      <c r="G1551" s="179"/>
      <c r="H1551" s="179"/>
      <c r="I1551" s="177"/>
    </row>
    <row r="1552" spans="3:9">
      <c r="C1552" s="177"/>
      <c r="D1552" s="177"/>
      <c r="E1552" s="177"/>
      <c r="F1552" s="177"/>
      <c r="G1552" s="179"/>
      <c r="H1552" s="179"/>
      <c r="I1552" s="177"/>
    </row>
    <row r="1553" spans="3:9">
      <c r="C1553" s="177"/>
      <c r="D1553" s="177"/>
      <c r="E1553" s="177"/>
      <c r="F1553" s="177"/>
      <c r="G1553" s="179"/>
      <c r="H1553" s="179"/>
      <c r="I1553" s="177"/>
    </row>
    <row r="1554" spans="3:9">
      <c r="C1554" s="177"/>
      <c r="D1554" s="177"/>
      <c r="E1554" s="177"/>
      <c r="F1554" s="177"/>
      <c r="G1554" s="179"/>
      <c r="H1554" s="179"/>
      <c r="I1554" s="177"/>
    </row>
    <row r="1555" spans="3:9">
      <c r="C1555" s="177"/>
      <c r="D1555" s="177"/>
      <c r="E1555" s="177"/>
      <c r="F1555" s="177"/>
      <c r="G1555" s="179"/>
      <c r="H1555" s="179"/>
      <c r="I1555" s="177"/>
    </row>
    <row r="1556" spans="3:9">
      <c r="C1556" s="177"/>
      <c r="D1556" s="177"/>
      <c r="E1556" s="177"/>
      <c r="F1556" s="177"/>
      <c r="G1556" s="179"/>
      <c r="H1556" s="179"/>
      <c r="I1556" s="177"/>
    </row>
    <row r="1557" spans="3:9">
      <c r="C1557" s="177"/>
      <c r="D1557" s="177"/>
      <c r="E1557" s="177"/>
      <c r="F1557" s="177"/>
      <c r="G1557" s="179"/>
      <c r="H1557" s="179"/>
      <c r="I1557" s="177"/>
    </row>
    <row r="1558" spans="3:9">
      <c r="C1558" s="177"/>
      <c r="D1558" s="177"/>
      <c r="E1558" s="177"/>
      <c r="F1558" s="177"/>
      <c r="G1558" s="179"/>
      <c r="H1558" s="179"/>
      <c r="I1558" s="177"/>
    </row>
    <row r="1559" spans="3:9">
      <c r="C1559" s="177"/>
      <c r="D1559" s="177"/>
      <c r="E1559" s="177"/>
      <c r="F1559" s="177"/>
      <c r="G1559" s="179"/>
      <c r="H1559" s="179"/>
      <c r="I1559" s="177"/>
    </row>
    <row r="1560" spans="3:9">
      <c r="C1560" s="177"/>
      <c r="D1560" s="177"/>
      <c r="E1560" s="177"/>
      <c r="F1560" s="177"/>
      <c r="G1560" s="179"/>
      <c r="H1560" s="179"/>
      <c r="I1560" s="177"/>
    </row>
    <row r="1561" spans="3:9">
      <c r="C1561" s="177"/>
      <c r="D1561" s="177"/>
      <c r="E1561" s="177"/>
      <c r="F1561" s="177"/>
      <c r="G1561" s="179"/>
      <c r="H1561" s="179"/>
      <c r="I1561" s="177"/>
    </row>
    <row r="1562" spans="3:9">
      <c r="C1562" s="177"/>
      <c r="D1562" s="177"/>
      <c r="E1562" s="177"/>
      <c r="F1562" s="177"/>
      <c r="G1562" s="179"/>
      <c r="H1562" s="179"/>
      <c r="I1562" s="177"/>
    </row>
    <row r="1563" spans="3:9">
      <c r="C1563" s="177"/>
      <c r="D1563" s="177"/>
      <c r="E1563" s="177"/>
      <c r="F1563" s="177"/>
      <c r="G1563" s="179"/>
      <c r="H1563" s="179"/>
      <c r="I1563" s="177"/>
    </row>
    <row r="1564" spans="3:9">
      <c r="C1564" s="177"/>
      <c r="D1564" s="177"/>
      <c r="E1564" s="177"/>
      <c r="F1564" s="177"/>
      <c r="G1564" s="179"/>
      <c r="H1564" s="179"/>
      <c r="I1564" s="177"/>
    </row>
    <row r="1565" spans="3:9">
      <c r="C1565" s="177"/>
      <c r="D1565" s="177"/>
      <c r="E1565" s="177"/>
      <c r="F1565" s="177"/>
      <c r="G1565" s="179"/>
      <c r="H1565" s="179"/>
      <c r="I1565" s="177"/>
    </row>
    <row r="1566" spans="3:9">
      <c r="C1566" s="177"/>
      <c r="D1566" s="177"/>
      <c r="E1566" s="177"/>
      <c r="F1566" s="177"/>
      <c r="G1566" s="179"/>
      <c r="H1566" s="179"/>
      <c r="I1566" s="177"/>
    </row>
    <row r="1567" spans="3:9">
      <c r="C1567" s="177"/>
      <c r="D1567" s="177"/>
      <c r="E1567" s="177"/>
      <c r="F1567" s="177"/>
      <c r="G1567" s="179"/>
      <c r="H1567" s="179"/>
      <c r="I1567" s="177"/>
    </row>
    <row r="1568" spans="3:9">
      <c r="C1568" s="177"/>
      <c r="D1568" s="177"/>
      <c r="E1568" s="177"/>
      <c r="F1568" s="177"/>
      <c r="G1568" s="179"/>
      <c r="H1568" s="179"/>
      <c r="I1568" s="177"/>
    </row>
    <row r="1569" spans="3:9">
      <c r="C1569" s="177"/>
      <c r="D1569" s="177"/>
      <c r="E1569" s="177"/>
      <c r="F1569" s="177"/>
      <c r="G1569" s="179"/>
      <c r="H1569" s="179"/>
      <c r="I1569" s="177"/>
    </row>
    <row r="1570" spans="3:9">
      <c r="C1570" s="177"/>
      <c r="D1570" s="177"/>
      <c r="E1570" s="177"/>
      <c r="F1570" s="177"/>
      <c r="G1570" s="179"/>
      <c r="H1570" s="179"/>
      <c r="I1570" s="177"/>
    </row>
    <row r="1571" spans="3:9">
      <c r="C1571" s="177"/>
      <c r="D1571" s="177"/>
      <c r="E1571" s="177"/>
      <c r="F1571" s="177"/>
      <c r="G1571" s="179"/>
      <c r="H1571" s="179"/>
      <c r="I1571" s="177"/>
    </row>
    <row r="1572" spans="3:9">
      <c r="C1572" s="177"/>
      <c r="D1572" s="177"/>
      <c r="E1572" s="177"/>
      <c r="F1572" s="177"/>
      <c r="G1572" s="179"/>
      <c r="H1572" s="179"/>
      <c r="I1572" s="177"/>
    </row>
    <row r="1573" spans="3:9">
      <c r="C1573" s="177"/>
      <c r="D1573" s="177"/>
      <c r="E1573" s="177"/>
      <c r="F1573" s="177"/>
      <c r="G1573" s="179"/>
      <c r="H1573" s="179"/>
      <c r="I1573" s="177"/>
    </row>
    <row r="1574" spans="3:9">
      <c r="C1574" s="177"/>
      <c r="D1574" s="177"/>
      <c r="E1574" s="177"/>
      <c r="F1574" s="177"/>
      <c r="G1574" s="179"/>
      <c r="H1574" s="179"/>
      <c r="I1574" s="177"/>
    </row>
    <row r="1575" spans="3:9">
      <c r="C1575" s="177"/>
      <c r="D1575" s="177"/>
      <c r="E1575" s="177"/>
      <c r="F1575" s="177"/>
      <c r="G1575" s="179"/>
      <c r="H1575" s="179"/>
      <c r="I1575" s="177"/>
    </row>
    <row r="1576" spans="3:9">
      <c r="C1576" s="177"/>
      <c r="D1576" s="177"/>
      <c r="E1576" s="177"/>
      <c r="F1576" s="177"/>
      <c r="G1576" s="179"/>
      <c r="H1576" s="179"/>
      <c r="I1576" s="177"/>
    </row>
    <row r="1577" spans="3:9">
      <c r="C1577" s="177"/>
      <c r="D1577" s="177"/>
      <c r="E1577" s="177"/>
      <c r="F1577" s="177"/>
      <c r="G1577" s="179"/>
      <c r="H1577" s="179"/>
      <c r="I1577" s="177"/>
    </row>
    <row r="1578" spans="3:9">
      <c r="C1578" s="177"/>
      <c r="D1578" s="177"/>
      <c r="E1578" s="177"/>
      <c r="F1578" s="177"/>
      <c r="G1578" s="179"/>
      <c r="H1578" s="179"/>
      <c r="I1578" s="177"/>
    </row>
    <row r="1579" spans="3:9">
      <c r="C1579" s="177"/>
      <c r="D1579" s="177"/>
      <c r="E1579" s="177"/>
      <c r="F1579" s="177"/>
      <c r="G1579" s="179"/>
      <c r="H1579" s="179"/>
      <c r="I1579" s="177"/>
    </row>
    <row r="1580" spans="3:9">
      <c r="C1580" s="177"/>
      <c r="D1580" s="177"/>
      <c r="E1580" s="177"/>
      <c r="F1580" s="177"/>
      <c r="G1580" s="179"/>
      <c r="H1580" s="179"/>
      <c r="I1580" s="177"/>
    </row>
    <row r="1581" spans="3:9">
      <c r="C1581" s="177"/>
      <c r="D1581" s="177"/>
      <c r="E1581" s="177"/>
      <c r="F1581" s="177"/>
      <c r="G1581" s="179"/>
      <c r="H1581" s="179"/>
      <c r="I1581" s="177"/>
    </row>
    <row r="1582" spans="3:9">
      <c r="C1582" s="177"/>
      <c r="D1582" s="177"/>
      <c r="E1582" s="177"/>
      <c r="F1582" s="177"/>
      <c r="G1582" s="179"/>
      <c r="H1582" s="179"/>
      <c r="I1582" s="177"/>
    </row>
    <row r="1583" spans="3:9">
      <c r="C1583" s="177"/>
      <c r="D1583" s="177"/>
      <c r="E1583" s="177"/>
      <c r="F1583" s="177"/>
      <c r="G1583" s="179"/>
      <c r="H1583" s="179"/>
      <c r="I1583" s="177"/>
    </row>
    <row r="1584" spans="3:9">
      <c r="C1584" s="177"/>
      <c r="D1584" s="177"/>
      <c r="E1584" s="177"/>
      <c r="F1584" s="177"/>
      <c r="G1584" s="179"/>
      <c r="H1584" s="179"/>
      <c r="I1584" s="177"/>
    </row>
    <row r="1585" spans="3:9">
      <c r="C1585" s="177"/>
      <c r="D1585" s="177"/>
      <c r="E1585" s="177"/>
      <c r="F1585" s="177"/>
      <c r="G1585" s="179"/>
      <c r="H1585" s="179"/>
      <c r="I1585" s="177"/>
    </row>
    <row r="1586" spans="3:9">
      <c r="C1586" s="177"/>
      <c r="D1586" s="177"/>
      <c r="E1586" s="177"/>
      <c r="F1586" s="177"/>
      <c r="G1586" s="179"/>
      <c r="H1586" s="179"/>
      <c r="I1586" s="177"/>
    </row>
    <row r="1587" spans="3:9">
      <c r="C1587" s="177"/>
      <c r="D1587" s="177"/>
      <c r="E1587" s="177"/>
      <c r="F1587" s="177"/>
      <c r="G1587" s="179"/>
      <c r="H1587" s="179"/>
      <c r="I1587" s="177"/>
    </row>
    <row r="1588" spans="3:9">
      <c r="C1588" s="177"/>
      <c r="D1588" s="177"/>
      <c r="E1588" s="177"/>
      <c r="F1588" s="177"/>
      <c r="G1588" s="179"/>
      <c r="H1588" s="179"/>
      <c r="I1588" s="177"/>
    </row>
    <row r="1589" spans="3:9">
      <c r="C1589" s="177"/>
      <c r="D1589" s="177"/>
      <c r="E1589" s="177"/>
      <c r="F1589" s="177"/>
      <c r="G1589" s="179"/>
      <c r="H1589" s="179"/>
      <c r="I1589" s="177"/>
    </row>
    <row r="1590" spans="3:9">
      <c r="C1590" s="177"/>
      <c r="D1590" s="177"/>
      <c r="E1590" s="177"/>
      <c r="F1590" s="177"/>
      <c r="G1590" s="179"/>
      <c r="H1590" s="179"/>
      <c r="I1590" s="177"/>
    </row>
    <row r="1591" spans="3:9">
      <c r="C1591" s="177"/>
      <c r="D1591" s="177"/>
      <c r="E1591" s="177"/>
      <c r="F1591" s="177"/>
      <c r="G1591" s="179"/>
      <c r="H1591" s="179"/>
      <c r="I1591" s="177"/>
    </row>
    <row r="1592" spans="3:9">
      <c r="C1592" s="177"/>
      <c r="D1592" s="177"/>
      <c r="E1592" s="177"/>
      <c r="F1592" s="177"/>
      <c r="G1592" s="179"/>
      <c r="H1592" s="179"/>
      <c r="I1592" s="177"/>
    </row>
    <row r="1593" spans="3:9">
      <c r="C1593" s="177"/>
      <c r="D1593" s="177"/>
      <c r="E1593" s="177"/>
      <c r="F1593" s="177"/>
      <c r="G1593" s="179"/>
      <c r="H1593" s="179"/>
      <c r="I1593" s="177"/>
    </row>
    <row r="1594" spans="3:9">
      <c r="C1594" s="177"/>
      <c r="D1594" s="177"/>
      <c r="E1594" s="177"/>
      <c r="F1594" s="177"/>
      <c r="G1594" s="179"/>
      <c r="H1594" s="179"/>
      <c r="I1594" s="177"/>
    </row>
    <row r="1595" spans="3:9">
      <c r="C1595" s="177"/>
      <c r="D1595" s="177"/>
      <c r="E1595" s="177"/>
      <c r="F1595" s="177"/>
      <c r="G1595" s="179"/>
      <c r="H1595" s="179"/>
      <c r="I1595" s="177"/>
    </row>
    <row r="1596" spans="3:9">
      <c r="C1596" s="177"/>
      <c r="D1596" s="177"/>
      <c r="E1596" s="177"/>
      <c r="F1596" s="177"/>
      <c r="G1596" s="179"/>
      <c r="H1596" s="179"/>
      <c r="I1596" s="177"/>
    </row>
    <row r="1597" spans="3:9">
      <c r="C1597" s="177"/>
      <c r="D1597" s="177"/>
      <c r="E1597" s="177"/>
      <c r="F1597" s="177"/>
      <c r="G1597" s="179"/>
      <c r="H1597" s="179"/>
      <c r="I1597" s="177"/>
    </row>
    <row r="1598" spans="3:9">
      <c r="C1598" s="177"/>
      <c r="D1598" s="177"/>
      <c r="E1598" s="177"/>
      <c r="F1598" s="177"/>
      <c r="G1598" s="179"/>
      <c r="H1598" s="179"/>
      <c r="I1598" s="177"/>
    </row>
    <row r="1599" spans="3:9">
      <c r="C1599" s="177"/>
      <c r="D1599" s="177"/>
      <c r="E1599" s="177"/>
      <c r="F1599" s="177"/>
      <c r="G1599" s="179"/>
      <c r="H1599" s="179"/>
      <c r="I1599" s="177"/>
    </row>
    <row r="1600" spans="3:9">
      <c r="C1600" s="177"/>
      <c r="D1600" s="177"/>
      <c r="E1600" s="177"/>
      <c r="F1600" s="177"/>
      <c r="G1600" s="179"/>
      <c r="H1600" s="179"/>
      <c r="I1600" s="177"/>
    </row>
    <row r="1601" spans="3:9">
      <c r="C1601" s="177"/>
      <c r="D1601" s="177"/>
      <c r="E1601" s="177"/>
      <c r="F1601" s="177"/>
      <c r="G1601" s="179"/>
      <c r="H1601" s="179"/>
      <c r="I1601" s="177"/>
    </row>
    <row r="1602" spans="3:9">
      <c r="C1602" s="177"/>
      <c r="D1602" s="177"/>
      <c r="E1602" s="177"/>
      <c r="F1602" s="177"/>
      <c r="G1602" s="179"/>
      <c r="H1602" s="179"/>
      <c r="I1602" s="177"/>
    </row>
    <row r="1603" spans="3:9">
      <c r="C1603" s="177"/>
      <c r="D1603" s="177"/>
      <c r="E1603" s="177"/>
      <c r="F1603" s="177"/>
      <c r="G1603" s="179"/>
      <c r="H1603" s="179"/>
      <c r="I1603" s="177"/>
    </row>
    <row r="1604" spans="3:9">
      <c r="C1604" s="177"/>
      <c r="D1604" s="177"/>
      <c r="E1604" s="177"/>
      <c r="F1604" s="177"/>
      <c r="G1604" s="179"/>
      <c r="H1604" s="179"/>
      <c r="I1604" s="177"/>
    </row>
    <row r="1605" spans="3:9">
      <c r="C1605" s="177"/>
      <c r="D1605" s="177"/>
      <c r="E1605" s="177"/>
      <c r="F1605" s="177"/>
      <c r="G1605" s="179"/>
      <c r="H1605" s="179"/>
      <c r="I1605" s="177"/>
    </row>
    <row r="1606" spans="3:9">
      <c r="C1606" s="177"/>
      <c r="D1606" s="177"/>
      <c r="E1606" s="177"/>
      <c r="F1606" s="177"/>
      <c r="G1606" s="179"/>
      <c r="H1606" s="179"/>
      <c r="I1606" s="177"/>
    </row>
    <row r="1607" spans="3:9">
      <c r="C1607" s="177"/>
      <c r="D1607" s="177"/>
      <c r="E1607" s="177"/>
      <c r="F1607" s="177"/>
      <c r="G1607" s="179"/>
      <c r="H1607" s="179"/>
      <c r="I1607" s="177"/>
    </row>
    <row r="1608" spans="3:9">
      <c r="C1608" s="177"/>
      <c r="D1608" s="177"/>
      <c r="E1608" s="177"/>
      <c r="F1608" s="177"/>
      <c r="G1608" s="179"/>
      <c r="H1608" s="179"/>
      <c r="I1608" s="177"/>
    </row>
    <row r="1609" spans="3:9">
      <c r="C1609" s="177"/>
      <c r="D1609" s="177"/>
      <c r="E1609" s="177"/>
      <c r="F1609" s="177"/>
      <c r="G1609" s="179"/>
      <c r="H1609" s="179"/>
      <c r="I1609" s="177"/>
    </row>
    <row r="1610" spans="3:9">
      <c r="C1610" s="177"/>
      <c r="D1610" s="177"/>
      <c r="E1610" s="177"/>
      <c r="F1610" s="177"/>
      <c r="G1610" s="179"/>
      <c r="H1610" s="179"/>
      <c r="I1610" s="177"/>
    </row>
    <row r="1611" spans="3:9">
      <c r="C1611" s="177"/>
      <c r="D1611" s="177"/>
      <c r="E1611" s="177"/>
      <c r="F1611" s="177"/>
      <c r="G1611" s="179"/>
      <c r="H1611" s="179"/>
      <c r="I1611" s="177"/>
    </row>
    <row r="1612" spans="3:9">
      <c r="C1612" s="177"/>
      <c r="D1612" s="177"/>
      <c r="E1612" s="177"/>
      <c r="F1612" s="177"/>
      <c r="G1612" s="179"/>
      <c r="H1612" s="179"/>
      <c r="I1612" s="177"/>
    </row>
    <row r="1613" spans="3:9">
      <c r="C1613" s="177"/>
      <c r="D1613" s="177"/>
      <c r="E1613" s="177"/>
      <c r="F1613" s="177"/>
      <c r="G1613" s="179"/>
      <c r="H1613" s="179"/>
      <c r="I1613" s="177"/>
    </row>
    <row r="1614" spans="3:9">
      <c r="C1614" s="177"/>
      <c r="D1614" s="177"/>
      <c r="E1614" s="177"/>
      <c r="F1614" s="177"/>
      <c r="G1614" s="179"/>
      <c r="H1614" s="179"/>
      <c r="I1614" s="177"/>
    </row>
    <row r="1615" spans="3:9">
      <c r="C1615" s="177"/>
      <c r="D1615" s="177"/>
      <c r="E1615" s="177"/>
      <c r="F1615" s="177"/>
      <c r="G1615" s="179"/>
      <c r="H1615" s="179"/>
      <c r="I1615" s="177"/>
    </row>
    <row r="1616" spans="3:9">
      <c r="C1616" s="177"/>
      <c r="D1616" s="177"/>
      <c r="E1616" s="177"/>
      <c r="F1616" s="177"/>
      <c r="G1616" s="179"/>
      <c r="H1616" s="179"/>
      <c r="I1616" s="177"/>
    </row>
    <row r="1617" spans="3:9">
      <c r="C1617" s="177"/>
      <c r="D1617" s="177"/>
      <c r="E1617" s="177"/>
      <c r="F1617" s="177"/>
      <c r="G1617" s="179"/>
      <c r="H1617" s="179"/>
      <c r="I1617" s="177"/>
    </row>
    <row r="1618" spans="3:9">
      <c r="C1618" s="177"/>
      <c r="D1618" s="177"/>
      <c r="E1618" s="177"/>
      <c r="F1618" s="177"/>
      <c r="G1618" s="179"/>
      <c r="H1618" s="179"/>
      <c r="I1618" s="177"/>
    </row>
    <row r="1619" spans="3:9">
      <c r="C1619" s="177"/>
      <c r="D1619" s="177"/>
      <c r="E1619" s="177"/>
      <c r="F1619" s="177"/>
      <c r="G1619" s="179"/>
      <c r="H1619" s="179"/>
      <c r="I1619" s="177"/>
    </row>
    <row r="1620" spans="3:9">
      <c r="C1620" s="177"/>
      <c r="D1620" s="177"/>
      <c r="E1620" s="177"/>
      <c r="F1620" s="177"/>
      <c r="G1620" s="179"/>
      <c r="H1620" s="179"/>
      <c r="I1620" s="177"/>
    </row>
    <row r="1621" spans="3:9">
      <c r="C1621" s="177"/>
      <c r="D1621" s="177"/>
      <c r="E1621" s="177"/>
      <c r="F1621" s="177"/>
      <c r="G1621" s="179"/>
      <c r="H1621" s="179"/>
      <c r="I1621" s="177"/>
    </row>
    <row r="1622" spans="3:9">
      <c r="C1622" s="177"/>
      <c r="D1622" s="177"/>
      <c r="E1622" s="177"/>
      <c r="F1622" s="177"/>
      <c r="G1622" s="179"/>
      <c r="H1622" s="179"/>
      <c r="I1622" s="177"/>
    </row>
    <row r="1623" spans="3:9">
      <c r="C1623" s="177"/>
      <c r="D1623" s="177"/>
      <c r="E1623" s="177"/>
      <c r="F1623" s="177"/>
      <c r="G1623" s="179"/>
      <c r="H1623" s="179"/>
      <c r="I1623" s="177"/>
    </row>
    <row r="1624" spans="3:9">
      <c r="C1624" s="177"/>
      <c r="D1624" s="177"/>
      <c r="E1624" s="177"/>
      <c r="F1624" s="177"/>
      <c r="G1624" s="179"/>
      <c r="H1624" s="179"/>
      <c r="I1624" s="177"/>
    </row>
    <row r="1625" spans="3:9">
      <c r="C1625" s="177"/>
      <c r="D1625" s="177"/>
      <c r="E1625" s="177"/>
      <c r="F1625" s="177"/>
      <c r="G1625" s="179"/>
      <c r="H1625" s="179"/>
      <c r="I1625" s="177"/>
    </row>
    <row r="1626" spans="3:9">
      <c r="C1626" s="177"/>
      <c r="D1626" s="177"/>
      <c r="E1626" s="177"/>
      <c r="F1626" s="177"/>
      <c r="G1626" s="179"/>
      <c r="H1626" s="179"/>
      <c r="I1626" s="177"/>
    </row>
    <row r="1627" spans="3:9">
      <c r="C1627" s="177"/>
      <c r="D1627" s="177"/>
      <c r="E1627" s="177"/>
      <c r="F1627" s="177"/>
      <c r="G1627" s="179"/>
      <c r="H1627" s="179"/>
      <c r="I1627" s="177"/>
    </row>
    <row r="1628" spans="3:9">
      <c r="C1628" s="177"/>
      <c r="D1628" s="177"/>
      <c r="E1628" s="177"/>
      <c r="F1628" s="177"/>
      <c r="G1628" s="179"/>
      <c r="H1628" s="179"/>
      <c r="I1628" s="177"/>
    </row>
    <row r="1629" spans="3:9">
      <c r="C1629" s="177"/>
      <c r="D1629" s="177"/>
      <c r="E1629" s="177"/>
      <c r="F1629" s="177"/>
      <c r="G1629" s="179"/>
      <c r="H1629" s="179"/>
      <c r="I1629" s="177"/>
    </row>
    <row r="1630" spans="3:9">
      <c r="C1630" s="177"/>
      <c r="D1630" s="177"/>
      <c r="E1630" s="177"/>
      <c r="F1630" s="177"/>
      <c r="G1630" s="179"/>
      <c r="H1630" s="179"/>
      <c r="I1630" s="177"/>
    </row>
    <row r="1631" spans="3:9">
      <c r="C1631" s="177"/>
      <c r="D1631" s="177"/>
      <c r="E1631" s="177"/>
      <c r="F1631" s="177"/>
      <c r="G1631" s="179"/>
      <c r="H1631" s="179"/>
      <c r="I1631" s="177"/>
    </row>
    <row r="1632" spans="3:9">
      <c r="C1632" s="177"/>
      <c r="D1632" s="177"/>
      <c r="E1632" s="177"/>
      <c r="F1632" s="177"/>
      <c r="G1632" s="179"/>
      <c r="H1632" s="179"/>
      <c r="I1632" s="177"/>
    </row>
    <row r="1633" spans="3:9">
      <c r="C1633" s="177"/>
      <c r="D1633" s="177"/>
      <c r="E1633" s="177"/>
      <c r="F1633" s="177"/>
      <c r="G1633" s="179"/>
      <c r="H1633" s="179"/>
      <c r="I1633" s="177"/>
    </row>
    <row r="1634" spans="3:9">
      <c r="C1634" s="177"/>
      <c r="D1634" s="177"/>
      <c r="E1634" s="177"/>
      <c r="F1634" s="177"/>
      <c r="G1634" s="179"/>
      <c r="H1634" s="179"/>
      <c r="I1634" s="177"/>
    </row>
    <row r="1635" spans="3:9">
      <c r="C1635" s="177"/>
      <c r="D1635" s="177"/>
      <c r="E1635" s="177"/>
      <c r="F1635" s="177"/>
      <c r="G1635" s="179"/>
      <c r="H1635" s="179"/>
      <c r="I1635" s="177"/>
    </row>
    <row r="1636" spans="3:9">
      <c r="C1636" s="177"/>
      <c r="D1636" s="177"/>
      <c r="E1636" s="177"/>
      <c r="F1636" s="177"/>
      <c r="G1636" s="179"/>
      <c r="H1636" s="179"/>
      <c r="I1636" s="177"/>
    </row>
    <row r="1637" spans="3:9">
      <c r="C1637" s="177"/>
      <c r="D1637" s="177"/>
      <c r="E1637" s="177"/>
      <c r="F1637" s="177"/>
      <c r="G1637" s="179"/>
      <c r="H1637" s="179"/>
      <c r="I1637" s="177"/>
    </row>
    <row r="1638" spans="3:9">
      <c r="C1638" s="177"/>
      <c r="D1638" s="177"/>
      <c r="E1638" s="177"/>
      <c r="F1638" s="177"/>
      <c r="G1638" s="179"/>
      <c r="H1638" s="179"/>
      <c r="I1638" s="177"/>
    </row>
    <row r="1639" spans="3:9">
      <c r="C1639" s="177"/>
      <c r="D1639" s="177"/>
      <c r="E1639" s="177"/>
      <c r="F1639" s="177"/>
      <c r="G1639" s="179"/>
      <c r="H1639" s="179"/>
      <c r="I1639" s="177"/>
    </row>
    <row r="1640" spans="3:9">
      <c r="C1640" s="177"/>
      <c r="D1640" s="177"/>
      <c r="E1640" s="177"/>
      <c r="F1640" s="177"/>
      <c r="G1640" s="179"/>
      <c r="H1640" s="179"/>
      <c r="I1640" s="177"/>
    </row>
    <row r="1641" spans="3:9">
      <c r="C1641" s="177"/>
      <c r="D1641" s="177"/>
      <c r="E1641" s="177"/>
      <c r="F1641" s="177"/>
      <c r="G1641" s="179"/>
      <c r="H1641" s="179"/>
      <c r="I1641" s="177"/>
    </row>
    <row r="1642" spans="3:9">
      <c r="C1642" s="177"/>
      <c r="D1642" s="177"/>
      <c r="E1642" s="177"/>
      <c r="F1642" s="177"/>
      <c r="G1642" s="179"/>
      <c r="H1642" s="179"/>
      <c r="I1642" s="177"/>
    </row>
    <row r="1643" spans="3:9">
      <c r="C1643" s="177"/>
      <c r="D1643" s="177"/>
      <c r="E1643" s="177"/>
      <c r="F1643" s="177"/>
      <c r="G1643" s="179"/>
      <c r="H1643" s="179"/>
      <c r="I1643" s="177"/>
    </row>
    <row r="1644" spans="3:9">
      <c r="C1644" s="177"/>
      <c r="D1644" s="177"/>
      <c r="E1644" s="177"/>
      <c r="F1644" s="177"/>
      <c r="G1644" s="179"/>
      <c r="H1644" s="179"/>
      <c r="I1644" s="177"/>
    </row>
    <row r="1645" spans="3:9">
      <c r="C1645" s="177"/>
      <c r="D1645" s="177"/>
      <c r="E1645" s="177"/>
      <c r="F1645" s="177"/>
      <c r="G1645" s="179"/>
      <c r="H1645" s="179"/>
      <c r="I1645" s="177"/>
    </row>
    <row r="1646" spans="3:9">
      <c r="C1646" s="177"/>
      <c r="D1646" s="177"/>
      <c r="E1646" s="177"/>
      <c r="F1646" s="177"/>
      <c r="G1646" s="179"/>
      <c r="H1646" s="179"/>
      <c r="I1646" s="177"/>
    </row>
    <row r="1647" spans="3:9">
      <c r="C1647" s="177"/>
      <c r="D1647" s="177"/>
      <c r="E1647" s="177"/>
      <c r="F1647" s="177"/>
      <c r="G1647" s="179"/>
      <c r="H1647" s="179"/>
      <c r="I1647" s="177"/>
    </row>
    <row r="1648" spans="3:9">
      <c r="C1648" s="177"/>
      <c r="D1648" s="177"/>
      <c r="E1648" s="177"/>
      <c r="F1648" s="177"/>
      <c r="G1648" s="179"/>
      <c r="H1648" s="179"/>
      <c r="I1648" s="177"/>
    </row>
    <row r="1649" spans="3:9">
      <c r="C1649" s="177"/>
      <c r="D1649" s="177"/>
      <c r="E1649" s="177"/>
      <c r="F1649" s="177"/>
      <c r="G1649" s="179"/>
      <c r="H1649" s="179"/>
      <c r="I1649" s="177"/>
    </row>
    <row r="1650" spans="3:9">
      <c r="C1650" s="177"/>
      <c r="D1650" s="177"/>
      <c r="E1650" s="177"/>
      <c r="F1650" s="177"/>
      <c r="G1650" s="179"/>
      <c r="H1650" s="179"/>
      <c r="I1650" s="177"/>
    </row>
    <row r="1651" spans="3:9">
      <c r="C1651" s="177"/>
      <c r="D1651" s="177"/>
      <c r="E1651" s="177"/>
      <c r="F1651" s="177"/>
      <c r="G1651" s="179"/>
      <c r="H1651" s="179"/>
      <c r="I1651" s="177"/>
    </row>
    <row r="1652" spans="3:9">
      <c r="C1652" s="177"/>
      <c r="D1652" s="177"/>
      <c r="E1652" s="177"/>
      <c r="F1652" s="177"/>
      <c r="G1652" s="179"/>
      <c r="H1652" s="179"/>
      <c r="I1652" s="177"/>
    </row>
    <row r="1653" spans="3:9">
      <c r="C1653" s="177"/>
      <c r="D1653" s="177"/>
      <c r="E1653" s="177"/>
      <c r="F1653" s="177"/>
      <c r="G1653" s="179"/>
      <c r="H1653" s="179"/>
      <c r="I1653" s="177"/>
    </row>
    <row r="1654" spans="3:9">
      <c r="C1654" s="177"/>
      <c r="D1654" s="177"/>
      <c r="E1654" s="177"/>
      <c r="F1654" s="177"/>
      <c r="G1654" s="179"/>
      <c r="H1654" s="179"/>
      <c r="I1654" s="177"/>
    </row>
    <row r="1655" spans="3:9">
      <c r="C1655" s="177"/>
      <c r="D1655" s="177"/>
      <c r="E1655" s="177"/>
      <c r="F1655" s="177"/>
      <c r="G1655" s="179"/>
      <c r="H1655" s="179"/>
      <c r="I1655" s="177"/>
    </row>
    <row r="1656" spans="3:9">
      <c r="C1656" s="177"/>
      <c r="D1656" s="177"/>
      <c r="E1656" s="177"/>
      <c r="F1656" s="177"/>
      <c r="G1656" s="179"/>
      <c r="H1656" s="179"/>
      <c r="I1656" s="177"/>
    </row>
    <row r="1657" spans="3:9">
      <c r="C1657" s="177"/>
      <c r="D1657" s="177"/>
      <c r="E1657" s="177"/>
      <c r="F1657" s="177"/>
      <c r="G1657" s="179"/>
      <c r="H1657" s="179"/>
      <c r="I1657" s="177"/>
    </row>
    <row r="1658" spans="3:9">
      <c r="C1658" s="177"/>
      <c r="D1658" s="177"/>
      <c r="E1658" s="177"/>
      <c r="F1658" s="177"/>
      <c r="G1658" s="179"/>
      <c r="H1658" s="179"/>
      <c r="I1658" s="177"/>
    </row>
    <row r="1659" spans="3:9">
      <c r="C1659" s="177"/>
      <c r="D1659" s="177"/>
      <c r="E1659" s="177"/>
      <c r="F1659" s="177"/>
      <c r="G1659" s="179"/>
      <c r="H1659" s="179"/>
      <c r="I1659" s="177"/>
    </row>
    <row r="1660" spans="3:9">
      <c r="C1660" s="177"/>
      <c r="D1660" s="177"/>
      <c r="E1660" s="177"/>
      <c r="F1660" s="177"/>
      <c r="G1660" s="179"/>
      <c r="H1660" s="179"/>
      <c r="I1660" s="177"/>
    </row>
    <row r="1661" spans="3:9">
      <c r="C1661" s="177"/>
      <c r="D1661" s="177"/>
      <c r="E1661" s="177"/>
      <c r="F1661" s="177"/>
      <c r="G1661" s="179"/>
      <c r="H1661" s="179"/>
      <c r="I1661" s="177"/>
    </row>
    <row r="1662" spans="3:9">
      <c r="C1662" s="177"/>
      <c r="D1662" s="177"/>
      <c r="E1662" s="177"/>
      <c r="F1662" s="177"/>
      <c r="G1662" s="179"/>
      <c r="H1662" s="179"/>
      <c r="I1662" s="177"/>
    </row>
    <row r="1663" spans="3:9">
      <c r="C1663" s="177"/>
      <c r="D1663" s="177"/>
      <c r="E1663" s="177"/>
      <c r="F1663" s="177"/>
      <c r="G1663" s="179"/>
      <c r="H1663" s="179"/>
      <c r="I1663" s="177"/>
    </row>
    <row r="1664" spans="3:9">
      <c r="C1664" s="177"/>
      <c r="D1664" s="177"/>
      <c r="E1664" s="177"/>
      <c r="F1664" s="177"/>
      <c r="G1664" s="179"/>
      <c r="H1664" s="179"/>
      <c r="I1664" s="177"/>
    </row>
    <row r="1665" spans="3:9">
      <c r="C1665" s="177"/>
      <c r="D1665" s="177"/>
      <c r="E1665" s="177"/>
      <c r="F1665" s="177"/>
      <c r="G1665" s="179"/>
      <c r="H1665" s="179"/>
      <c r="I1665" s="177"/>
    </row>
    <row r="1666" spans="3:9">
      <c r="C1666" s="177"/>
      <c r="D1666" s="177"/>
      <c r="E1666" s="177"/>
      <c r="F1666" s="177"/>
      <c r="G1666" s="179"/>
      <c r="H1666" s="179"/>
      <c r="I1666" s="177"/>
    </row>
    <row r="1667" spans="3:9">
      <c r="C1667" s="177"/>
      <c r="D1667" s="177"/>
      <c r="E1667" s="177"/>
      <c r="F1667" s="177"/>
      <c r="G1667" s="179"/>
      <c r="H1667" s="179"/>
      <c r="I1667" s="177"/>
    </row>
    <row r="1668" spans="3:9">
      <c r="C1668" s="177"/>
      <c r="D1668" s="177"/>
      <c r="E1668" s="177"/>
      <c r="F1668" s="177"/>
      <c r="G1668" s="179"/>
      <c r="H1668" s="179"/>
      <c r="I1668" s="177"/>
    </row>
    <row r="1669" spans="3:9">
      <c r="C1669" s="177"/>
      <c r="D1669" s="177"/>
      <c r="E1669" s="177"/>
      <c r="F1669" s="177"/>
      <c r="G1669" s="179"/>
      <c r="H1669" s="179"/>
      <c r="I1669" s="177"/>
    </row>
    <row r="1670" spans="3:9">
      <c r="C1670" s="177"/>
      <c r="D1670" s="177"/>
      <c r="E1670" s="177"/>
      <c r="F1670" s="177"/>
      <c r="G1670" s="179"/>
      <c r="H1670" s="179"/>
      <c r="I1670" s="177"/>
    </row>
    <row r="1671" spans="3:9">
      <c r="C1671" s="177"/>
      <c r="D1671" s="177"/>
      <c r="E1671" s="177"/>
      <c r="F1671" s="177"/>
      <c r="G1671" s="179"/>
      <c r="H1671" s="179"/>
      <c r="I1671" s="177"/>
    </row>
    <row r="1672" spans="3:9">
      <c r="C1672" s="177"/>
      <c r="D1672" s="177"/>
      <c r="E1672" s="177"/>
      <c r="F1672" s="177"/>
      <c r="G1672" s="179"/>
      <c r="H1672" s="179"/>
      <c r="I1672" s="177"/>
    </row>
    <row r="1673" spans="3:9">
      <c r="C1673" s="177"/>
      <c r="D1673" s="177"/>
      <c r="E1673" s="177"/>
      <c r="F1673" s="177"/>
      <c r="G1673" s="179"/>
      <c r="H1673" s="179"/>
      <c r="I1673" s="177"/>
    </row>
    <row r="1674" spans="3:9">
      <c r="C1674" s="177"/>
      <c r="D1674" s="177"/>
      <c r="E1674" s="177"/>
      <c r="F1674" s="177"/>
      <c r="G1674" s="179"/>
      <c r="H1674" s="179"/>
      <c r="I1674" s="177"/>
    </row>
    <row r="1675" spans="3:9">
      <c r="C1675" s="177"/>
      <c r="D1675" s="177"/>
      <c r="E1675" s="177"/>
      <c r="F1675" s="177"/>
      <c r="G1675" s="179"/>
      <c r="H1675" s="179"/>
      <c r="I1675" s="177"/>
    </row>
    <row r="1676" spans="3:9">
      <c r="C1676" s="177"/>
      <c r="D1676" s="177"/>
      <c r="E1676" s="177"/>
      <c r="F1676" s="177"/>
      <c r="G1676" s="179"/>
      <c r="H1676" s="179"/>
      <c r="I1676" s="177"/>
    </row>
    <row r="1677" spans="3:9">
      <c r="C1677" s="177"/>
      <c r="D1677" s="177"/>
      <c r="E1677" s="177"/>
      <c r="F1677" s="177"/>
      <c r="G1677" s="179"/>
      <c r="H1677" s="179"/>
      <c r="I1677" s="177"/>
    </row>
    <row r="1678" spans="3:9">
      <c r="C1678" s="177"/>
      <c r="D1678" s="177"/>
      <c r="E1678" s="177"/>
      <c r="F1678" s="177"/>
      <c r="G1678" s="179"/>
      <c r="H1678" s="179"/>
      <c r="I1678" s="177"/>
    </row>
    <row r="1679" spans="3:9">
      <c r="C1679" s="177"/>
      <c r="D1679" s="177"/>
      <c r="E1679" s="177"/>
      <c r="F1679" s="177"/>
      <c r="G1679" s="179"/>
      <c r="H1679" s="179"/>
      <c r="I1679" s="177"/>
    </row>
    <row r="1680" spans="3:9">
      <c r="C1680" s="177"/>
      <c r="D1680" s="177"/>
      <c r="E1680" s="177"/>
      <c r="F1680" s="177"/>
      <c r="G1680" s="179"/>
      <c r="H1680" s="179"/>
      <c r="I1680" s="177"/>
    </row>
    <row r="1681" spans="3:9">
      <c r="C1681" s="177"/>
      <c r="D1681" s="177"/>
      <c r="E1681" s="177"/>
      <c r="F1681" s="177"/>
      <c r="G1681" s="179"/>
      <c r="H1681" s="179"/>
      <c r="I1681" s="177"/>
    </row>
    <row r="1682" spans="3:9">
      <c r="C1682" s="177"/>
      <c r="D1682" s="177"/>
      <c r="E1682" s="177"/>
      <c r="F1682" s="177"/>
      <c r="G1682" s="179"/>
      <c r="H1682" s="179"/>
      <c r="I1682" s="177"/>
    </row>
    <row r="1683" spans="3:9">
      <c r="C1683" s="177"/>
      <c r="D1683" s="177"/>
      <c r="E1683" s="177"/>
      <c r="F1683" s="177"/>
      <c r="G1683" s="179"/>
      <c r="H1683" s="179"/>
      <c r="I1683" s="177"/>
    </row>
    <row r="1684" spans="3:9">
      <c r="C1684" s="177"/>
      <c r="D1684" s="177"/>
      <c r="E1684" s="177"/>
      <c r="F1684" s="177"/>
      <c r="G1684" s="179"/>
      <c r="H1684" s="179"/>
      <c r="I1684" s="177"/>
    </row>
    <row r="1685" spans="3:9">
      <c r="C1685" s="177"/>
      <c r="D1685" s="177"/>
      <c r="E1685" s="177"/>
      <c r="F1685" s="177"/>
      <c r="G1685" s="179"/>
      <c r="H1685" s="179"/>
      <c r="I1685" s="177"/>
    </row>
    <row r="1686" spans="3:9">
      <c r="C1686" s="177"/>
      <c r="D1686" s="177"/>
      <c r="E1686" s="177"/>
      <c r="F1686" s="177"/>
      <c r="G1686" s="179"/>
      <c r="H1686" s="179"/>
      <c r="I1686" s="177"/>
    </row>
    <row r="1687" spans="3:9">
      <c r="C1687" s="177"/>
      <c r="D1687" s="177"/>
      <c r="E1687" s="177"/>
      <c r="F1687" s="177"/>
      <c r="G1687" s="179"/>
      <c r="H1687" s="179"/>
      <c r="I1687" s="177"/>
    </row>
    <row r="1688" spans="3:9">
      <c r="C1688" s="177"/>
      <c r="D1688" s="177"/>
      <c r="E1688" s="177"/>
      <c r="F1688" s="177"/>
      <c r="G1688" s="179"/>
      <c r="H1688" s="179"/>
      <c r="I1688" s="177"/>
    </row>
    <row r="1689" spans="3:9">
      <c r="C1689" s="177"/>
      <c r="D1689" s="177"/>
      <c r="E1689" s="177"/>
      <c r="F1689" s="177"/>
      <c r="G1689" s="179"/>
      <c r="H1689" s="179"/>
      <c r="I1689" s="177"/>
    </row>
    <row r="1690" spans="3:9">
      <c r="C1690" s="177"/>
      <c r="D1690" s="177"/>
      <c r="E1690" s="177"/>
      <c r="F1690" s="177"/>
      <c r="G1690" s="179"/>
      <c r="H1690" s="179"/>
      <c r="I1690" s="177"/>
    </row>
    <row r="1691" spans="3:9">
      <c r="C1691" s="177"/>
      <c r="D1691" s="177"/>
      <c r="E1691" s="177"/>
      <c r="F1691" s="177"/>
      <c r="G1691" s="179"/>
      <c r="H1691" s="179"/>
      <c r="I1691" s="177"/>
    </row>
    <row r="1692" spans="3:9">
      <c r="C1692" s="177"/>
      <c r="D1692" s="177"/>
      <c r="E1692" s="177"/>
      <c r="F1692" s="177"/>
      <c r="G1692" s="179"/>
      <c r="H1692" s="179"/>
      <c r="I1692" s="177"/>
    </row>
    <row r="1693" spans="3:9">
      <c r="C1693" s="177"/>
      <c r="D1693" s="177"/>
      <c r="E1693" s="177"/>
      <c r="F1693" s="177"/>
      <c r="G1693" s="179"/>
      <c r="H1693" s="179"/>
      <c r="I1693" s="177"/>
    </row>
    <row r="1694" spans="3:9">
      <c r="C1694" s="177"/>
      <c r="D1694" s="177"/>
      <c r="E1694" s="177"/>
      <c r="F1694" s="177"/>
      <c r="G1694" s="179"/>
      <c r="H1694" s="179"/>
      <c r="I1694" s="177"/>
    </row>
    <row r="1695" spans="3:9">
      <c r="C1695" s="177"/>
      <c r="D1695" s="177"/>
      <c r="E1695" s="177"/>
      <c r="F1695" s="177"/>
      <c r="G1695" s="179"/>
      <c r="H1695" s="179"/>
      <c r="I1695" s="177"/>
    </row>
    <row r="1696" spans="3:9">
      <c r="C1696" s="177"/>
      <c r="D1696" s="177"/>
      <c r="E1696" s="177"/>
      <c r="F1696" s="177"/>
      <c r="G1696" s="179"/>
      <c r="H1696" s="179"/>
      <c r="I1696" s="177"/>
    </row>
    <row r="1697" spans="3:9">
      <c r="C1697" s="177"/>
      <c r="D1697" s="177"/>
      <c r="E1697" s="177"/>
      <c r="F1697" s="177"/>
      <c r="G1697" s="179"/>
      <c r="H1697" s="179"/>
      <c r="I1697" s="177"/>
    </row>
    <row r="1698" spans="3:9">
      <c r="C1698" s="177"/>
      <c r="D1698" s="177"/>
      <c r="E1698" s="177"/>
      <c r="F1698" s="177"/>
      <c r="G1698" s="179"/>
      <c r="H1698" s="179"/>
      <c r="I1698" s="177"/>
    </row>
    <row r="1699" spans="3:9">
      <c r="C1699" s="177"/>
      <c r="D1699" s="177"/>
      <c r="E1699" s="177"/>
      <c r="F1699" s="177"/>
      <c r="G1699" s="179"/>
      <c r="H1699" s="179"/>
      <c r="I1699" s="177"/>
    </row>
    <row r="1700" spans="3:9">
      <c r="C1700" s="177"/>
      <c r="D1700" s="177"/>
      <c r="E1700" s="177"/>
      <c r="F1700" s="177"/>
      <c r="G1700" s="179"/>
      <c r="H1700" s="179"/>
      <c r="I1700" s="177"/>
    </row>
    <row r="1701" spans="3:9">
      <c r="C1701" s="177"/>
      <c r="D1701" s="177"/>
      <c r="E1701" s="177"/>
      <c r="F1701" s="177"/>
      <c r="G1701" s="179"/>
      <c r="H1701" s="179"/>
      <c r="I1701" s="177"/>
    </row>
    <row r="1702" spans="3:9">
      <c r="C1702" s="177"/>
      <c r="D1702" s="177"/>
      <c r="E1702" s="177"/>
      <c r="F1702" s="177"/>
      <c r="G1702" s="179"/>
      <c r="H1702" s="179"/>
      <c r="I1702" s="177"/>
    </row>
    <row r="1703" spans="3:9">
      <c r="C1703" s="177"/>
      <c r="D1703" s="177"/>
      <c r="E1703" s="177"/>
      <c r="F1703" s="177"/>
      <c r="G1703" s="179"/>
      <c r="H1703" s="179"/>
      <c r="I1703" s="177"/>
    </row>
    <row r="1704" spans="3:9">
      <c r="C1704" s="177"/>
      <c r="D1704" s="177"/>
      <c r="E1704" s="177"/>
      <c r="F1704" s="177"/>
      <c r="G1704" s="179"/>
      <c r="H1704" s="179"/>
      <c r="I1704" s="177"/>
    </row>
    <row r="1705" spans="3:9">
      <c r="C1705" s="177"/>
      <c r="D1705" s="177"/>
      <c r="E1705" s="177"/>
      <c r="F1705" s="177"/>
      <c r="G1705" s="179"/>
      <c r="H1705" s="179"/>
      <c r="I1705" s="177"/>
    </row>
    <row r="1706" spans="3:9">
      <c r="C1706" s="177"/>
      <c r="D1706" s="177"/>
      <c r="E1706" s="177"/>
      <c r="F1706" s="177"/>
      <c r="G1706" s="179"/>
      <c r="H1706" s="179"/>
      <c r="I1706" s="177"/>
    </row>
    <row r="1707" spans="3:9">
      <c r="C1707" s="177"/>
      <c r="D1707" s="177"/>
      <c r="E1707" s="177"/>
      <c r="F1707" s="177"/>
      <c r="G1707" s="179"/>
      <c r="H1707" s="179"/>
      <c r="I1707" s="177"/>
    </row>
    <row r="1708" spans="3:9">
      <c r="C1708" s="177"/>
      <c r="D1708" s="177"/>
      <c r="E1708" s="177"/>
      <c r="F1708" s="177"/>
      <c r="G1708" s="179"/>
      <c r="H1708" s="179"/>
      <c r="I1708" s="177"/>
    </row>
    <row r="1709" spans="3:9">
      <c r="C1709" s="177"/>
      <c r="D1709" s="177"/>
      <c r="E1709" s="177"/>
      <c r="F1709" s="177"/>
      <c r="G1709" s="179"/>
      <c r="H1709" s="179"/>
      <c r="I1709" s="177"/>
    </row>
    <row r="1710" spans="3:9">
      <c r="C1710" s="177"/>
      <c r="D1710" s="177"/>
      <c r="E1710" s="177"/>
      <c r="F1710" s="177"/>
      <c r="G1710" s="179"/>
      <c r="H1710" s="179"/>
      <c r="I1710" s="177"/>
    </row>
    <row r="1711" spans="3:9">
      <c r="C1711" s="177"/>
      <c r="D1711" s="177"/>
      <c r="E1711" s="177"/>
      <c r="F1711" s="177"/>
      <c r="G1711" s="179"/>
      <c r="H1711" s="179"/>
      <c r="I1711" s="177"/>
    </row>
    <row r="1712" spans="3:9">
      <c r="C1712" s="177"/>
      <c r="D1712" s="177"/>
      <c r="E1712" s="177"/>
      <c r="F1712" s="177"/>
      <c r="G1712" s="179"/>
      <c r="H1712" s="179"/>
      <c r="I1712" s="177"/>
    </row>
    <row r="1713" spans="3:9">
      <c r="C1713" s="177"/>
      <c r="D1713" s="177"/>
      <c r="E1713" s="177"/>
      <c r="F1713" s="177"/>
      <c r="G1713" s="179"/>
      <c r="H1713" s="179"/>
      <c r="I1713" s="177"/>
    </row>
    <row r="1714" spans="3:9">
      <c r="C1714" s="177"/>
      <c r="D1714" s="177"/>
      <c r="E1714" s="177"/>
      <c r="F1714" s="177"/>
      <c r="G1714" s="179"/>
      <c r="H1714" s="179"/>
      <c r="I1714" s="177"/>
    </row>
    <row r="1715" spans="3:9">
      <c r="C1715" s="177"/>
      <c r="D1715" s="177"/>
      <c r="E1715" s="177"/>
      <c r="F1715" s="177"/>
      <c r="G1715" s="179"/>
      <c r="H1715" s="179"/>
      <c r="I1715" s="177"/>
    </row>
    <row r="1716" spans="3:9">
      <c r="C1716" s="177"/>
      <c r="D1716" s="177"/>
      <c r="E1716" s="177"/>
      <c r="F1716" s="177"/>
      <c r="G1716" s="179"/>
      <c r="H1716" s="179"/>
      <c r="I1716" s="177"/>
    </row>
    <row r="1717" spans="3:9">
      <c r="C1717" s="177"/>
      <c r="D1717" s="177"/>
      <c r="E1717" s="177"/>
      <c r="F1717" s="177"/>
      <c r="G1717" s="179"/>
      <c r="H1717" s="179"/>
      <c r="I1717" s="177"/>
    </row>
    <row r="1718" spans="3:9">
      <c r="C1718" s="177"/>
      <c r="D1718" s="177"/>
      <c r="E1718" s="177"/>
      <c r="F1718" s="177"/>
      <c r="G1718" s="179"/>
      <c r="H1718" s="179"/>
      <c r="I1718" s="177"/>
    </row>
    <row r="1719" spans="3:9">
      <c r="C1719" s="177"/>
      <c r="D1719" s="177"/>
      <c r="E1719" s="177"/>
      <c r="F1719" s="177"/>
      <c r="G1719" s="179"/>
      <c r="H1719" s="179"/>
      <c r="I1719" s="177"/>
    </row>
    <row r="1720" spans="3:9">
      <c r="C1720" s="177"/>
      <c r="D1720" s="177"/>
      <c r="E1720" s="177"/>
      <c r="F1720" s="177"/>
      <c r="G1720" s="179"/>
      <c r="H1720" s="179"/>
      <c r="I1720" s="177"/>
    </row>
    <row r="1721" spans="3:9">
      <c r="C1721" s="177"/>
      <c r="D1721" s="177"/>
      <c r="E1721" s="177"/>
      <c r="F1721" s="177"/>
      <c r="G1721" s="179"/>
      <c r="H1721" s="179"/>
      <c r="I1721" s="177"/>
    </row>
    <row r="1722" spans="3:9">
      <c r="C1722" s="177"/>
      <c r="D1722" s="177"/>
      <c r="E1722" s="177"/>
      <c r="F1722" s="177"/>
      <c r="G1722" s="179"/>
      <c r="H1722" s="179"/>
      <c r="I1722" s="177"/>
    </row>
    <row r="1723" spans="3:9">
      <c r="C1723" s="177"/>
      <c r="D1723" s="177"/>
      <c r="E1723" s="177"/>
      <c r="F1723" s="177"/>
      <c r="G1723" s="179"/>
      <c r="H1723" s="179"/>
      <c r="I1723" s="177"/>
    </row>
    <row r="1724" spans="3:9">
      <c r="C1724" s="177"/>
      <c r="D1724" s="177"/>
      <c r="E1724" s="177"/>
      <c r="F1724" s="177"/>
      <c r="G1724" s="179"/>
      <c r="H1724" s="179"/>
      <c r="I1724" s="177"/>
    </row>
    <row r="1725" spans="3:9">
      <c r="C1725" s="177"/>
      <c r="D1725" s="177"/>
      <c r="E1725" s="177"/>
      <c r="F1725" s="177"/>
      <c r="G1725" s="179"/>
      <c r="H1725" s="179"/>
      <c r="I1725" s="177"/>
    </row>
    <row r="1726" spans="3:9">
      <c r="C1726" s="177"/>
      <c r="D1726" s="177"/>
      <c r="E1726" s="177"/>
      <c r="F1726" s="177"/>
      <c r="G1726" s="179"/>
      <c r="H1726" s="179"/>
      <c r="I1726" s="177"/>
    </row>
    <row r="1727" spans="3:9">
      <c r="C1727" s="177"/>
      <c r="D1727" s="177"/>
      <c r="E1727" s="177"/>
      <c r="F1727" s="177"/>
      <c r="G1727" s="179"/>
      <c r="H1727" s="179"/>
      <c r="I1727" s="177"/>
    </row>
    <row r="1728" spans="3:9">
      <c r="C1728" s="177"/>
      <c r="D1728" s="177"/>
      <c r="E1728" s="177"/>
      <c r="F1728" s="177"/>
      <c r="G1728" s="179"/>
      <c r="H1728" s="179"/>
      <c r="I1728" s="177"/>
    </row>
    <row r="1729" spans="3:9">
      <c r="C1729" s="177"/>
      <c r="D1729" s="177"/>
      <c r="E1729" s="177"/>
      <c r="F1729" s="177"/>
      <c r="G1729" s="179"/>
      <c r="H1729" s="179"/>
      <c r="I1729" s="177"/>
    </row>
    <row r="1730" spans="3:9">
      <c r="C1730" s="177"/>
      <c r="D1730" s="177"/>
      <c r="E1730" s="177"/>
      <c r="F1730" s="177"/>
      <c r="G1730" s="179"/>
      <c r="H1730" s="179"/>
      <c r="I1730" s="177"/>
    </row>
    <row r="1731" spans="3:9">
      <c r="C1731" s="177"/>
      <c r="D1731" s="177"/>
      <c r="E1731" s="177"/>
      <c r="F1731" s="177"/>
      <c r="G1731" s="179"/>
      <c r="H1731" s="179"/>
      <c r="I1731" s="177"/>
    </row>
    <row r="1732" spans="3:9">
      <c r="C1732" s="177"/>
      <c r="D1732" s="177"/>
      <c r="E1732" s="177"/>
      <c r="F1732" s="177"/>
      <c r="G1732" s="179"/>
      <c r="H1732" s="179"/>
      <c r="I1732" s="177"/>
    </row>
    <row r="1733" spans="3:9">
      <c r="C1733" s="177"/>
      <c r="D1733" s="177"/>
      <c r="E1733" s="177"/>
      <c r="F1733" s="177"/>
      <c r="G1733" s="179"/>
      <c r="H1733" s="179"/>
      <c r="I1733" s="177"/>
    </row>
    <row r="1734" spans="3:9">
      <c r="C1734" s="177"/>
      <c r="D1734" s="177"/>
      <c r="E1734" s="177"/>
      <c r="F1734" s="177"/>
      <c r="G1734" s="179"/>
      <c r="H1734" s="179"/>
      <c r="I1734" s="177"/>
    </row>
    <row r="1735" spans="3:9">
      <c r="C1735" s="177"/>
      <c r="D1735" s="177"/>
      <c r="E1735" s="177"/>
      <c r="F1735" s="177"/>
      <c r="G1735" s="179"/>
      <c r="H1735" s="179"/>
      <c r="I1735" s="177"/>
    </row>
    <row r="1736" spans="3:9">
      <c r="C1736" s="177"/>
      <c r="D1736" s="177"/>
      <c r="E1736" s="177"/>
      <c r="F1736" s="177"/>
      <c r="G1736" s="179"/>
      <c r="H1736" s="179"/>
      <c r="I1736" s="177"/>
    </row>
    <row r="1737" spans="3:9">
      <c r="C1737" s="177"/>
      <c r="D1737" s="177"/>
      <c r="E1737" s="177"/>
      <c r="F1737" s="177"/>
      <c r="G1737" s="179"/>
      <c r="H1737" s="179"/>
      <c r="I1737" s="177"/>
    </row>
    <row r="1738" spans="3:9">
      <c r="C1738" s="177"/>
      <c r="D1738" s="177"/>
      <c r="E1738" s="177"/>
      <c r="F1738" s="177"/>
      <c r="G1738" s="179"/>
      <c r="H1738" s="179"/>
      <c r="I1738" s="177"/>
    </row>
    <row r="1739" spans="3:9">
      <c r="C1739" s="177"/>
      <c r="D1739" s="177"/>
      <c r="E1739" s="177"/>
      <c r="F1739" s="177"/>
      <c r="G1739" s="179"/>
      <c r="H1739" s="179"/>
      <c r="I1739" s="177"/>
    </row>
    <row r="1740" spans="3:9">
      <c r="C1740" s="177"/>
      <c r="D1740" s="177"/>
      <c r="E1740" s="177"/>
      <c r="F1740" s="177"/>
      <c r="G1740" s="179"/>
      <c r="H1740" s="179"/>
      <c r="I1740" s="177"/>
    </row>
    <row r="1741" spans="3:9">
      <c r="C1741" s="177"/>
      <c r="D1741" s="177"/>
      <c r="E1741" s="177"/>
      <c r="F1741" s="177"/>
      <c r="G1741" s="179"/>
      <c r="H1741" s="179"/>
      <c r="I1741" s="177"/>
    </row>
    <row r="1742" spans="3:9">
      <c r="C1742" s="177"/>
      <c r="D1742" s="177"/>
      <c r="E1742" s="177"/>
      <c r="F1742" s="177"/>
      <c r="G1742" s="179"/>
      <c r="H1742" s="179"/>
      <c r="I1742" s="177"/>
    </row>
    <row r="1743" spans="3:9">
      <c r="C1743" s="177"/>
      <c r="D1743" s="177"/>
      <c r="E1743" s="177"/>
      <c r="F1743" s="177"/>
      <c r="G1743" s="179"/>
      <c r="H1743" s="179"/>
      <c r="I1743" s="177"/>
    </row>
    <row r="1744" spans="3:9">
      <c r="C1744" s="177"/>
      <c r="D1744" s="177"/>
      <c r="E1744" s="177"/>
      <c r="F1744" s="177"/>
      <c r="G1744" s="179"/>
      <c r="H1744" s="179"/>
      <c r="I1744" s="177"/>
    </row>
    <row r="1745" spans="3:9">
      <c r="C1745" s="177"/>
      <c r="D1745" s="177"/>
      <c r="E1745" s="177"/>
      <c r="F1745" s="177"/>
      <c r="G1745" s="179"/>
      <c r="H1745" s="179"/>
      <c r="I1745" s="177"/>
    </row>
    <row r="1746" spans="3:9">
      <c r="C1746" s="177"/>
      <c r="D1746" s="177"/>
      <c r="E1746" s="177"/>
      <c r="F1746" s="177"/>
      <c r="G1746" s="179"/>
      <c r="H1746" s="179"/>
      <c r="I1746" s="177"/>
    </row>
    <row r="1747" spans="3:9">
      <c r="C1747" s="177"/>
      <c r="D1747" s="177"/>
      <c r="E1747" s="177"/>
      <c r="F1747" s="177"/>
      <c r="G1747" s="179"/>
      <c r="H1747" s="179"/>
      <c r="I1747" s="177"/>
    </row>
    <row r="1748" spans="3:9">
      <c r="C1748" s="177"/>
      <c r="D1748" s="177"/>
      <c r="E1748" s="177"/>
      <c r="F1748" s="177"/>
      <c r="G1748" s="179"/>
      <c r="H1748" s="179"/>
      <c r="I1748" s="177"/>
    </row>
    <row r="1749" spans="3:9">
      <c r="C1749" s="177"/>
      <c r="D1749" s="177"/>
      <c r="E1749" s="177"/>
      <c r="F1749" s="177"/>
      <c r="G1749" s="179"/>
      <c r="H1749" s="179"/>
      <c r="I1749" s="177"/>
    </row>
    <row r="1750" spans="3:9">
      <c r="C1750" s="177"/>
      <c r="D1750" s="177"/>
      <c r="E1750" s="177"/>
      <c r="F1750" s="177"/>
      <c r="G1750" s="179"/>
      <c r="H1750" s="179"/>
      <c r="I1750" s="177"/>
    </row>
    <row r="1751" spans="3:9">
      <c r="C1751" s="177"/>
      <c r="D1751" s="177"/>
      <c r="E1751" s="177"/>
      <c r="F1751" s="177"/>
      <c r="G1751" s="179"/>
      <c r="H1751" s="179"/>
      <c r="I1751" s="177"/>
    </row>
    <row r="1752" spans="3:9">
      <c r="C1752" s="177"/>
      <c r="D1752" s="177"/>
      <c r="E1752" s="177"/>
      <c r="F1752" s="177"/>
      <c r="G1752" s="179"/>
      <c r="H1752" s="179"/>
      <c r="I1752" s="177"/>
    </row>
    <row r="1753" spans="3:9">
      <c r="C1753" s="177"/>
      <c r="D1753" s="177"/>
      <c r="E1753" s="177"/>
      <c r="F1753" s="177"/>
      <c r="G1753" s="179"/>
      <c r="H1753" s="179"/>
      <c r="I1753" s="177"/>
    </row>
    <row r="1754" spans="3:9">
      <c r="C1754" s="177"/>
      <c r="D1754" s="177"/>
      <c r="E1754" s="177"/>
      <c r="F1754" s="177"/>
      <c r="G1754" s="179"/>
      <c r="H1754" s="179"/>
      <c r="I1754" s="177"/>
    </row>
    <row r="1755" spans="3:9">
      <c r="C1755" s="177"/>
      <c r="D1755" s="177"/>
      <c r="E1755" s="177"/>
      <c r="F1755" s="177"/>
      <c r="G1755" s="179"/>
      <c r="H1755" s="179"/>
      <c r="I1755" s="177"/>
    </row>
    <row r="1756" spans="3:9">
      <c r="C1756" s="177"/>
      <c r="D1756" s="177"/>
      <c r="E1756" s="177"/>
      <c r="F1756" s="177"/>
      <c r="G1756" s="179"/>
      <c r="H1756" s="179"/>
      <c r="I1756" s="177"/>
    </row>
    <row r="1757" spans="3:9">
      <c r="C1757" s="177"/>
      <c r="D1757" s="177"/>
      <c r="E1757" s="177"/>
      <c r="F1757" s="177"/>
      <c r="G1757" s="179"/>
      <c r="H1757" s="179"/>
      <c r="I1757" s="177"/>
    </row>
    <row r="1758" spans="3:9">
      <c r="C1758" s="177"/>
      <c r="D1758" s="177"/>
      <c r="E1758" s="177"/>
      <c r="F1758" s="177"/>
      <c r="G1758" s="179"/>
      <c r="H1758" s="179"/>
      <c r="I1758" s="177"/>
    </row>
    <row r="1759" spans="3:9">
      <c r="C1759" s="177"/>
      <c r="D1759" s="177"/>
      <c r="E1759" s="177"/>
      <c r="F1759" s="177"/>
      <c r="G1759" s="179"/>
      <c r="H1759" s="179"/>
      <c r="I1759" s="177"/>
    </row>
    <row r="1760" spans="3:9">
      <c r="C1760" s="177"/>
      <c r="D1760" s="177"/>
      <c r="E1760" s="177"/>
      <c r="F1760" s="177"/>
      <c r="G1760" s="179"/>
      <c r="H1760" s="179"/>
      <c r="I1760" s="177"/>
    </row>
    <row r="1761" spans="3:9">
      <c r="C1761" s="177"/>
      <c r="D1761" s="177"/>
      <c r="E1761" s="177"/>
      <c r="F1761" s="177"/>
      <c r="G1761" s="179"/>
      <c r="H1761" s="179"/>
      <c r="I1761" s="177"/>
    </row>
    <row r="1762" spans="3:9">
      <c r="C1762" s="177"/>
      <c r="D1762" s="177"/>
      <c r="E1762" s="177"/>
      <c r="F1762" s="177"/>
      <c r="G1762" s="179"/>
      <c r="H1762" s="179"/>
      <c r="I1762" s="177"/>
    </row>
    <row r="1763" spans="3:9">
      <c r="C1763" s="177"/>
      <c r="D1763" s="177"/>
      <c r="E1763" s="177"/>
      <c r="F1763" s="177"/>
      <c r="G1763" s="179"/>
      <c r="H1763" s="179"/>
      <c r="I1763" s="177"/>
    </row>
    <row r="1764" spans="3:9">
      <c r="C1764" s="177"/>
      <c r="D1764" s="177"/>
      <c r="E1764" s="177"/>
      <c r="F1764" s="177"/>
      <c r="G1764" s="179"/>
      <c r="H1764" s="179"/>
      <c r="I1764" s="177"/>
    </row>
    <row r="1765" spans="3:9">
      <c r="C1765" s="177"/>
      <c r="D1765" s="177"/>
      <c r="E1765" s="177"/>
      <c r="F1765" s="177"/>
      <c r="G1765" s="179"/>
      <c r="H1765" s="179"/>
      <c r="I1765" s="177"/>
    </row>
    <row r="1766" spans="3:9">
      <c r="C1766" s="177"/>
      <c r="D1766" s="177"/>
      <c r="E1766" s="177"/>
      <c r="F1766" s="177"/>
      <c r="G1766" s="179"/>
      <c r="H1766" s="179"/>
      <c r="I1766" s="177"/>
    </row>
    <row r="1767" spans="3:9">
      <c r="C1767" s="177"/>
      <c r="D1767" s="177"/>
      <c r="E1767" s="177"/>
      <c r="F1767" s="177"/>
      <c r="G1767" s="179"/>
      <c r="H1767" s="179"/>
      <c r="I1767" s="177"/>
    </row>
    <row r="1768" spans="3:9">
      <c r="C1768" s="177"/>
      <c r="D1768" s="177"/>
      <c r="E1768" s="177"/>
      <c r="F1768" s="177"/>
      <c r="G1768" s="179"/>
      <c r="H1768" s="179"/>
      <c r="I1768" s="177"/>
    </row>
    <row r="1769" spans="3:9">
      <c r="C1769" s="177"/>
      <c r="D1769" s="177"/>
      <c r="E1769" s="177"/>
      <c r="F1769" s="177"/>
      <c r="G1769" s="179"/>
      <c r="H1769" s="179"/>
      <c r="I1769" s="177"/>
    </row>
    <row r="1770" spans="3:9">
      <c r="C1770" s="177"/>
      <c r="D1770" s="177"/>
      <c r="E1770" s="177"/>
      <c r="F1770" s="177"/>
      <c r="G1770" s="179"/>
      <c r="H1770" s="179"/>
      <c r="I1770" s="177"/>
    </row>
    <row r="1771" spans="3:9">
      <c r="C1771" s="177"/>
      <c r="D1771" s="177"/>
      <c r="E1771" s="177"/>
      <c r="F1771" s="177"/>
      <c r="G1771" s="179"/>
      <c r="H1771" s="179"/>
      <c r="I1771" s="177"/>
    </row>
    <row r="1772" spans="3:9">
      <c r="C1772" s="177"/>
      <c r="D1772" s="177"/>
      <c r="E1772" s="177"/>
      <c r="F1772" s="177"/>
      <c r="G1772" s="179"/>
      <c r="H1772" s="179"/>
      <c r="I1772" s="177"/>
    </row>
    <row r="1773" spans="3:9">
      <c r="C1773" s="177"/>
      <c r="D1773" s="177"/>
      <c r="E1773" s="177"/>
      <c r="F1773" s="177"/>
      <c r="G1773" s="179"/>
      <c r="H1773" s="179"/>
      <c r="I1773" s="177"/>
    </row>
    <row r="1774" spans="3:9">
      <c r="C1774" s="177"/>
      <c r="D1774" s="177"/>
      <c r="E1774" s="177"/>
      <c r="F1774" s="177"/>
      <c r="G1774" s="179"/>
      <c r="H1774" s="179"/>
      <c r="I1774" s="177"/>
    </row>
    <row r="1775" spans="3:9">
      <c r="C1775" s="177"/>
      <c r="D1775" s="177"/>
      <c r="E1775" s="177"/>
      <c r="F1775" s="177"/>
      <c r="G1775" s="179"/>
      <c r="H1775" s="179"/>
      <c r="I1775" s="177"/>
    </row>
    <row r="1776" spans="3:9">
      <c r="C1776" s="177"/>
      <c r="D1776" s="177"/>
      <c r="E1776" s="177"/>
      <c r="F1776" s="177"/>
      <c r="G1776" s="179"/>
      <c r="H1776" s="179"/>
      <c r="I1776" s="177"/>
    </row>
    <row r="1777" spans="3:9">
      <c r="C1777" s="177"/>
      <c r="D1777" s="177"/>
      <c r="E1777" s="177"/>
      <c r="F1777" s="177"/>
      <c r="G1777" s="179"/>
      <c r="H1777" s="179"/>
      <c r="I1777" s="177"/>
    </row>
    <row r="1778" spans="3:9">
      <c r="C1778" s="177"/>
      <c r="D1778" s="177"/>
      <c r="E1778" s="177"/>
      <c r="F1778" s="177"/>
      <c r="G1778" s="179"/>
      <c r="H1778" s="179"/>
      <c r="I1778" s="177"/>
    </row>
    <row r="1779" spans="3:9">
      <c r="C1779" s="177"/>
      <c r="D1779" s="177"/>
      <c r="E1779" s="177"/>
      <c r="F1779" s="177"/>
      <c r="G1779" s="179"/>
      <c r="H1779" s="179"/>
      <c r="I1779" s="177"/>
    </row>
    <row r="1780" spans="3:9">
      <c r="C1780" s="177"/>
      <c r="D1780" s="177"/>
      <c r="E1780" s="177"/>
      <c r="F1780" s="177"/>
      <c r="G1780" s="179"/>
      <c r="H1780" s="179"/>
      <c r="I1780" s="177"/>
    </row>
    <row r="1781" spans="3:9">
      <c r="C1781" s="177"/>
      <c r="D1781" s="177"/>
      <c r="E1781" s="177"/>
      <c r="F1781" s="177"/>
      <c r="G1781" s="179"/>
      <c r="H1781" s="179"/>
      <c r="I1781" s="177"/>
    </row>
    <row r="1782" spans="3:9">
      <c r="C1782" s="177"/>
      <c r="D1782" s="177"/>
      <c r="E1782" s="177"/>
      <c r="F1782" s="177"/>
      <c r="G1782" s="179"/>
      <c r="H1782" s="179"/>
      <c r="I1782" s="177"/>
    </row>
    <row r="1783" spans="3:9">
      <c r="C1783" s="177"/>
      <c r="D1783" s="177"/>
      <c r="E1783" s="177"/>
      <c r="F1783" s="177"/>
      <c r="G1783" s="179"/>
      <c r="H1783" s="179"/>
      <c r="I1783" s="177"/>
    </row>
    <row r="1784" spans="3:9">
      <c r="C1784" s="177"/>
      <c r="D1784" s="177"/>
      <c r="E1784" s="177"/>
      <c r="F1784" s="177"/>
      <c r="G1784" s="179"/>
      <c r="H1784" s="179"/>
      <c r="I1784" s="177"/>
    </row>
    <row r="1785" spans="3:9">
      <c r="C1785" s="177"/>
      <c r="D1785" s="177"/>
      <c r="E1785" s="177"/>
      <c r="F1785" s="177"/>
      <c r="G1785" s="179"/>
      <c r="H1785" s="179"/>
      <c r="I1785" s="177"/>
    </row>
    <row r="1786" spans="3:9">
      <c r="C1786" s="177"/>
      <c r="D1786" s="177"/>
      <c r="E1786" s="177"/>
      <c r="F1786" s="177"/>
      <c r="G1786" s="179"/>
      <c r="H1786" s="179"/>
      <c r="I1786" s="177"/>
    </row>
    <row r="1787" spans="3:9">
      <c r="C1787" s="177"/>
      <c r="D1787" s="177"/>
      <c r="E1787" s="177"/>
      <c r="F1787" s="177"/>
      <c r="G1787" s="179"/>
      <c r="H1787" s="179"/>
      <c r="I1787" s="177"/>
    </row>
    <row r="1788" spans="3:9">
      <c r="C1788" s="177"/>
      <c r="D1788" s="177"/>
      <c r="E1788" s="177"/>
      <c r="F1788" s="177"/>
      <c r="G1788" s="179"/>
      <c r="H1788" s="179"/>
      <c r="I1788" s="177"/>
    </row>
    <row r="1789" spans="3:9">
      <c r="C1789" s="177"/>
      <c r="D1789" s="177"/>
      <c r="E1789" s="177"/>
      <c r="F1789" s="177"/>
      <c r="G1789" s="179"/>
      <c r="H1789" s="179"/>
      <c r="I1789" s="177"/>
    </row>
    <row r="1790" spans="3:9">
      <c r="C1790" s="177"/>
      <c r="D1790" s="177"/>
      <c r="E1790" s="177"/>
      <c r="F1790" s="177"/>
      <c r="G1790" s="179"/>
      <c r="H1790" s="179"/>
      <c r="I1790" s="177"/>
    </row>
    <row r="1791" spans="3:9">
      <c r="C1791" s="177"/>
      <c r="D1791" s="177"/>
      <c r="E1791" s="177"/>
      <c r="F1791" s="177"/>
      <c r="G1791" s="179"/>
      <c r="H1791" s="179"/>
      <c r="I1791" s="177"/>
    </row>
    <row r="1792" spans="3:9">
      <c r="C1792" s="177"/>
      <c r="D1792" s="177"/>
      <c r="E1792" s="177"/>
      <c r="F1792" s="177"/>
      <c r="G1792" s="179"/>
      <c r="H1792" s="179"/>
      <c r="I1792" s="177"/>
    </row>
    <row r="1793" spans="3:9">
      <c r="C1793" s="177"/>
      <c r="D1793" s="177"/>
      <c r="E1793" s="177"/>
      <c r="F1793" s="177"/>
      <c r="G1793" s="179"/>
      <c r="H1793" s="179"/>
      <c r="I1793" s="177"/>
    </row>
    <row r="1794" spans="3:9">
      <c r="C1794" s="177"/>
      <c r="D1794" s="177"/>
      <c r="E1794" s="177"/>
      <c r="F1794" s="177"/>
      <c r="G1794" s="179"/>
      <c r="H1794" s="179"/>
      <c r="I1794" s="177"/>
    </row>
    <row r="1795" spans="3:9">
      <c r="C1795" s="177"/>
      <c r="D1795" s="177"/>
      <c r="E1795" s="177"/>
      <c r="F1795" s="177"/>
      <c r="G1795" s="179"/>
      <c r="H1795" s="179"/>
      <c r="I1795" s="177"/>
    </row>
    <row r="1796" spans="3:9">
      <c r="C1796" s="177"/>
      <c r="D1796" s="177"/>
      <c r="E1796" s="177"/>
      <c r="F1796" s="177"/>
      <c r="G1796" s="179"/>
      <c r="H1796" s="179"/>
      <c r="I1796" s="177"/>
    </row>
    <row r="1797" spans="3:9">
      <c r="C1797" s="177"/>
      <c r="D1797" s="177"/>
      <c r="E1797" s="177"/>
      <c r="F1797" s="177"/>
      <c r="G1797" s="179"/>
      <c r="H1797" s="179"/>
      <c r="I1797" s="177"/>
    </row>
    <row r="1798" spans="3:9">
      <c r="C1798" s="177"/>
      <c r="D1798" s="177"/>
      <c r="E1798" s="177"/>
      <c r="F1798" s="177"/>
      <c r="G1798" s="179"/>
      <c r="H1798" s="179"/>
      <c r="I1798" s="177"/>
    </row>
    <row r="1799" spans="3:9">
      <c r="C1799" s="177"/>
      <c r="D1799" s="177"/>
      <c r="E1799" s="177"/>
      <c r="F1799" s="177"/>
      <c r="G1799" s="179"/>
      <c r="H1799" s="179"/>
      <c r="I1799" s="177"/>
    </row>
    <row r="1800" spans="3:9">
      <c r="C1800" s="177"/>
      <c r="D1800" s="177"/>
      <c r="E1800" s="177"/>
      <c r="F1800" s="177"/>
      <c r="G1800" s="179"/>
      <c r="H1800" s="179"/>
      <c r="I1800" s="177"/>
    </row>
    <row r="1801" spans="3:9">
      <c r="C1801" s="177"/>
      <c r="D1801" s="177"/>
      <c r="E1801" s="177"/>
      <c r="F1801" s="177"/>
      <c r="G1801" s="179"/>
      <c r="H1801" s="179"/>
      <c r="I1801" s="177"/>
    </row>
    <row r="1802" spans="3:9">
      <c r="C1802" s="177"/>
      <c r="D1802" s="177"/>
      <c r="E1802" s="177"/>
      <c r="F1802" s="177"/>
      <c r="G1802" s="179"/>
      <c r="H1802" s="179"/>
      <c r="I1802" s="177"/>
    </row>
    <row r="1803" spans="3:9">
      <c r="C1803" s="177"/>
      <c r="D1803" s="177"/>
      <c r="E1803" s="177"/>
      <c r="F1803" s="177"/>
      <c r="G1803" s="179"/>
      <c r="H1803" s="179"/>
      <c r="I1803" s="177"/>
    </row>
    <row r="1804" spans="3:9">
      <c r="C1804" s="177"/>
      <c r="D1804" s="177"/>
      <c r="E1804" s="177"/>
      <c r="F1804" s="177"/>
      <c r="G1804" s="179"/>
      <c r="H1804" s="179"/>
      <c r="I1804" s="177"/>
    </row>
    <row r="1805" spans="3:9">
      <c r="C1805" s="177"/>
      <c r="D1805" s="177"/>
      <c r="E1805" s="177"/>
      <c r="F1805" s="177"/>
      <c r="G1805" s="179"/>
      <c r="H1805" s="179"/>
      <c r="I1805" s="177"/>
    </row>
    <row r="1806" spans="3:9">
      <c r="C1806" s="177"/>
      <c r="D1806" s="177"/>
      <c r="E1806" s="177"/>
      <c r="F1806" s="177"/>
      <c r="G1806" s="179"/>
      <c r="H1806" s="179"/>
      <c r="I1806" s="177"/>
    </row>
    <row r="1807" spans="3:9">
      <c r="C1807" s="177"/>
      <c r="D1807" s="177"/>
      <c r="E1807" s="177"/>
      <c r="F1807" s="177"/>
      <c r="G1807" s="179"/>
      <c r="H1807" s="179"/>
      <c r="I1807" s="177"/>
    </row>
    <row r="1808" spans="3:9">
      <c r="C1808" s="177"/>
      <c r="D1808" s="177"/>
      <c r="E1808" s="177"/>
      <c r="F1808" s="177"/>
      <c r="G1808" s="179"/>
      <c r="H1808" s="179"/>
      <c r="I1808" s="177"/>
    </row>
    <row r="1809" spans="3:9">
      <c r="C1809" s="177"/>
      <c r="D1809" s="177"/>
      <c r="E1809" s="177"/>
      <c r="F1809" s="177"/>
      <c r="G1809" s="179"/>
      <c r="H1809" s="179"/>
      <c r="I1809" s="177"/>
    </row>
    <row r="1810" spans="3:9">
      <c r="C1810" s="177"/>
      <c r="D1810" s="177"/>
      <c r="E1810" s="177"/>
      <c r="F1810" s="177"/>
      <c r="G1810" s="179"/>
      <c r="H1810" s="179"/>
      <c r="I1810" s="177"/>
    </row>
    <row r="1811" spans="3:9">
      <c r="C1811" s="177"/>
      <c r="D1811" s="177"/>
      <c r="E1811" s="177"/>
      <c r="F1811" s="177"/>
      <c r="G1811" s="179"/>
      <c r="H1811" s="179"/>
      <c r="I1811" s="177"/>
    </row>
    <row r="1812" spans="3:9">
      <c r="C1812" s="177"/>
      <c r="D1812" s="177"/>
      <c r="E1812" s="177"/>
      <c r="F1812" s="177"/>
      <c r="G1812" s="179"/>
      <c r="H1812" s="179"/>
      <c r="I1812" s="177"/>
    </row>
    <row r="1813" spans="3:9">
      <c r="C1813" s="177"/>
      <c r="D1813" s="177"/>
      <c r="E1813" s="177"/>
      <c r="F1813" s="177"/>
      <c r="G1813" s="179"/>
      <c r="H1813" s="179"/>
      <c r="I1813" s="177"/>
    </row>
    <row r="1814" spans="3:9">
      <c r="C1814" s="177"/>
      <c r="D1814" s="177"/>
      <c r="E1814" s="177"/>
      <c r="F1814" s="177"/>
      <c r="G1814" s="179"/>
      <c r="H1814" s="179"/>
      <c r="I1814" s="177"/>
    </row>
    <row r="1815" spans="3:9">
      <c r="C1815" s="177"/>
      <c r="D1815" s="177"/>
      <c r="E1815" s="177"/>
      <c r="F1815" s="177"/>
      <c r="G1815" s="179"/>
      <c r="H1815" s="179"/>
      <c r="I1815" s="177"/>
    </row>
    <row r="1816" spans="3:9">
      <c r="C1816" s="177"/>
      <c r="D1816" s="177"/>
      <c r="E1816" s="177"/>
      <c r="F1816" s="177"/>
      <c r="G1816" s="179"/>
      <c r="H1816" s="179"/>
      <c r="I1816" s="177"/>
    </row>
    <row r="1817" spans="3:9">
      <c r="C1817" s="177"/>
      <c r="D1817" s="177"/>
      <c r="E1817" s="177"/>
      <c r="F1817" s="177"/>
      <c r="G1817" s="179"/>
      <c r="H1817" s="179"/>
      <c r="I1817" s="177"/>
    </row>
    <row r="1818" spans="3:9">
      <c r="C1818" s="177"/>
      <c r="D1818" s="177"/>
      <c r="E1818" s="177"/>
      <c r="F1818" s="177"/>
      <c r="G1818" s="179"/>
      <c r="H1818" s="179"/>
      <c r="I1818" s="177"/>
    </row>
    <row r="1819" spans="3:9">
      <c r="C1819" s="177"/>
      <c r="D1819" s="177"/>
      <c r="E1819" s="177"/>
      <c r="F1819" s="177"/>
      <c r="G1819" s="179"/>
      <c r="H1819" s="179"/>
      <c r="I1819" s="177"/>
    </row>
    <row r="1820" spans="3:9">
      <c r="C1820" s="177"/>
      <c r="D1820" s="177"/>
      <c r="E1820" s="177"/>
      <c r="F1820" s="177"/>
      <c r="G1820" s="179"/>
      <c r="H1820" s="179"/>
      <c r="I1820" s="177"/>
    </row>
    <row r="1821" spans="3:9">
      <c r="C1821" s="177"/>
      <c r="D1821" s="177"/>
      <c r="E1821" s="177"/>
      <c r="F1821" s="177"/>
      <c r="G1821" s="179"/>
      <c r="H1821" s="179"/>
      <c r="I1821" s="177"/>
    </row>
    <row r="1822" spans="3:9">
      <c r="C1822" s="177"/>
      <c r="D1822" s="177"/>
      <c r="E1822" s="177"/>
      <c r="F1822" s="177"/>
      <c r="G1822" s="179"/>
      <c r="H1822" s="179"/>
      <c r="I1822" s="177"/>
    </row>
    <row r="1823" spans="3:9">
      <c r="C1823" s="177"/>
      <c r="D1823" s="177"/>
      <c r="E1823" s="177"/>
      <c r="F1823" s="177"/>
      <c r="G1823" s="179"/>
      <c r="H1823" s="179"/>
      <c r="I1823" s="177"/>
    </row>
    <row r="1824" spans="3:9">
      <c r="C1824" s="177"/>
      <c r="D1824" s="177"/>
      <c r="E1824" s="177"/>
      <c r="F1824" s="177"/>
      <c r="G1824" s="179"/>
      <c r="H1824" s="179"/>
      <c r="I1824" s="177"/>
    </row>
    <row r="1825" spans="3:9">
      <c r="C1825" s="177"/>
      <c r="D1825" s="177"/>
      <c r="E1825" s="177"/>
      <c r="F1825" s="177"/>
      <c r="G1825" s="179"/>
      <c r="H1825" s="179"/>
      <c r="I1825" s="177"/>
    </row>
    <row r="1826" spans="3:9">
      <c r="C1826" s="177"/>
      <c r="D1826" s="177"/>
      <c r="E1826" s="177"/>
      <c r="F1826" s="177"/>
      <c r="G1826" s="179"/>
      <c r="H1826" s="179"/>
      <c r="I1826" s="177"/>
    </row>
    <row r="1827" spans="3:9">
      <c r="C1827" s="177"/>
      <c r="D1827" s="177"/>
      <c r="E1827" s="177"/>
      <c r="F1827" s="177"/>
      <c r="G1827" s="179"/>
      <c r="H1827" s="179"/>
      <c r="I1827" s="177"/>
    </row>
    <row r="1828" spans="3:9">
      <c r="C1828" s="177"/>
      <c r="D1828" s="177"/>
      <c r="E1828" s="177"/>
      <c r="F1828" s="177"/>
      <c r="G1828" s="179"/>
      <c r="H1828" s="179"/>
      <c r="I1828" s="177"/>
    </row>
    <row r="1829" spans="3:9">
      <c r="C1829" s="177"/>
      <c r="D1829" s="177"/>
      <c r="E1829" s="177"/>
      <c r="F1829" s="177"/>
      <c r="G1829" s="179"/>
      <c r="H1829" s="179"/>
      <c r="I1829" s="177"/>
    </row>
    <row r="1830" spans="3:9">
      <c r="C1830" s="177"/>
      <c r="D1830" s="177"/>
      <c r="E1830" s="177"/>
      <c r="F1830" s="177"/>
      <c r="G1830" s="179"/>
      <c r="H1830" s="179"/>
      <c r="I1830" s="177"/>
    </row>
    <row r="1831" spans="3:9">
      <c r="C1831" s="177"/>
      <c r="D1831" s="177"/>
      <c r="E1831" s="177"/>
      <c r="F1831" s="177"/>
      <c r="G1831" s="179"/>
      <c r="H1831" s="179"/>
      <c r="I1831" s="177"/>
    </row>
    <row r="1832" spans="3:9">
      <c r="C1832" s="177"/>
      <c r="D1832" s="177"/>
      <c r="E1832" s="177"/>
      <c r="F1832" s="177"/>
      <c r="G1832" s="179"/>
      <c r="H1832" s="179"/>
      <c r="I1832" s="177"/>
    </row>
    <row r="1833" spans="3:9">
      <c r="C1833" s="177"/>
      <c r="D1833" s="177"/>
      <c r="E1833" s="177"/>
      <c r="F1833" s="177"/>
      <c r="G1833" s="179"/>
      <c r="H1833" s="179"/>
      <c r="I1833" s="177"/>
    </row>
    <row r="1834" spans="3:9">
      <c r="C1834" s="177"/>
      <c r="D1834" s="177"/>
      <c r="E1834" s="177"/>
      <c r="F1834" s="177"/>
      <c r="G1834" s="179"/>
      <c r="H1834" s="179"/>
      <c r="I1834" s="177"/>
    </row>
    <row r="1835" spans="3:9">
      <c r="C1835" s="177"/>
      <c r="D1835" s="177"/>
      <c r="E1835" s="177"/>
      <c r="F1835" s="177"/>
      <c r="G1835" s="179"/>
      <c r="H1835" s="179"/>
      <c r="I1835" s="177"/>
    </row>
    <row r="1836" spans="3:9">
      <c r="C1836" s="177"/>
      <c r="D1836" s="177"/>
      <c r="E1836" s="177"/>
      <c r="F1836" s="177"/>
      <c r="G1836" s="179"/>
      <c r="H1836" s="179"/>
      <c r="I1836" s="177"/>
    </row>
    <row r="1837" spans="3:9">
      <c r="C1837" s="177"/>
      <c r="D1837" s="177"/>
      <c r="E1837" s="177"/>
      <c r="F1837" s="177"/>
      <c r="G1837" s="179"/>
      <c r="H1837" s="179"/>
      <c r="I1837" s="177"/>
    </row>
    <row r="1838" spans="3:9">
      <c r="C1838" s="177"/>
      <c r="D1838" s="177"/>
      <c r="E1838" s="177"/>
      <c r="F1838" s="177"/>
      <c r="G1838" s="179"/>
      <c r="H1838" s="179"/>
      <c r="I1838" s="177"/>
    </row>
    <row r="1839" spans="3:9">
      <c r="C1839" s="177"/>
      <c r="D1839" s="177"/>
      <c r="E1839" s="177"/>
      <c r="F1839" s="177"/>
      <c r="G1839" s="179"/>
      <c r="H1839" s="179"/>
      <c r="I1839" s="177"/>
    </row>
    <row r="1840" spans="3:9">
      <c r="C1840" s="177"/>
      <c r="D1840" s="177"/>
      <c r="E1840" s="177"/>
      <c r="F1840" s="177"/>
      <c r="G1840" s="179"/>
      <c r="H1840" s="179"/>
      <c r="I1840" s="177"/>
    </row>
    <row r="1841" spans="3:9">
      <c r="C1841" s="177"/>
      <c r="D1841" s="177"/>
      <c r="E1841" s="177"/>
      <c r="F1841" s="177"/>
      <c r="G1841" s="179"/>
      <c r="H1841" s="179"/>
      <c r="I1841" s="177"/>
    </row>
    <row r="1842" spans="3:9">
      <c r="C1842" s="177"/>
      <c r="D1842" s="177"/>
      <c r="E1842" s="177"/>
      <c r="F1842" s="177"/>
      <c r="G1842" s="179"/>
      <c r="H1842" s="179"/>
      <c r="I1842" s="177"/>
    </row>
    <row r="1843" spans="3:9">
      <c r="C1843" s="177"/>
      <c r="D1843" s="177"/>
      <c r="E1843" s="177"/>
      <c r="F1843" s="177"/>
      <c r="G1843" s="179"/>
      <c r="H1843" s="179"/>
      <c r="I1843" s="177"/>
    </row>
    <row r="1844" spans="3:9">
      <c r="C1844" s="177"/>
      <c r="D1844" s="177"/>
      <c r="E1844" s="177"/>
      <c r="F1844" s="177"/>
      <c r="G1844" s="179"/>
      <c r="H1844" s="179"/>
      <c r="I1844" s="177"/>
    </row>
    <row r="1845" spans="3:9">
      <c r="C1845" s="177"/>
      <c r="D1845" s="177"/>
      <c r="E1845" s="177"/>
      <c r="F1845" s="177"/>
      <c r="G1845" s="179"/>
      <c r="H1845" s="179"/>
      <c r="I1845" s="177"/>
    </row>
    <row r="1846" spans="3:9">
      <c r="C1846" s="177"/>
      <c r="D1846" s="177"/>
      <c r="E1846" s="177"/>
      <c r="F1846" s="177"/>
      <c r="G1846" s="179"/>
      <c r="H1846" s="179"/>
      <c r="I1846" s="177"/>
    </row>
    <row r="1847" spans="3:9">
      <c r="C1847" s="177"/>
      <c r="D1847" s="177"/>
      <c r="E1847" s="177"/>
      <c r="F1847" s="177"/>
      <c r="G1847" s="179"/>
      <c r="H1847" s="179"/>
      <c r="I1847" s="177"/>
    </row>
    <row r="1848" spans="3:9">
      <c r="C1848" s="177"/>
      <c r="D1848" s="177"/>
      <c r="E1848" s="177"/>
      <c r="F1848" s="177"/>
      <c r="G1848" s="179"/>
      <c r="H1848" s="179"/>
      <c r="I1848" s="177"/>
    </row>
    <row r="1849" spans="3:9">
      <c r="C1849" s="177"/>
      <c r="D1849" s="177"/>
      <c r="E1849" s="177"/>
      <c r="F1849" s="177"/>
      <c r="G1849" s="179"/>
      <c r="H1849" s="179"/>
      <c r="I1849" s="177"/>
    </row>
    <row r="1850" spans="3:9">
      <c r="C1850" s="177"/>
      <c r="D1850" s="177"/>
      <c r="E1850" s="177"/>
      <c r="F1850" s="177"/>
      <c r="G1850" s="179"/>
      <c r="H1850" s="179"/>
      <c r="I1850" s="177"/>
    </row>
    <row r="1851" spans="3:9">
      <c r="C1851" s="177"/>
      <c r="D1851" s="177"/>
      <c r="E1851" s="177"/>
      <c r="F1851" s="177"/>
      <c r="G1851" s="179"/>
      <c r="H1851" s="179"/>
      <c r="I1851" s="177"/>
    </row>
    <row r="1852" spans="3:9">
      <c r="C1852" s="177"/>
      <c r="D1852" s="177"/>
      <c r="E1852" s="177"/>
      <c r="F1852" s="177"/>
      <c r="G1852" s="179"/>
      <c r="H1852" s="179"/>
      <c r="I1852" s="177"/>
    </row>
    <row r="1853" spans="3:9">
      <c r="C1853" s="177"/>
      <c r="D1853" s="177"/>
      <c r="E1853" s="177"/>
      <c r="F1853" s="177"/>
      <c r="G1853" s="179"/>
      <c r="H1853" s="179"/>
      <c r="I1853" s="177"/>
    </row>
    <row r="1854" spans="3:9">
      <c r="C1854" s="177"/>
      <c r="D1854" s="177"/>
      <c r="E1854" s="177"/>
      <c r="F1854" s="177"/>
      <c r="G1854" s="179"/>
      <c r="H1854" s="179"/>
      <c r="I1854" s="177"/>
    </row>
    <row r="1855" spans="3:9">
      <c r="C1855" s="177"/>
      <c r="D1855" s="177"/>
      <c r="E1855" s="177"/>
      <c r="F1855" s="177"/>
      <c r="G1855" s="179"/>
      <c r="H1855" s="179"/>
      <c r="I1855" s="177"/>
    </row>
    <row r="1856" spans="3:9">
      <c r="C1856" s="177"/>
      <c r="D1856" s="177"/>
      <c r="E1856" s="177"/>
      <c r="F1856" s="177"/>
      <c r="G1856" s="179"/>
      <c r="H1856" s="179"/>
      <c r="I1856" s="177"/>
    </row>
    <row r="1857" spans="3:9">
      <c r="C1857" s="177"/>
      <c r="D1857" s="177"/>
      <c r="E1857" s="177"/>
      <c r="F1857" s="177"/>
      <c r="G1857" s="179"/>
      <c r="H1857" s="179"/>
      <c r="I1857" s="177"/>
    </row>
    <row r="1858" spans="3:9">
      <c r="C1858" s="177"/>
      <c r="D1858" s="177"/>
      <c r="E1858" s="177"/>
      <c r="F1858" s="177"/>
      <c r="G1858" s="179"/>
      <c r="H1858" s="179"/>
      <c r="I1858" s="177"/>
    </row>
    <row r="1859" spans="3:9">
      <c r="C1859" s="177"/>
      <c r="D1859" s="177"/>
      <c r="E1859" s="177"/>
      <c r="F1859" s="177"/>
      <c r="G1859" s="179"/>
      <c r="H1859" s="179"/>
      <c r="I1859" s="177"/>
    </row>
    <row r="1860" spans="3:9">
      <c r="C1860" s="177"/>
      <c r="D1860" s="177"/>
      <c r="E1860" s="177"/>
      <c r="F1860" s="177"/>
      <c r="G1860" s="179"/>
      <c r="H1860" s="179"/>
      <c r="I1860" s="177"/>
    </row>
    <row r="1861" spans="3:9">
      <c r="C1861" s="177"/>
      <c r="D1861" s="177"/>
      <c r="E1861" s="177"/>
      <c r="F1861" s="177"/>
      <c r="G1861" s="179"/>
      <c r="H1861" s="179"/>
      <c r="I1861" s="177"/>
    </row>
    <row r="1862" spans="3:9">
      <c r="C1862" s="177"/>
      <c r="D1862" s="177"/>
      <c r="E1862" s="177"/>
      <c r="F1862" s="177"/>
      <c r="G1862" s="179"/>
      <c r="H1862" s="179"/>
      <c r="I1862" s="177"/>
    </row>
    <row r="1863" spans="3:9">
      <c r="C1863" s="177"/>
      <c r="D1863" s="177"/>
      <c r="E1863" s="177"/>
      <c r="F1863" s="177"/>
      <c r="G1863" s="179"/>
      <c r="H1863" s="179"/>
      <c r="I1863" s="177"/>
    </row>
    <row r="1864" spans="3:9">
      <c r="C1864" s="177"/>
      <c r="D1864" s="177"/>
      <c r="E1864" s="177"/>
      <c r="F1864" s="177"/>
      <c r="G1864" s="179"/>
      <c r="H1864" s="179"/>
      <c r="I1864" s="177"/>
    </row>
    <row r="1865" spans="3:9">
      <c r="C1865" s="177"/>
      <c r="D1865" s="177"/>
      <c r="E1865" s="177"/>
      <c r="F1865" s="177"/>
      <c r="G1865" s="179"/>
      <c r="H1865" s="179"/>
      <c r="I1865" s="177"/>
    </row>
    <row r="1866" spans="3:9">
      <c r="C1866" s="177"/>
      <c r="D1866" s="177"/>
      <c r="E1866" s="177"/>
      <c r="F1866" s="177"/>
      <c r="G1866" s="179"/>
      <c r="H1866" s="179"/>
      <c r="I1866" s="177"/>
    </row>
    <row r="1867" spans="3:9">
      <c r="C1867" s="177"/>
      <c r="D1867" s="177"/>
      <c r="E1867" s="177"/>
      <c r="F1867" s="177"/>
      <c r="G1867" s="179"/>
      <c r="H1867" s="179"/>
      <c r="I1867" s="177"/>
    </row>
    <row r="1868" spans="3:9">
      <c r="C1868" s="177"/>
      <c r="D1868" s="177"/>
      <c r="E1868" s="177"/>
      <c r="F1868" s="177"/>
      <c r="G1868" s="179"/>
      <c r="H1868" s="179"/>
      <c r="I1868" s="177"/>
    </row>
    <row r="1869" spans="3:9">
      <c r="C1869" s="177"/>
      <c r="D1869" s="177"/>
      <c r="E1869" s="177"/>
      <c r="F1869" s="177"/>
      <c r="G1869" s="179"/>
      <c r="H1869" s="179"/>
      <c r="I1869" s="177"/>
    </row>
    <row r="1870" spans="3:9">
      <c r="C1870" s="177"/>
      <c r="D1870" s="177"/>
      <c r="E1870" s="177"/>
      <c r="F1870" s="177"/>
      <c r="G1870" s="179"/>
      <c r="H1870" s="179"/>
      <c r="I1870" s="177"/>
    </row>
    <row r="1871" spans="3:9">
      <c r="C1871" s="177"/>
      <c r="D1871" s="177"/>
      <c r="E1871" s="177"/>
      <c r="F1871" s="177"/>
      <c r="G1871" s="179"/>
      <c r="H1871" s="179"/>
      <c r="I1871" s="177"/>
    </row>
    <row r="1872" spans="3:9">
      <c r="C1872" s="177"/>
      <c r="D1872" s="177"/>
      <c r="E1872" s="177"/>
      <c r="F1872" s="177"/>
      <c r="G1872" s="179"/>
      <c r="H1872" s="179"/>
      <c r="I1872" s="177"/>
    </row>
    <row r="1873" spans="3:9">
      <c r="C1873" s="177"/>
      <c r="D1873" s="177"/>
      <c r="E1873" s="177"/>
      <c r="F1873" s="177"/>
      <c r="G1873" s="179"/>
      <c r="H1873" s="179"/>
      <c r="I1873" s="177"/>
    </row>
    <row r="1874" spans="3:9">
      <c r="C1874" s="177"/>
      <c r="D1874" s="177"/>
      <c r="E1874" s="177"/>
      <c r="F1874" s="177"/>
      <c r="G1874" s="179"/>
      <c r="H1874" s="179"/>
      <c r="I1874" s="177"/>
    </row>
    <row r="1875" spans="3:9">
      <c r="C1875" s="177"/>
      <c r="D1875" s="177"/>
      <c r="E1875" s="177"/>
      <c r="F1875" s="177"/>
      <c r="G1875" s="179"/>
      <c r="H1875" s="179"/>
      <c r="I1875" s="177"/>
    </row>
    <row r="1876" spans="3:9">
      <c r="C1876" s="177"/>
      <c r="D1876" s="177"/>
      <c r="E1876" s="177"/>
      <c r="F1876" s="177"/>
      <c r="G1876" s="179"/>
      <c r="H1876" s="179"/>
      <c r="I1876" s="177"/>
    </row>
    <row r="1877" spans="3:9">
      <c r="C1877" s="177"/>
      <c r="D1877" s="177"/>
      <c r="E1877" s="177"/>
      <c r="F1877" s="177"/>
      <c r="G1877" s="179"/>
      <c r="H1877" s="179"/>
      <c r="I1877" s="177"/>
    </row>
    <row r="1878" spans="3:9">
      <c r="C1878" s="177"/>
      <c r="D1878" s="177"/>
      <c r="E1878" s="177"/>
      <c r="F1878" s="177"/>
      <c r="G1878" s="179"/>
      <c r="H1878" s="179"/>
      <c r="I1878" s="177"/>
    </row>
    <row r="1879" spans="3:9">
      <c r="C1879" s="177"/>
      <c r="D1879" s="177"/>
      <c r="E1879" s="177"/>
      <c r="F1879" s="177"/>
      <c r="G1879" s="179"/>
      <c r="H1879" s="179"/>
      <c r="I1879" s="177"/>
    </row>
    <row r="1880" spans="3:9">
      <c r="C1880" s="177"/>
      <c r="D1880" s="177"/>
      <c r="E1880" s="177"/>
      <c r="F1880" s="177"/>
      <c r="G1880" s="179"/>
      <c r="H1880" s="179"/>
      <c r="I1880" s="177"/>
    </row>
    <row r="1881" spans="3:9">
      <c r="C1881" s="177"/>
      <c r="D1881" s="177"/>
      <c r="E1881" s="177"/>
      <c r="F1881" s="177"/>
      <c r="G1881" s="179"/>
      <c r="H1881" s="179"/>
      <c r="I1881" s="177"/>
    </row>
    <row r="1882" spans="3:9">
      <c r="C1882" s="177"/>
      <c r="D1882" s="177"/>
      <c r="E1882" s="177"/>
      <c r="F1882" s="177"/>
      <c r="G1882" s="179"/>
      <c r="H1882" s="179"/>
      <c r="I1882" s="177"/>
    </row>
    <row r="1883" spans="3:9">
      <c r="C1883" s="177"/>
      <c r="D1883" s="177"/>
      <c r="E1883" s="177"/>
      <c r="F1883" s="177"/>
      <c r="G1883" s="179"/>
      <c r="H1883" s="179"/>
      <c r="I1883" s="177"/>
    </row>
    <row r="1884" spans="3:9">
      <c r="C1884" s="177"/>
      <c r="D1884" s="177"/>
      <c r="E1884" s="177"/>
      <c r="F1884" s="177"/>
      <c r="G1884" s="179"/>
      <c r="H1884" s="179"/>
      <c r="I1884" s="177"/>
    </row>
    <row r="1885" spans="3:9">
      <c r="C1885" s="177"/>
      <c r="D1885" s="177"/>
      <c r="E1885" s="177"/>
      <c r="F1885" s="177"/>
      <c r="G1885" s="179"/>
      <c r="H1885" s="179"/>
      <c r="I1885" s="177"/>
    </row>
    <row r="1886" spans="3:9">
      <c r="C1886" s="177"/>
      <c r="D1886" s="177"/>
      <c r="E1886" s="177"/>
      <c r="F1886" s="177"/>
      <c r="G1886" s="179"/>
      <c r="H1886" s="179"/>
      <c r="I1886" s="177"/>
    </row>
    <row r="1887" spans="3:9">
      <c r="C1887" s="177"/>
      <c r="D1887" s="177"/>
      <c r="E1887" s="177"/>
      <c r="F1887" s="177"/>
      <c r="G1887" s="179"/>
      <c r="H1887" s="179"/>
      <c r="I1887" s="177"/>
    </row>
    <row r="1888" spans="3:9">
      <c r="C1888" s="177"/>
      <c r="D1888" s="177"/>
      <c r="E1888" s="177"/>
      <c r="F1888" s="177"/>
      <c r="G1888" s="179"/>
      <c r="H1888" s="179"/>
      <c r="I1888" s="177"/>
    </row>
    <row r="1889" spans="3:9">
      <c r="C1889" s="177"/>
      <c r="D1889" s="177"/>
      <c r="E1889" s="177"/>
      <c r="F1889" s="177"/>
      <c r="G1889" s="179"/>
      <c r="H1889" s="179"/>
      <c r="I1889" s="177"/>
    </row>
    <row r="1890" spans="3:9">
      <c r="C1890" s="177"/>
      <c r="D1890" s="177"/>
      <c r="E1890" s="177"/>
      <c r="F1890" s="177"/>
      <c r="G1890" s="179"/>
      <c r="H1890" s="179"/>
      <c r="I1890" s="177"/>
    </row>
    <row r="1891" spans="3:9">
      <c r="C1891" s="177"/>
      <c r="D1891" s="177"/>
      <c r="E1891" s="177"/>
      <c r="F1891" s="177"/>
      <c r="G1891" s="179"/>
      <c r="H1891" s="179"/>
      <c r="I1891" s="177"/>
    </row>
    <row r="1892" spans="3:9">
      <c r="C1892" s="177"/>
      <c r="D1892" s="177"/>
      <c r="E1892" s="177"/>
      <c r="F1892" s="177"/>
      <c r="G1892" s="179"/>
      <c r="H1892" s="179"/>
      <c r="I1892" s="177"/>
    </row>
    <row r="1893" spans="3:9">
      <c r="C1893" s="177"/>
      <c r="D1893" s="177"/>
      <c r="E1893" s="177"/>
      <c r="F1893" s="177"/>
      <c r="G1893" s="179"/>
      <c r="H1893" s="179"/>
      <c r="I1893" s="177"/>
    </row>
    <row r="1894" spans="3:9">
      <c r="C1894" s="177"/>
      <c r="D1894" s="177"/>
      <c r="E1894" s="177"/>
      <c r="F1894" s="177"/>
      <c r="G1894" s="179"/>
      <c r="H1894" s="179"/>
      <c r="I1894" s="177"/>
    </row>
    <row r="1895" spans="3:9">
      <c r="C1895" s="177"/>
      <c r="D1895" s="177"/>
      <c r="E1895" s="177"/>
      <c r="F1895" s="177"/>
      <c r="G1895" s="179"/>
      <c r="H1895" s="179"/>
      <c r="I1895" s="177"/>
    </row>
    <row r="1896" spans="3:9">
      <c r="C1896" s="177"/>
      <c r="D1896" s="177"/>
      <c r="E1896" s="177"/>
      <c r="F1896" s="177"/>
      <c r="G1896" s="179"/>
      <c r="H1896" s="179"/>
      <c r="I1896" s="177"/>
    </row>
    <row r="1897" spans="3:9">
      <c r="C1897" s="177"/>
      <c r="D1897" s="177"/>
      <c r="E1897" s="177"/>
      <c r="F1897" s="177"/>
      <c r="G1897" s="179"/>
      <c r="H1897" s="179"/>
      <c r="I1897" s="177"/>
    </row>
    <row r="1898" spans="3:9">
      <c r="C1898" s="177"/>
      <c r="D1898" s="177"/>
      <c r="E1898" s="177"/>
      <c r="F1898" s="177"/>
      <c r="G1898" s="179"/>
      <c r="H1898" s="179"/>
      <c r="I1898" s="177"/>
    </row>
    <row r="1899" spans="3:9">
      <c r="C1899" s="177"/>
      <c r="D1899" s="177"/>
      <c r="E1899" s="177"/>
      <c r="F1899" s="177"/>
      <c r="G1899" s="179"/>
      <c r="H1899" s="179"/>
      <c r="I1899" s="177"/>
    </row>
    <row r="1900" spans="3:9">
      <c r="C1900" s="177"/>
      <c r="D1900" s="177"/>
      <c r="E1900" s="177"/>
      <c r="F1900" s="177"/>
      <c r="G1900" s="179"/>
      <c r="H1900" s="179"/>
      <c r="I1900" s="177"/>
    </row>
    <row r="1901" spans="3:9">
      <c r="C1901" s="177"/>
      <c r="D1901" s="177"/>
      <c r="E1901" s="177"/>
      <c r="F1901" s="177"/>
      <c r="G1901" s="179"/>
      <c r="H1901" s="179"/>
      <c r="I1901" s="177"/>
    </row>
    <row r="1902" spans="3:9">
      <c r="C1902" s="177"/>
      <c r="D1902" s="177"/>
      <c r="E1902" s="177"/>
      <c r="F1902" s="177"/>
      <c r="G1902" s="179"/>
      <c r="H1902" s="179"/>
      <c r="I1902" s="177"/>
    </row>
    <row r="1903" spans="3:9">
      <c r="C1903" s="177"/>
      <c r="D1903" s="177"/>
      <c r="E1903" s="177"/>
      <c r="F1903" s="177"/>
      <c r="G1903" s="179"/>
      <c r="H1903" s="179"/>
      <c r="I1903" s="177"/>
    </row>
    <row r="1904" spans="3:9">
      <c r="C1904" s="177"/>
      <c r="D1904" s="177"/>
      <c r="E1904" s="177"/>
      <c r="F1904" s="177"/>
      <c r="G1904" s="179"/>
      <c r="H1904" s="179"/>
      <c r="I1904" s="177"/>
    </row>
    <row r="1905" spans="3:9">
      <c r="C1905" s="177"/>
      <c r="D1905" s="177"/>
      <c r="E1905" s="177"/>
      <c r="F1905" s="177"/>
      <c r="G1905" s="179"/>
      <c r="H1905" s="179"/>
      <c r="I1905" s="177"/>
    </row>
    <row r="1906" spans="3:9">
      <c r="C1906" s="177"/>
      <c r="D1906" s="177"/>
      <c r="E1906" s="177"/>
      <c r="F1906" s="177"/>
      <c r="G1906" s="179"/>
      <c r="H1906" s="179"/>
      <c r="I1906" s="177"/>
    </row>
    <row r="1907" spans="3:9">
      <c r="C1907" s="177"/>
      <c r="D1907" s="177"/>
      <c r="E1907" s="177"/>
      <c r="F1907" s="177"/>
      <c r="G1907" s="179"/>
      <c r="H1907" s="179"/>
      <c r="I1907" s="177"/>
    </row>
    <row r="1908" spans="3:9">
      <c r="C1908" s="177"/>
      <c r="D1908" s="177"/>
      <c r="E1908" s="177"/>
      <c r="F1908" s="177"/>
      <c r="G1908" s="179"/>
      <c r="H1908" s="179"/>
      <c r="I1908" s="177"/>
    </row>
    <row r="1909" spans="3:9">
      <c r="C1909" s="177"/>
      <c r="D1909" s="177"/>
      <c r="E1909" s="177"/>
      <c r="F1909" s="177"/>
      <c r="G1909" s="179"/>
      <c r="H1909" s="179"/>
      <c r="I1909" s="177"/>
    </row>
    <row r="1910" spans="3:9">
      <c r="C1910" s="177"/>
      <c r="D1910" s="177"/>
      <c r="E1910" s="177"/>
      <c r="F1910" s="177"/>
      <c r="G1910" s="179"/>
      <c r="H1910" s="179"/>
      <c r="I1910" s="177"/>
    </row>
    <row r="1911" spans="3:9">
      <c r="C1911" s="177"/>
      <c r="D1911" s="177"/>
      <c r="E1911" s="177"/>
      <c r="F1911" s="177"/>
      <c r="G1911" s="179"/>
      <c r="H1911" s="179"/>
      <c r="I1911" s="177"/>
    </row>
    <row r="1912" spans="3:9">
      <c r="C1912" s="177"/>
      <c r="D1912" s="177"/>
      <c r="E1912" s="177"/>
      <c r="F1912" s="177"/>
      <c r="G1912" s="179"/>
      <c r="H1912" s="179"/>
      <c r="I1912" s="177"/>
    </row>
    <row r="1913" spans="3:9">
      <c r="C1913" s="177"/>
      <c r="D1913" s="177"/>
      <c r="E1913" s="177"/>
      <c r="F1913" s="177"/>
      <c r="G1913" s="179"/>
      <c r="H1913" s="179"/>
      <c r="I1913" s="177"/>
    </row>
    <row r="1914" spans="3:9">
      <c r="C1914" s="177"/>
      <c r="D1914" s="177"/>
      <c r="E1914" s="177"/>
      <c r="F1914" s="177"/>
      <c r="G1914" s="179"/>
      <c r="H1914" s="179"/>
      <c r="I1914" s="177"/>
    </row>
    <row r="1915" spans="3:9">
      <c r="C1915" s="177"/>
      <c r="D1915" s="177"/>
      <c r="E1915" s="177"/>
      <c r="F1915" s="177"/>
      <c r="G1915" s="179"/>
      <c r="H1915" s="179"/>
      <c r="I1915" s="177"/>
    </row>
    <row r="1916" spans="3:9">
      <c r="C1916" s="177"/>
      <c r="D1916" s="177"/>
      <c r="E1916" s="177"/>
      <c r="F1916" s="177"/>
      <c r="G1916" s="179"/>
      <c r="H1916" s="179"/>
      <c r="I1916" s="177"/>
    </row>
    <row r="1917" spans="3:9">
      <c r="C1917" s="177"/>
      <c r="D1917" s="177"/>
      <c r="E1917" s="177"/>
      <c r="F1917" s="177"/>
      <c r="G1917" s="179"/>
      <c r="H1917" s="179"/>
      <c r="I1917" s="177"/>
    </row>
    <row r="1918" spans="3:9">
      <c r="C1918" s="177"/>
      <c r="D1918" s="177"/>
      <c r="E1918" s="177"/>
      <c r="F1918" s="177"/>
      <c r="G1918" s="179"/>
      <c r="H1918" s="179"/>
      <c r="I1918" s="177"/>
    </row>
    <row r="1919" spans="3:9">
      <c r="C1919" s="177"/>
      <c r="D1919" s="177"/>
      <c r="E1919" s="177"/>
      <c r="F1919" s="177"/>
      <c r="G1919" s="179"/>
      <c r="H1919" s="179"/>
      <c r="I1919" s="177"/>
    </row>
    <row r="1920" spans="3:9">
      <c r="C1920" s="177"/>
      <c r="D1920" s="177"/>
      <c r="E1920" s="177"/>
      <c r="F1920" s="177"/>
      <c r="G1920" s="179"/>
      <c r="H1920" s="179"/>
      <c r="I1920" s="177"/>
    </row>
    <row r="1921" spans="3:9">
      <c r="C1921" s="177"/>
      <c r="D1921" s="177"/>
      <c r="E1921" s="177"/>
      <c r="F1921" s="177"/>
      <c r="G1921" s="179"/>
      <c r="H1921" s="179"/>
      <c r="I1921" s="177"/>
    </row>
    <row r="1922" spans="3:9">
      <c r="C1922" s="177"/>
      <c r="D1922" s="177"/>
      <c r="E1922" s="177"/>
      <c r="F1922" s="177"/>
      <c r="G1922" s="179"/>
      <c r="H1922" s="179"/>
      <c r="I1922" s="177"/>
    </row>
    <row r="1923" spans="3:9">
      <c r="C1923" s="177"/>
      <c r="D1923" s="177"/>
      <c r="E1923" s="177"/>
      <c r="F1923" s="177"/>
      <c r="G1923" s="179"/>
      <c r="H1923" s="179"/>
      <c r="I1923" s="177"/>
    </row>
    <row r="1924" spans="3:9">
      <c r="C1924" s="177"/>
      <c r="D1924" s="177"/>
      <c r="E1924" s="177"/>
      <c r="F1924" s="177"/>
      <c r="G1924" s="179"/>
      <c r="H1924" s="179"/>
      <c r="I1924" s="177"/>
    </row>
    <row r="1925" spans="3:9">
      <c r="C1925" s="177"/>
      <c r="D1925" s="177"/>
      <c r="E1925" s="177"/>
      <c r="F1925" s="177"/>
      <c r="G1925" s="179"/>
      <c r="H1925" s="179"/>
      <c r="I1925" s="177"/>
    </row>
    <row r="1926" spans="3:9">
      <c r="C1926" s="177"/>
      <c r="D1926" s="177"/>
      <c r="E1926" s="177"/>
      <c r="F1926" s="177"/>
      <c r="G1926" s="179"/>
      <c r="H1926" s="179"/>
      <c r="I1926" s="177"/>
    </row>
    <row r="1927" spans="3:9">
      <c r="C1927" s="177"/>
      <c r="D1927" s="177"/>
      <c r="E1927" s="177"/>
      <c r="F1927" s="177"/>
      <c r="G1927" s="179"/>
      <c r="H1927" s="179"/>
      <c r="I1927" s="177"/>
    </row>
    <row r="1928" spans="3:9">
      <c r="C1928" s="177"/>
      <c r="D1928" s="177"/>
      <c r="E1928" s="177"/>
      <c r="F1928" s="177"/>
      <c r="G1928" s="179"/>
      <c r="H1928" s="179"/>
      <c r="I1928" s="177"/>
    </row>
    <row r="1929" spans="3:9">
      <c r="C1929" s="177"/>
      <c r="D1929" s="177"/>
      <c r="E1929" s="177"/>
      <c r="F1929" s="177"/>
      <c r="G1929" s="179"/>
      <c r="H1929" s="179"/>
      <c r="I1929" s="177"/>
    </row>
    <row r="1930" spans="3:9">
      <c r="C1930" s="177"/>
      <c r="D1930" s="177"/>
      <c r="E1930" s="177"/>
      <c r="F1930" s="177"/>
      <c r="G1930" s="179"/>
      <c r="H1930" s="179"/>
      <c r="I1930" s="177"/>
    </row>
    <row r="1931" spans="3:9">
      <c r="C1931" s="177"/>
      <c r="D1931" s="177"/>
      <c r="E1931" s="177"/>
      <c r="F1931" s="177"/>
      <c r="G1931" s="179"/>
      <c r="H1931" s="179"/>
      <c r="I1931" s="177"/>
    </row>
    <row r="1932" spans="3:9">
      <c r="C1932" s="177"/>
      <c r="D1932" s="177"/>
      <c r="E1932" s="177"/>
      <c r="F1932" s="177"/>
      <c r="G1932" s="179"/>
      <c r="H1932" s="179"/>
      <c r="I1932" s="177"/>
    </row>
    <row r="1933" spans="3:9">
      <c r="C1933" s="177"/>
      <c r="D1933" s="177"/>
      <c r="E1933" s="177"/>
      <c r="F1933" s="177"/>
      <c r="G1933" s="179"/>
      <c r="H1933" s="179"/>
      <c r="I1933" s="177"/>
    </row>
    <row r="1934" spans="3:9">
      <c r="C1934" s="177"/>
      <c r="D1934" s="177"/>
      <c r="E1934" s="177"/>
      <c r="F1934" s="177"/>
      <c r="G1934" s="179"/>
      <c r="H1934" s="179"/>
      <c r="I1934" s="177"/>
    </row>
    <row r="1935" spans="3:9">
      <c r="C1935" s="177"/>
      <c r="D1935" s="177"/>
      <c r="E1935" s="177"/>
      <c r="F1935" s="177"/>
      <c r="G1935" s="179"/>
      <c r="H1935" s="179"/>
      <c r="I1935" s="177"/>
    </row>
    <row r="1936" spans="3:9">
      <c r="C1936" s="177"/>
      <c r="D1936" s="177"/>
      <c r="E1936" s="177"/>
      <c r="F1936" s="177"/>
      <c r="G1936" s="179"/>
      <c r="H1936" s="179"/>
      <c r="I1936" s="177"/>
    </row>
    <row r="1937" spans="3:9">
      <c r="C1937" s="177"/>
      <c r="D1937" s="177"/>
      <c r="E1937" s="177"/>
      <c r="F1937" s="177"/>
      <c r="G1937" s="179"/>
      <c r="H1937" s="179"/>
      <c r="I1937" s="177"/>
    </row>
    <row r="1938" spans="3:9">
      <c r="C1938" s="177"/>
      <c r="D1938" s="177"/>
      <c r="E1938" s="177"/>
      <c r="F1938" s="177"/>
      <c r="G1938" s="179"/>
      <c r="H1938" s="179"/>
      <c r="I1938" s="177"/>
    </row>
    <row r="1939" spans="3:9">
      <c r="C1939" s="177"/>
      <c r="D1939" s="177"/>
      <c r="E1939" s="177"/>
      <c r="F1939" s="177"/>
      <c r="G1939" s="179"/>
      <c r="H1939" s="179"/>
      <c r="I1939" s="177"/>
    </row>
    <row r="1940" spans="3:9">
      <c r="C1940" s="177"/>
      <c r="D1940" s="177"/>
      <c r="E1940" s="177"/>
      <c r="F1940" s="177"/>
      <c r="G1940" s="179"/>
      <c r="H1940" s="179"/>
      <c r="I1940" s="177"/>
    </row>
    <row r="1941" spans="3:9">
      <c r="C1941" s="177"/>
      <c r="D1941" s="177"/>
      <c r="E1941" s="177"/>
      <c r="F1941" s="177"/>
      <c r="G1941" s="179"/>
      <c r="H1941" s="179"/>
      <c r="I1941" s="177"/>
    </row>
    <row r="1942" spans="3:9">
      <c r="C1942" s="177"/>
      <c r="D1942" s="177"/>
      <c r="E1942" s="177"/>
      <c r="F1942" s="177"/>
      <c r="G1942" s="179"/>
      <c r="H1942" s="179"/>
      <c r="I1942" s="177"/>
    </row>
    <row r="1943" spans="3:9">
      <c r="C1943" s="177"/>
      <c r="D1943" s="177"/>
      <c r="E1943" s="177"/>
      <c r="F1943" s="177"/>
      <c r="G1943" s="179"/>
      <c r="H1943" s="179"/>
      <c r="I1943" s="177"/>
    </row>
    <row r="1944" spans="3:9">
      <c r="C1944" s="177"/>
      <c r="D1944" s="177"/>
      <c r="E1944" s="177"/>
      <c r="F1944" s="177"/>
      <c r="G1944" s="179"/>
      <c r="H1944" s="179"/>
      <c r="I1944" s="177"/>
    </row>
    <row r="1945" spans="3:9">
      <c r="C1945" s="177"/>
      <c r="D1945" s="177"/>
      <c r="E1945" s="177"/>
      <c r="F1945" s="177"/>
      <c r="G1945" s="179"/>
      <c r="H1945" s="179"/>
      <c r="I1945" s="177"/>
    </row>
    <row r="1946" spans="3:9">
      <c r="C1946" s="177"/>
      <c r="D1946" s="177"/>
      <c r="E1946" s="177"/>
      <c r="F1946" s="177"/>
      <c r="G1946" s="179"/>
      <c r="H1946" s="179"/>
      <c r="I1946" s="177"/>
    </row>
    <row r="1947" spans="3:9">
      <c r="C1947" s="177"/>
      <c r="D1947" s="177"/>
      <c r="E1947" s="177"/>
      <c r="F1947" s="177"/>
      <c r="G1947" s="179"/>
      <c r="H1947" s="179"/>
      <c r="I1947" s="177"/>
    </row>
    <row r="1948" spans="3:9">
      <c r="C1948" s="177"/>
      <c r="D1948" s="177"/>
      <c r="E1948" s="177"/>
      <c r="F1948" s="177"/>
      <c r="G1948" s="179"/>
      <c r="H1948" s="179"/>
      <c r="I1948" s="177"/>
    </row>
    <row r="1949" spans="3:9">
      <c r="C1949" s="177"/>
      <c r="D1949" s="177"/>
      <c r="E1949" s="177"/>
      <c r="F1949" s="177"/>
      <c r="G1949" s="179"/>
      <c r="H1949" s="179"/>
      <c r="I1949" s="177"/>
    </row>
    <row r="1950" spans="3:9">
      <c r="C1950" s="177"/>
      <c r="D1950" s="177"/>
      <c r="E1950" s="177"/>
      <c r="F1950" s="177"/>
      <c r="G1950" s="179"/>
      <c r="H1950" s="179"/>
      <c r="I1950" s="177"/>
    </row>
    <row r="1951" spans="3:9">
      <c r="C1951" s="177"/>
      <c r="D1951" s="177"/>
      <c r="E1951" s="177"/>
      <c r="F1951" s="177"/>
      <c r="G1951" s="179"/>
      <c r="H1951" s="179"/>
      <c r="I1951" s="177"/>
    </row>
    <row r="1952" spans="3:9">
      <c r="C1952" s="177"/>
      <c r="D1952" s="177"/>
      <c r="E1952" s="177"/>
      <c r="F1952" s="177"/>
      <c r="G1952" s="179"/>
      <c r="H1952" s="179"/>
      <c r="I1952" s="177"/>
    </row>
    <row r="1953" spans="3:9">
      <c r="C1953" s="177"/>
      <c r="D1953" s="177"/>
      <c r="E1953" s="177"/>
      <c r="F1953" s="177"/>
      <c r="G1953" s="179"/>
      <c r="H1953" s="179"/>
      <c r="I1953" s="177"/>
    </row>
    <row r="1954" spans="3:9">
      <c r="C1954" s="177"/>
      <c r="D1954" s="177"/>
      <c r="E1954" s="177"/>
      <c r="F1954" s="177"/>
      <c r="G1954" s="179"/>
      <c r="H1954" s="179"/>
      <c r="I1954" s="177"/>
    </row>
    <row r="1955" spans="3:9">
      <c r="C1955" s="177"/>
      <c r="D1955" s="177"/>
      <c r="E1955" s="177"/>
      <c r="F1955" s="177"/>
      <c r="G1955" s="179"/>
      <c r="H1955" s="179"/>
      <c r="I1955" s="177"/>
    </row>
    <row r="1956" spans="3:9">
      <c r="C1956" s="177"/>
      <c r="D1956" s="177"/>
      <c r="E1956" s="177"/>
      <c r="F1956" s="177"/>
      <c r="G1956" s="179"/>
      <c r="H1956" s="179"/>
      <c r="I1956" s="177"/>
    </row>
    <row r="1957" spans="3:9">
      <c r="C1957" s="177"/>
      <c r="D1957" s="177"/>
      <c r="E1957" s="177"/>
      <c r="F1957" s="177"/>
      <c r="G1957" s="179"/>
      <c r="H1957" s="179"/>
      <c r="I1957" s="177"/>
    </row>
    <row r="1958" spans="3:9">
      <c r="C1958" s="177"/>
      <c r="D1958" s="177"/>
      <c r="E1958" s="177"/>
      <c r="F1958" s="177"/>
      <c r="G1958" s="179"/>
      <c r="H1958" s="179"/>
      <c r="I1958" s="177"/>
    </row>
    <row r="1959" spans="3:9">
      <c r="C1959" s="177"/>
      <c r="D1959" s="177"/>
      <c r="E1959" s="177"/>
      <c r="F1959" s="177"/>
      <c r="G1959" s="179"/>
      <c r="H1959" s="179"/>
      <c r="I1959" s="177"/>
    </row>
    <row r="1960" spans="3:9">
      <c r="C1960" s="177"/>
      <c r="D1960" s="177"/>
      <c r="E1960" s="177"/>
      <c r="F1960" s="177"/>
      <c r="G1960" s="179"/>
      <c r="H1960" s="179"/>
      <c r="I1960" s="177"/>
    </row>
    <row r="1961" spans="3:9">
      <c r="C1961" s="177"/>
      <c r="D1961" s="177"/>
      <c r="E1961" s="177"/>
      <c r="F1961" s="177"/>
      <c r="G1961" s="179"/>
      <c r="H1961" s="179"/>
      <c r="I1961" s="177"/>
    </row>
    <row r="1962" spans="3:9">
      <c r="C1962" s="177"/>
      <c r="D1962" s="177"/>
      <c r="E1962" s="177"/>
      <c r="F1962" s="177"/>
      <c r="G1962" s="179"/>
      <c r="H1962" s="179"/>
      <c r="I1962" s="177"/>
    </row>
    <row r="1963" spans="3:9">
      <c r="C1963" s="177"/>
      <c r="D1963" s="177"/>
      <c r="E1963" s="177"/>
      <c r="F1963" s="177"/>
      <c r="G1963" s="179"/>
      <c r="H1963" s="179"/>
      <c r="I1963" s="177"/>
    </row>
    <row r="1964" spans="3:9">
      <c r="C1964" s="177"/>
      <c r="D1964" s="177"/>
      <c r="E1964" s="177"/>
      <c r="F1964" s="177"/>
      <c r="G1964" s="179"/>
      <c r="H1964" s="179"/>
      <c r="I1964" s="177"/>
    </row>
    <row r="1965" spans="3:9">
      <c r="C1965" s="177"/>
      <c r="D1965" s="177"/>
      <c r="E1965" s="177"/>
      <c r="F1965" s="177"/>
      <c r="G1965" s="179"/>
      <c r="H1965" s="179"/>
      <c r="I1965" s="177"/>
    </row>
    <row r="1966" spans="3:9">
      <c r="C1966" s="177"/>
      <c r="D1966" s="177"/>
      <c r="E1966" s="177"/>
      <c r="F1966" s="177"/>
      <c r="G1966" s="179"/>
      <c r="H1966" s="179"/>
      <c r="I1966" s="177"/>
    </row>
    <row r="1967" spans="3:9">
      <c r="C1967" s="177"/>
      <c r="D1967" s="177"/>
      <c r="E1967" s="177"/>
      <c r="F1967" s="177"/>
      <c r="G1967" s="179"/>
      <c r="H1967" s="179"/>
      <c r="I1967" s="177"/>
    </row>
    <row r="1968" spans="3:9">
      <c r="C1968" s="177"/>
      <c r="D1968" s="177"/>
      <c r="E1968" s="177"/>
      <c r="F1968" s="177"/>
      <c r="G1968" s="179"/>
      <c r="H1968" s="179"/>
      <c r="I1968" s="177"/>
    </row>
    <row r="1969" spans="3:9">
      <c r="C1969" s="177"/>
      <c r="D1969" s="177"/>
      <c r="E1969" s="177"/>
      <c r="F1969" s="177"/>
      <c r="G1969" s="179"/>
      <c r="H1969" s="179"/>
      <c r="I1969" s="177"/>
    </row>
    <row r="1970" spans="3:9">
      <c r="C1970" s="177"/>
      <c r="D1970" s="177"/>
      <c r="E1970" s="177"/>
      <c r="F1970" s="177"/>
      <c r="G1970" s="179"/>
      <c r="H1970" s="179"/>
      <c r="I1970" s="177"/>
    </row>
    <row r="1971" spans="3:9">
      <c r="C1971" s="177"/>
      <c r="D1971" s="177"/>
      <c r="E1971" s="177"/>
      <c r="F1971" s="177"/>
      <c r="G1971" s="179"/>
      <c r="H1971" s="179"/>
      <c r="I1971" s="177"/>
    </row>
    <row r="1972" spans="3:9">
      <c r="C1972" s="177"/>
      <c r="D1972" s="177"/>
      <c r="E1972" s="177"/>
      <c r="F1972" s="177"/>
      <c r="G1972" s="179"/>
      <c r="H1972" s="179"/>
      <c r="I1972" s="177"/>
    </row>
    <row r="1973" spans="3:9">
      <c r="C1973" s="177"/>
      <c r="D1973" s="177"/>
      <c r="E1973" s="177"/>
      <c r="F1973" s="177"/>
      <c r="G1973" s="179"/>
      <c r="H1973" s="179"/>
      <c r="I1973" s="177"/>
    </row>
    <row r="1974" spans="3:9">
      <c r="C1974" s="177"/>
      <c r="D1974" s="177"/>
      <c r="E1974" s="177"/>
      <c r="F1974" s="177"/>
      <c r="G1974" s="179"/>
      <c r="H1974" s="179"/>
      <c r="I1974" s="177"/>
    </row>
    <row r="1975" spans="3:9">
      <c r="C1975" s="177"/>
      <c r="D1975" s="177"/>
      <c r="E1975" s="177"/>
      <c r="F1975" s="177"/>
      <c r="G1975" s="179"/>
      <c r="H1975" s="179"/>
      <c r="I1975" s="177"/>
    </row>
    <row r="1976" spans="3:9">
      <c r="C1976" s="177"/>
      <c r="D1976" s="177"/>
      <c r="E1976" s="177"/>
      <c r="F1976" s="177"/>
      <c r="G1976" s="179"/>
      <c r="H1976" s="179"/>
      <c r="I1976" s="177"/>
    </row>
    <row r="1977" spans="3:9">
      <c r="C1977" s="177"/>
      <c r="D1977" s="177"/>
      <c r="E1977" s="177"/>
      <c r="F1977" s="177"/>
      <c r="G1977" s="179"/>
      <c r="H1977" s="179"/>
      <c r="I1977" s="177"/>
    </row>
    <row r="1978" spans="3:9">
      <c r="C1978" s="177"/>
      <c r="D1978" s="177"/>
      <c r="E1978" s="177"/>
      <c r="F1978" s="177"/>
      <c r="G1978" s="179"/>
      <c r="H1978" s="179"/>
      <c r="I1978" s="177"/>
    </row>
    <row r="1979" spans="3:9">
      <c r="C1979" s="177"/>
      <c r="D1979" s="177"/>
      <c r="E1979" s="177"/>
      <c r="F1979" s="177"/>
      <c r="G1979" s="179"/>
      <c r="H1979" s="179"/>
      <c r="I1979" s="177"/>
    </row>
    <row r="1980" spans="3:9">
      <c r="C1980" s="177"/>
      <c r="D1980" s="177"/>
      <c r="E1980" s="177"/>
      <c r="F1980" s="177"/>
      <c r="G1980" s="179"/>
      <c r="H1980" s="179"/>
      <c r="I1980" s="177"/>
    </row>
    <row r="1981" spans="3:9">
      <c r="C1981" s="177"/>
      <c r="D1981" s="177"/>
      <c r="E1981" s="177"/>
      <c r="F1981" s="177"/>
      <c r="G1981" s="179"/>
      <c r="H1981" s="179"/>
      <c r="I1981" s="177"/>
    </row>
    <row r="1982" spans="3:9">
      <c r="C1982" s="177"/>
      <c r="D1982" s="177"/>
      <c r="E1982" s="177"/>
      <c r="F1982" s="177"/>
      <c r="G1982" s="179"/>
      <c r="H1982" s="179"/>
      <c r="I1982" s="177"/>
    </row>
    <row r="1983" spans="3:9">
      <c r="C1983" s="177"/>
      <c r="D1983" s="177"/>
      <c r="E1983" s="177"/>
      <c r="F1983" s="177"/>
      <c r="G1983" s="179"/>
      <c r="H1983" s="179"/>
      <c r="I1983" s="177"/>
    </row>
    <row r="1984" spans="3:9">
      <c r="C1984" s="177"/>
      <c r="D1984" s="177"/>
      <c r="E1984" s="177"/>
      <c r="F1984" s="177"/>
      <c r="G1984" s="179"/>
      <c r="H1984" s="179"/>
      <c r="I1984" s="177"/>
    </row>
    <row r="1985" spans="3:9">
      <c r="C1985" s="177"/>
      <c r="D1985" s="177"/>
      <c r="E1985" s="177"/>
      <c r="F1985" s="177"/>
      <c r="G1985" s="179"/>
      <c r="H1985" s="179"/>
      <c r="I1985" s="177"/>
    </row>
    <row r="1986" spans="3:9">
      <c r="C1986" s="177"/>
      <c r="D1986" s="177"/>
      <c r="E1986" s="177"/>
      <c r="F1986" s="177"/>
      <c r="G1986" s="179"/>
      <c r="H1986" s="179"/>
      <c r="I1986" s="177"/>
    </row>
    <row r="1987" spans="3:9">
      <c r="C1987" s="177"/>
      <c r="D1987" s="177"/>
      <c r="E1987" s="177"/>
      <c r="F1987" s="177"/>
      <c r="G1987" s="179"/>
      <c r="H1987" s="179"/>
      <c r="I1987" s="177"/>
    </row>
    <row r="1988" spans="3:9">
      <c r="C1988" s="177"/>
      <c r="D1988" s="177"/>
      <c r="E1988" s="177"/>
      <c r="F1988" s="177"/>
      <c r="G1988" s="179"/>
      <c r="H1988" s="179"/>
      <c r="I1988" s="177"/>
    </row>
    <row r="1989" spans="3:9">
      <c r="C1989" s="177"/>
      <c r="D1989" s="177"/>
      <c r="E1989" s="177"/>
      <c r="F1989" s="177"/>
      <c r="G1989" s="179"/>
      <c r="H1989" s="179"/>
      <c r="I1989" s="177"/>
    </row>
    <row r="1990" spans="3:9">
      <c r="C1990" s="177"/>
      <c r="D1990" s="177"/>
      <c r="E1990" s="177"/>
      <c r="F1990" s="177"/>
      <c r="G1990" s="179"/>
      <c r="H1990" s="179"/>
      <c r="I1990" s="177"/>
    </row>
    <row r="1991" spans="3:9">
      <c r="C1991" s="177"/>
      <c r="D1991" s="177"/>
      <c r="E1991" s="177"/>
      <c r="F1991" s="177"/>
      <c r="G1991" s="179"/>
      <c r="H1991" s="179"/>
      <c r="I1991" s="177"/>
    </row>
    <row r="1992" spans="3:9">
      <c r="C1992" s="177"/>
      <c r="D1992" s="177"/>
      <c r="E1992" s="177"/>
      <c r="F1992" s="177"/>
      <c r="G1992" s="179"/>
      <c r="H1992" s="179"/>
      <c r="I1992" s="177"/>
    </row>
    <row r="1993" spans="3:9">
      <c r="C1993" s="177"/>
      <c r="D1993" s="177"/>
      <c r="E1993" s="177"/>
      <c r="F1993" s="177"/>
      <c r="G1993" s="179"/>
      <c r="H1993" s="179"/>
      <c r="I1993" s="177"/>
    </row>
    <row r="1994" spans="3:9">
      <c r="C1994" s="177"/>
      <c r="D1994" s="177"/>
      <c r="E1994" s="177"/>
      <c r="F1994" s="177"/>
      <c r="G1994" s="179"/>
      <c r="H1994" s="179"/>
      <c r="I1994" s="177"/>
    </row>
    <row r="1995" spans="3:9">
      <c r="C1995" s="177"/>
      <c r="D1995" s="177"/>
      <c r="E1995" s="177"/>
      <c r="F1995" s="177"/>
      <c r="G1995" s="179"/>
      <c r="H1995" s="179"/>
      <c r="I1995" s="177"/>
    </row>
    <row r="1996" spans="3:9">
      <c r="C1996" s="177"/>
      <c r="D1996" s="177"/>
      <c r="E1996" s="177"/>
      <c r="F1996" s="177"/>
      <c r="G1996" s="179"/>
      <c r="H1996" s="179"/>
      <c r="I1996" s="177"/>
    </row>
    <row r="1997" spans="3:9">
      <c r="C1997" s="177"/>
      <c r="D1997" s="177"/>
      <c r="E1997" s="177"/>
      <c r="F1997" s="177"/>
      <c r="G1997" s="179"/>
      <c r="H1997" s="179"/>
      <c r="I1997" s="177"/>
    </row>
    <row r="1998" spans="3:9">
      <c r="C1998" s="177"/>
      <c r="D1998" s="177"/>
      <c r="E1998" s="177"/>
      <c r="F1998" s="177"/>
      <c r="G1998" s="179"/>
      <c r="H1998" s="179"/>
      <c r="I1998" s="177"/>
    </row>
    <row r="1999" spans="3:9">
      <c r="C1999" s="177"/>
      <c r="D1999" s="177"/>
      <c r="E1999" s="177"/>
      <c r="F1999" s="177"/>
      <c r="G1999" s="179"/>
      <c r="H1999" s="179"/>
      <c r="I1999" s="177"/>
    </row>
    <row r="2000" spans="3:9">
      <c r="C2000" s="177"/>
      <c r="D2000" s="177"/>
      <c r="E2000" s="177"/>
      <c r="F2000" s="177"/>
      <c r="G2000" s="179"/>
      <c r="H2000" s="179"/>
      <c r="I2000" s="177"/>
    </row>
    <row r="2001" spans="3:9">
      <c r="C2001" s="177"/>
      <c r="D2001" s="177"/>
      <c r="E2001" s="177"/>
      <c r="F2001" s="177"/>
      <c r="G2001" s="179"/>
      <c r="H2001" s="179"/>
      <c r="I2001" s="177"/>
    </row>
    <row r="2002" spans="3:9">
      <c r="C2002" s="177"/>
      <c r="D2002" s="177"/>
      <c r="E2002" s="177"/>
      <c r="F2002" s="177"/>
      <c r="G2002" s="179"/>
      <c r="H2002" s="179"/>
      <c r="I2002" s="177"/>
    </row>
    <row r="2003" spans="3:9">
      <c r="C2003" s="177"/>
      <c r="D2003" s="177"/>
      <c r="E2003" s="177"/>
      <c r="F2003" s="177"/>
      <c r="G2003" s="179"/>
      <c r="H2003" s="179"/>
      <c r="I2003" s="177"/>
    </row>
    <row r="2004" spans="3:9">
      <c r="C2004" s="177"/>
      <c r="D2004" s="177"/>
      <c r="E2004" s="177"/>
      <c r="F2004" s="177"/>
      <c r="G2004" s="179"/>
      <c r="H2004" s="179"/>
      <c r="I2004" s="177"/>
    </row>
    <row r="2005" spans="3:9">
      <c r="C2005" s="177"/>
      <c r="D2005" s="177"/>
      <c r="E2005" s="177"/>
      <c r="F2005" s="177"/>
      <c r="G2005" s="179"/>
      <c r="H2005" s="179"/>
      <c r="I2005" s="177"/>
    </row>
    <row r="2006" spans="3:9">
      <c r="C2006" s="177"/>
      <c r="D2006" s="177"/>
      <c r="E2006" s="177"/>
      <c r="F2006" s="177"/>
      <c r="G2006" s="179"/>
      <c r="H2006" s="179"/>
      <c r="I2006" s="177"/>
    </row>
    <row r="2007" spans="3:9">
      <c r="C2007" s="177"/>
      <c r="D2007" s="177"/>
      <c r="E2007" s="177"/>
      <c r="F2007" s="177"/>
      <c r="G2007" s="179"/>
      <c r="H2007" s="179"/>
      <c r="I2007" s="177"/>
    </row>
    <row r="2008" spans="3:9">
      <c r="C2008" s="177"/>
      <c r="D2008" s="177"/>
      <c r="E2008" s="177"/>
      <c r="F2008" s="177"/>
      <c r="G2008" s="179"/>
      <c r="H2008" s="179"/>
      <c r="I2008" s="177"/>
    </row>
    <row r="2009" spans="3:9">
      <c r="C2009" s="177"/>
      <c r="D2009" s="177"/>
      <c r="E2009" s="177"/>
      <c r="F2009" s="177"/>
      <c r="G2009" s="179"/>
      <c r="H2009" s="179"/>
      <c r="I2009" s="177"/>
    </row>
    <row r="2010" spans="3:9">
      <c r="C2010" s="177"/>
      <c r="D2010" s="177"/>
      <c r="E2010" s="177"/>
      <c r="F2010" s="177"/>
      <c r="G2010" s="179"/>
      <c r="H2010" s="179"/>
      <c r="I2010" s="177"/>
    </row>
    <row r="2011" spans="3:9">
      <c r="C2011" s="177"/>
      <c r="D2011" s="177"/>
      <c r="E2011" s="177"/>
      <c r="F2011" s="177"/>
      <c r="G2011" s="179"/>
      <c r="H2011" s="179"/>
      <c r="I2011" s="177"/>
    </row>
    <row r="2012" spans="3:9">
      <c r="C2012" s="177"/>
      <c r="D2012" s="177"/>
      <c r="E2012" s="177"/>
      <c r="F2012" s="177"/>
      <c r="G2012" s="179"/>
      <c r="H2012" s="179"/>
      <c r="I2012" s="177"/>
    </row>
    <row r="2013" spans="3:9">
      <c r="C2013" s="177"/>
      <c r="D2013" s="177"/>
      <c r="E2013" s="177"/>
      <c r="F2013" s="177"/>
      <c r="G2013" s="179"/>
      <c r="H2013" s="179"/>
      <c r="I2013" s="177"/>
    </row>
    <row r="2014" spans="3:9">
      <c r="C2014" s="177"/>
      <c r="D2014" s="177"/>
      <c r="E2014" s="177"/>
      <c r="F2014" s="177"/>
      <c r="G2014" s="179"/>
      <c r="H2014" s="179"/>
      <c r="I2014" s="177"/>
    </row>
    <row r="2015" spans="3:9">
      <c r="C2015" s="177"/>
      <c r="D2015" s="177"/>
      <c r="E2015" s="177"/>
      <c r="F2015" s="177"/>
      <c r="G2015" s="179"/>
      <c r="H2015" s="179"/>
      <c r="I2015" s="177"/>
    </row>
    <row r="2016" spans="3:9">
      <c r="C2016" s="177"/>
      <c r="D2016" s="177"/>
      <c r="E2016" s="177"/>
      <c r="F2016" s="177"/>
      <c r="G2016" s="179"/>
      <c r="H2016" s="179"/>
      <c r="I2016" s="177"/>
    </row>
    <row r="2017" spans="3:9">
      <c r="C2017" s="177"/>
      <c r="D2017" s="177"/>
      <c r="E2017" s="177"/>
      <c r="F2017" s="177"/>
      <c r="G2017" s="179"/>
      <c r="H2017" s="179"/>
      <c r="I2017" s="177"/>
    </row>
    <row r="2018" spans="3:9">
      <c r="C2018" s="177"/>
      <c r="D2018" s="177"/>
      <c r="E2018" s="177"/>
      <c r="F2018" s="177"/>
      <c r="G2018" s="179"/>
      <c r="H2018" s="179"/>
      <c r="I2018" s="177"/>
    </row>
    <row r="2019" spans="3:9">
      <c r="C2019" s="177"/>
      <c r="D2019" s="177"/>
      <c r="E2019" s="177"/>
      <c r="F2019" s="177"/>
      <c r="G2019" s="179"/>
      <c r="H2019" s="179"/>
      <c r="I2019" s="177"/>
    </row>
    <row r="2020" spans="3:9">
      <c r="C2020" s="177"/>
      <c r="D2020" s="177"/>
      <c r="E2020" s="177"/>
      <c r="F2020" s="177"/>
      <c r="G2020" s="179"/>
      <c r="H2020" s="179"/>
      <c r="I2020" s="177"/>
    </row>
    <row r="2021" spans="3:9">
      <c r="C2021" s="177"/>
      <c r="D2021" s="177"/>
      <c r="E2021" s="177"/>
      <c r="F2021" s="177"/>
      <c r="G2021" s="179"/>
      <c r="H2021" s="179"/>
      <c r="I2021" s="177"/>
    </row>
    <row r="2022" spans="3:9">
      <c r="C2022" s="177"/>
      <c r="D2022" s="177"/>
      <c r="E2022" s="177"/>
      <c r="F2022" s="177"/>
      <c r="G2022" s="179"/>
      <c r="H2022" s="179"/>
      <c r="I2022" s="177"/>
    </row>
    <row r="2023" spans="3:9">
      <c r="C2023" s="177"/>
      <c r="D2023" s="177"/>
      <c r="E2023" s="177"/>
      <c r="F2023" s="177"/>
      <c r="G2023" s="179"/>
      <c r="H2023" s="179"/>
      <c r="I2023" s="177"/>
    </row>
    <row r="2024" spans="3:9">
      <c r="C2024" s="177"/>
      <c r="D2024" s="177"/>
      <c r="E2024" s="177"/>
      <c r="F2024" s="177"/>
      <c r="G2024" s="179"/>
      <c r="H2024" s="179"/>
      <c r="I2024" s="177"/>
    </row>
    <row r="2025" spans="3:9">
      <c r="C2025" s="177"/>
      <c r="D2025" s="177"/>
      <c r="E2025" s="177"/>
      <c r="F2025" s="177"/>
      <c r="G2025" s="179"/>
      <c r="H2025" s="179"/>
      <c r="I2025" s="177"/>
    </row>
    <row r="2026" spans="3:9">
      <c r="C2026" s="177"/>
      <c r="D2026" s="177"/>
      <c r="E2026" s="177"/>
      <c r="F2026" s="177"/>
      <c r="G2026" s="179"/>
      <c r="H2026" s="179"/>
      <c r="I2026" s="177"/>
    </row>
    <row r="2027" spans="3:9">
      <c r="C2027" s="177"/>
      <c r="D2027" s="177"/>
      <c r="E2027" s="177"/>
      <c r="F2027" s="177"/>
      <c r="G2027" s="179"/>
      <c r="H2027" s="179"/>
      <c r="I2027" s="177"/>
    </row>
    <row r="2028" spans="3:9">
      <c r="C2028" s="177"/>
      <c r="D2028" s="177"/>
      <c r="E2028" s="177"/>
      <c r="F2028" s="177"/>
      <c r="G2028" s="179"/>
      <c r="H2028" s="179"/>
      <c r="I2028" s="177"/>
    </row>
    <row r="2029" spans="3:9">
      <c r="C2029" s="177"/>
      <c r="D2029" s="177"/>
      <c r="E2029" s="177"/>
      <c r="F2029" s="177"/>
      <c r="G2029" s="179"/>
      <c r="H2029" s="179"/>
      <c r="I2029" s="177"/>
    </row>
    <row r="2030" spans="3:9">
      <c r="C2030" s="177"/>
      <c r="D2030" s="177"/>
      <c r="E2030" s="177"/>
      <c r="F2030" s="177"/>
      <c r="G2030" s="179"/>
      <c r="H2030" s="179"/>
      <c r="I2030" s="177"/>
    </row>
    <row r="2031" spans="3:9">
      <c r="C2031" s="177"/>
      <c r="D2031" s="177"/>
      <c r="E2031" s="177"/>
      <c r="F2031" s="177"/>
      <c r="G2031" s="179"/>
      <c r="H2031" s="179"/>
      <c r="I2031" s="177"/>
    </row>
    <row r="2032" spans="3:9">
      <c r="C2032" s="177"/>
      <c r="D2032" s="177"/>
      <c r="E2032" s="177"/>
      <c r="F2032" s="177"/>
      <c r="G2032" s="179"/>
      <c r="H2032" s="179"/>
      <c r="I2032" s="177"/>
    </row>
    <row r="2033" spans="3:9">
      <c r="C2033" s="177"/>
      <c r="D2033" s="177"/>
      <c r="E2033" s="177"/>
      <c r="F2033" s="177"/>
      <c r="G2033" s="179"/>
      <c r="H2033" s="179"/>
      <c r="I2033" s="177"/>
    </row>
    <row r="2034" spans="3:9">
      <c r="C2034" s="177"/>
      <c r="D2034" s="177"/>
      <c r="E2034" s="177"/>
      <c r="F2034" s="177"/>
      <c r="G2034" s="179"/>
      <c r="H2034" s="179"/>
      <c r="I2034" s="177"/>
    </row>
    <row r="2035" spans="3:9">
      <c r="C2035" s="177"/>
      <c r="D2035" s="177"/>
      <c r="E2035" s="177"/>
      <c r="F2035" s="177"/>
      <c r="G2035" s="179"/>
      <c r="H2035" s="179"/>
      <c r="I2035" s="177"/>
    </row>
    <row r="2036" spans="3:9">
      <c r="C2036" s="177"/>
      <c r="D2036" s="177"/>
      <c r="E2036" s="177"/>
      <c r="F2036" s="177"/>
      <c r="G2036" s="179"/>
      <c r="H2036" s="179"/>
      <c r="I2036" s="177"/>
    </row>
    <row r="2037" spans="3:9">
      <c r="C2037" s="177"/>
      <c r="D2037" s="177"/>
      <c r="E2037" s="177"/>
      <c r="F2037" s="177"/>
      <c r="G2037" s="179"/>
      <c r="H2037" s="179"/>
      <c r="I2037" s="177"/>
    </row>
    <row r="2038" spans="3:9">
      <c r="C2038" s="177"/>
      <c r="D2038" s="177"/>
      <c r="E2038" s="177"/>
      <c r="F2038" s="177"/>
      <c r="G2038" s="179"/>
      <c r="H2038" s="179"/>
      <c r="I2038" s="177"/>
    </row>
    <row r="2039" spans="3:9">
      <c r="C2039" s="177"/>
      <c r="D2039" s="177"/>
      <c r="E2039" s="177"/>
      <c r="F2039" s="177"/>
      <c r="G2039" s="179"/>
      <c r="H2039" s="179"/>
      <c r="I2039" s="177"/>
    </row>
    <row r="2040" spans="3:9">
      <c r="C2040" s="177"/>
      <c r="D2040" s="177"/>
      <c r="E2040" s="177"/>
      <c r="F2040" s="177"/>
      <c r="G2040" s="179"/>
      <c r="H2040" s="179"/>
      <c r="I2040" s="177"/>
    </row>
    <row r="2041" spans="3:9">
      <c r="C2041" s="177"/>
      <c r="D2041" s="177"/>
      <c r="E2041" s="177"/>
      <c r="F2041" s="177"/>
      <c r="G2041" s="179"/>
      <c r="H2041" s="179"/>
      <c r="I2041" s="177"/>
    </row>
    <row r="2042" spans="3:9">
      <c r="C2042" s="177"/>
      <c r="D2042" s="177"/>
      <c r="E2042" s="177"/>
      <c r="F2042" s="177"/>
      <c r="G2042" s="179"/>
      <c r="H2042" s="179"/>
      <c r="I2042" s="177"/>
    </row>
    <row r="2043" spans="3:9">
      <c r="C2043" s="177"/>
      <c r="D2043" s="177"/>
      <c r="E2043" s="177"/>
      <c r="F2043" s="177"/>
      <c r="G2043" s="179"/>
      <c r="H2043" s="179"/>
      <c r="I2043" s="177"/>
    </row>
    <row r="2044" spans="3:9">
      <c r="C2044" s="177"/>
      <c r="D2044" s="177"/>
      <c r="E2044" s="177"/>
      <c r="F2044" s="177"/>
      <c r="G2044" s="179"/>
      <c r="H2044" s="179"/>
      <c r="I2044" s="177"/>
    </row>
    <row r="2045" spans="3:9">
      <c r="C2045" s="177"/>
      <c r="D2045" s="177"/>
      <c r="E2045" s="177"/>
      <c r="F2045" s="177"/>
      <c r="G2045" s="179"/>
      <c r="H2045" s="179"/>
      <c r="I2045" s="177"/>
    </row>
    <row r="2046" spans="3:9">
      <c r="C2046" s="177"/>
      <c r="D2046" s="177"/>
      <c r="E2046" s="177"/>
      <c r="F2046" s="177"/>
      <c r="G2046" s="179"/>
      <c r="H2046" s="179"/>
      <c r="I2046" s="177"/>
    </row>
    <row r="2047" spans="3:9">
      <c r="C2047" s="177"/>
      <c r="D2047" s="177"/>
      <c r="E2047" s="177"/>
      <c r="F2047" s="177"/>
      <c r="G2047" s="179"/>
      <c r="H2047" s="179"/>
      <c r="I2047" s="177"/>
    </row>
    <row r="2048" spans="3:9">
      <c r="C2048" s="177"/>
      <c r="D2048" s="177"/>
      <c r="E2048" s="177"/>
      <c r="F2048" s="177"/>
      <c r="G2048" s="179"/>
      <c r="H2048" s="179"/>
      <c r="I2048" s="177"/>
    </row>
    <row r="2049" spans="3:9">
      <c r="C2049" s="177"/>
      <c r="D2049" s="177"/>
      <c r="E2049" s="177"/>
      <c r="F2049" s="177"/>
      <c r="G2049" s="179"/>
      <c r="H2049" s="179"/>
      <c r="I2049" s="177"/>
    </row>
    <row r="2050" spans="3:9">
      <c r="C2050" s="177"/>
      <c r="D2050" s="177"/>
      <c r="E2050" s="177"/>
      <c r="F2050" s="177"/>
      <c r="G2050" s="179"/>
      <c r="H2050" s="179"/>
      <c r="I2050" s="177"/>
    </row>
    <row r="2051" spans="3:9">
      <c r="C2051" s="177"/>
      <c r="D2051" s="177"/>
      <c r="E2051" s="177"/>
      <c r="F2051" s="177"/>
      <c r="G2051" s="179"/>
      <c r="H2051" s="179"/>
      <c r="I2051" s="177"/>
    </row>
    <row r="2052" spans="3:9">
      <c r="C2052" s="177"/>
      <c r="D2052" s="177"/>
      <c r="E2052" s="177"/>
      <c r="F2052" s="177"/>
      <c r="G2052" s="179"/>
      <c r="H2052" s="179"/>
      <c r="I2052" s="177"/>
    </row>
    <row r="2053" spans="3:9">
      <c r="C2053" s="177"/>
      <c r="D2053" s="177"/>
      <c r="E2053" s="177"/>
      <c r="F2053" s="177"/>
      <c r="G2053" s="179"/>
      <c r="H2053" s="179"/>
      <c r="I2053" s="177"/>
    </row>
    <row r="2054" spans="3:9">
      <c r="C2054" s="177"/>
      <c r="D2054" s="177"/>
      <c r="E2054" s="177"/>
      <c r="F2054" s="177"/>
      <c r="G2054" s="179"/>
      <c r="H2054" s="179"/>
      <c r="I2054" s="177"/>
    </row>
    <row r="2055" spans="3:9">
      <c r="C2055" s="177"/>
      <c r="D2055" s="177"/>
      <c r="E2055" s="177"/>
      <c r="F2055" s="177"/>
      <c r="G2055" s="179"/>
      <c r="H2055" s="179"/>
      <c r="I2055" s="177"/>
    </row>
    <row r="2056" spans="3:9">
      <c r="C2056" s="177"/>
      <c r="D2056" s="177"/>
      <c r="E2056" s="177"/>
      <c r="F2056" s="177"/>
      <c r="G2056" s="179"/>
      <c r="H2056" s="179"/>
      <c r="I2056" s="177"/>
    </row>
    <row r="2057" spans="3:9">
      <c r="C2057" s="177"/>
      <c r="D2057" s="177"/>
      <c r="E2057" s="177"/>
      <c r="F2057" s="177"/>
      <c r="G2057" s="179"/>
      <c r="H2057" s="179"/>
      <c r="I2057" s="177"/>
    </row>
    <row r="2058" spans="3:9">
      <c r="C2058" s="177"/>
      <c r="D2058" s="177"/>
      <c r="E2058" s="177"/>
      <c r="F2058" s="177"/>
      <c r="G2058" s="179"/>
      <c r="H2058" s="179"/>
      <c r="I2058" s="177"/>
    </row>
    <row r="2059" spans="3:9">
      <c r="C2059" s="177"/>
      <c r="D2059" s="177"/>
      <c r="E2059" s="177"/>
      <c r="F2059" s="177"/>
      <c r="G2059" s="179"/>
      <c r="H2059" s="179"/>
      <c r="I2059" s="177"/>
    </row>
    <row r="2060" spans="3:9">
      <c r="C2060" s="177"/>
      <c r="D2060" s="177"/>
      <c r="E2060" s="177"/>
      <c r="F2060" s="177"/>
      <c r="G2060" s="179"/>
      <c r="H2060" s="179"/>
      <c r="I2060" s="177"/>
    </row>
    <row r="2061" spans="3:9">
      <c r="C2061" s="177"/>
      <c r="D2061" s="177"/>
      <c r="E2061" s="177"/>
      <c r="F2061" s="177"/>
      <c r="G2061" s="179"/>
      <c r="H2061" s="179"/>
      <c r="I2061" s="177"/>
    </row>
    <row r="2062" spans="3:9">
      <c r="C2062" s="177"/>
      <c r="D2062" s="177"/>
      <c r="E2062" s="177"/>
      <c r="F2062" s="177"/>
      <c r="G2062" s="179"/>
      <c r="H2062" s="179"/>
      <c r="I2062" s="177"/>
    </row>
    <row r="2063" spans="3:9">
      <c r="C2063" s="177"/>
      <c r="D2063" s="177"/>
      <c r="E2063" s="177"/>
      <c r="F2063" s="177"/>
      <c r="G2063" s="179"/>
      <c r="H2063" s="179"/>
      <c r="I2063" s="177"/>
    </row>
    <row r="2064" spans="3:9">
      <c r="C2064" s="177"/>
      <c r="D2064" s="177"/>
      <c r="E2064" s="177"/>
      <c r="F2064" s="177"/>
      <c r="G2064" s="179"/>
      <c r="H2064" s="179"/>
      <c r="I2064" s="177"/>
    </row>
    <row r="2065" spans="3:9">
      <c r="C2065" s="177"/>
      <c r="D2065" s="177"/>
      <c r="E2065" s="177"/>
      <c r="F2065" s="177"/>
      <c r="G2065" s="179"/>
      <c r="H2065" s="179"/>
      <c r="I2065" s="177"/>
    </row>
    <row r="2066" spans="3:9">
      <c r="C2066" s="177"/>
      <c r="D2066" s="177"/>
      <c r="E2066" s="177"/>
      <c r="F2066" s="177"/>
      <c r="G2066" s="179"/>
      <c r="H2066" s="179"/>
      <c r="I2066" s="177"/>
    </row>
    <row r="2067" spans="3:9">
      <c r="C2067" s="177"/>
      <c r="D2067" s="177"/>
      <c r="E2067" s="177"/>
      <c r="F2067" s="177"/>
      <c r="G2067" s="179"/>
      <c r="H2067" s="179"/>
      <c r="I2067" s="177"/>
    </row>
    <row r="2068" spans="3:9">
      <c r="C2068" s="177"/>
      <c r="D2068" s="177"/>
      <c r="E2068" s="177"/>
      <c r="F2068" s="177"/>
      <c r="G2068" s="179"/>
      <c r="H2068" s="179"/>
      <c r="I2068" s="177"/>
    </row>
    <row r="2069" spans="3:9">
      <c r="C2069" s="177"/>
      <c r="D2069" s="177"/>
      <c r="E2069" s="177"/>
      <c r="F2069" s="177"/>
      <c r="G2069" s="179"/>
      <c r="H2069" s="179"/>
      <c r="I2069" s="177"/>
    </row>
    <row r="2070" spans="3:9">
      <c r="C2070" s="177"/>
      <c r="D2070" s="177"/>
      <c r="E2070" s="177"/>
      <c r="F2070" s="177"/>
      <c r="G2070" s="179"/>
      <c r="H2070" s="179"/>
      <c r="I2070" s="177"/>
    </row>
    <row r="2071" spans="3:9">
      <c r="C2071" s="177"/>
      <c r="D2071" s="177"/>
      <c r="E2071" s="177"/>
      <c r="F2071" s="177"/>
      <c r="G2071" s="179"/>
      <c r="H2071" s="179"/>
      <c r="I2071" s="177"/>
    </row>
    <row r="2072" spans="3:9">
      <c r="C2072" s="177"/>
      <c r="D2072" s="177"/>
      <c r="E2072" s="177"/>
      <c r="F2072" s="177"/>
      <c r="G2072" s="179"/>
      <c r="H2072" s="179"/>
      <c r="I2072" s="177"/>
    </row>
    <row r="2073" spans="3:9">
      <c r="C2073" s="177"/>
      <c r="D2073" s="177"/>
      <c r="E2073" s="177"/>
      <c r="F2073" s="177"/>
      <c r="G2073" s="179"/>
      <c r="H2073" s="179"/>
      <c r="I2073" s="177"/>
    </row>
    <row r="2074" spans="3:9">
      <c r="C2074" s="177"/>
      <c r="D2074" s="177"/>
      <c r="E2074" s="177"/>
      <c r="F2074" s="177"/>
      <c r="G2074" s="179"/>
      <c r="H2074" s="179"/>
      <c r="I2074" s="177"/>
    </row>
    <row r="2075" spans="3:9">
      <c r="C2075" s="177"/>
      <c r="D2075" s="177"/>
      <c r="E2075" s="177"/>
      <c r="F2075" s="177"/>
      <c r="G2075" s="179"/>
      <c r="H2075" s="179"/>
      <c r="I2075" s="177"/>
    </row>
    <row r="2076" spans="3:9">
      <c r="C2076" s="177"/>
      <c r="D2076" s="177"/>
      <c r="E2076" s="177"/>
      <c r="F2076" s="177"/>
      <c r="G2076" s="179"/>
      <c r="H2076" s="179"/>
      <c r="I2076" s="177"/>
    </row>
    <row r="2077" spans="3:9">
      <c r="C2077" s="177"/>
      <c r="D2077" s="177"/>
      <c r="E2077" s="177"/>
      <c r="F2077" s="177"/>
      <c r="G2077" s="179"/>
      <c r="H2077" s="179"/>
      <c r="I2077" s="177"/>
    </row>
    <row r="2078" spans="3:9">
      <c r="C2078" s="177"/>
      <c r="D2078" s="177"/>
      <c r="E2078" s="177"/>
      <c r="F2078" s="177"/>
      <c r="G2078" s="179"/>
      <c r="H2078" s="179"/>
      <c r="I2078" s="177"/>
    </row>
    <row r="2079" spans="3:9">
      <c r="C2079" s="177"/>
      <c r="D2079" s="177"/>
      <c r="E2079" s="177"/>
      <c r="F2079" s="177"/>
      <c r="G2079" s="179"/>
      <c r="H2079" s="179"/>
      <c r="I2079" s="177"/>
    </row>
    <row r="2080" spans="3:9">
      <c r="C2080" s="177"/>
      <c r="D2080" s="177"/>
      <c r="E2080" s="177"/>
      <c r="F2080" s="177"/>
      <c r="G2080" s="179"/>
      <c r="H2080" s="179"/>
      <c r="I2080" s="177"/>
    </row>
    <row r="2081" spans="3:9">
      <c r="C2081" s="177"/>
      <c r="D2081" s="177"/>
      <c r="E2081" s="177"/>
      <c r="F2081" s="177"/>
      <c r="G2081" s="179"/>
      <c r="H2081" s="179"/>
      <c r="I2081" s="177"/>
    </row>
    <row r="2082" spans="3:9">
      <c r="C2082" s="177"/>
      <c r="D2082" s="177"/>
      <c r="E2082" s="177"/>
      <c r="F2082" s="177"/>
      <c r="G2082" s="179"/>
      <c r="H2082" s="179"/>
      <c r="I2082" s="177"/>
    </row>
    <row r="2083" spans="3:9">
      <c r="C2083" s="177"/>
      <c r="D2083" s="177"/>
      <c r="E2083" s="177"/>
      <c r="F2083" s="177"/>
      <c r="G2083" s="179"/>
      <c r="H2083" s="179"/>
      <c r="I2083" s="177"/>
    </row>
    <row r="2084" spans="3:9">
      <c r="C2084" s="177"/>
      <c r="D2084" s="177"/>
      <c r="E2084" s="177"/>
      <c r="F2084" s="177"/>
      <c r="G2084" s="179"/>
      <c r="H2084" s="179"/>
      <c r="I2084" s="177"/>
    </row>
    <row r="2085" spans="3:9">
      <c r="C2085" s="177"/>
      <c r="D2085" s="177"/>
      <c r="E2085" s="177"/>
      <c r="F2085" s="177"/>
      <c r="G2085" s="179"/>
      <c r="H2085" s="179"/>
      <c r="I2085" s="177"/>
    </row>
    <row r="2086" spans="3:9">
      <c r="C2086" s="177"/>
      <c r="D2086" s="177"/>
      <c r="E2086" s="177"/>
      <c r="F2086" s="177"/>
      <c r="G2086" s="179"/>
      <c r="H2086" s="179"/>
      <c r="I2086" s="177"/>
    </row>
    <row r="2087" spans="3:9">
      <c r="C2087" s="177"/>
      <c r="D2087" s="177"/>
      <c r="E2087" s="177"/>
      <c r="F2087" s="177"/>
      <c r="G2087" s="179"/>
      <c r="H2087" s="179"/>
      <c r="I2087" s="177"/>
    </row>
    <row r="2088" spans="3:9">
      <c r="C2088" s="177"/>
      <c r="D2088" s="177"/>
      <c r="E2088" s="177"/>
      <c r="F2088" s="177"/>
      <c r="G2088" s="179"/>
      <c r="H2088" s="179"/>
      <c r="I2088" s="177"/>
    </row>
    <row r="2089" spans="3:9">
      <c r="C2089" s="177"/>
      <c r="D2089" s="177"/>
      <c r="E2089" s="177"/>
      <c r="F2089" s="177"/>
      <c r="G2089" s="179"/>
      <c r="H2089" s="179"/>
      <c r="I2089" s="177"/>
    </row>
    <row r="2090" spans="3:9">
      <c r="C2090" s="177"/>
      <c r="D2090" s="177"/>
      <c r="E2090" s="177"/>
      <c r="F2090" s="177"/>
      <c r="G2090" s="179"/>
      <c r="H2090" s="179"/>
      <c r="I2090" s="177"/>
    </row>
    <row r="2091" spans="3:9">
      <c r="C2091" s="177"/>
      <c r="D2091" s="177"/>
      <c r="E2091" s="177"/>
      <c r="F2091" s="177"/>
      <c r="G2091" s="179"/>
      <c r="H2091" s="179"/>
      <c r="I2091" s="177"/>
    </row>
    <row r="2092" spans="3:9">
      <c r="C2092" s="177"/>
      <c r="D2092" s="177"/>
      <c r="E2092" s="177"/>
      <c r="F2092" s="177"/>
      <c r="G2092" s="179"/>
      <c r="H2092" s="179"/>
      <c r="I2092" s="177"/>
    </row>
    <row r="2093" spans="3:9">
      <c r="C2093" s="177"/>
      <c r="D2093" s="177"/>
      <c r="E2093" s="177"/>
      <c r="F2093" s="177"/>
      <c r="G2093" s="179"/>
      <c r="H2093" s="179"/>
      <c r="I2093" s="177"/>
    </row>
    <row r="2094" spans="3:9">
      <c r="C2094" s="177"/>
      <c r="D2094" s="177"/>
      <c r="E2094" s="177"/>
      <c r="F2094" s="177"/>
      <c r="G2094" s="179"/>
      <c r="H2094" s="179"/>
      <c r="I2094" s="177"/>
    </row>
    <row r="2095" spans="3:9">
      <c r="C2095" s="177"/>
      <c r="D2095" s="177"/>
      <c r="E2095" s="177"/>
      <c r="F2095" s="177"/>
      <c r="G2095" s="179"/>
      <c r="H2095" s="179"/>
      <c r="I2095" s="177"/>
    </row>
    <row r="2096" spans="3:9">
      <c r="C2096" s="177"/>
      <c r="D2096" s="177"/>
      <c r="E2096" s="177"/>
      <c r="F2096" s="177"/>
      <c r="G2096" s="179"/>
      <c r="H2096" s="179"/>
      <c r="I2096" s="177"/>
    </row>
    <row r="2097" spans="3:9">
      <c r="C2097" s="177"/>
      <c r="D2097" s="177"/>
      <c r="E2097" s="177"/>
      <c r="F2097" s="177"/>
      <c r="G2097" s="179"/>
      <c r="H2097" s="179"/>
      <c r="I2097" s="177"/>
    </row>
    <row r="2098" spans="3:9">
      <c r="C2098" s="177"/>
      <c r="D2098" s="177"/>
      <c r="E2098" s="177"/>
      <c r="F2098" s="177"/>
      <c r="G2098" s="179"/>
      <c r="H2098" s="179"/>
      <c r="I2098" s="177"/>
    </row>
    <row r="2099" spans="3:9">
      <c r="C2099" s="177"/>
      <c r="D2099" s="177"/>
      <c r="E2099" s="177"/>
      <c r="F2099" s="177"/>
      <c r="G2099" s="179"/>
      <c r="H2099" s="179"/>
      <c r="I2099" s="177"/>
    </row>
    <row r="2100" spans="3:9">
      <c r="C2100" s="177"/>
      <c r="D2100" s="177"/>
      <c r="E2100" s="177"/>
      <c r="F2100" s="177"/>
      <c r="G2100" s="179"/>
      <c r="H2100" s="179"/>
      <c r="I2100" s="177"/>
    </row>
    <row r="2101" spans="3:9">
      <c r="C2101" s="177"/>
      <c r="D2101" s="177"/>
      <c r="E2101" s="177"/>
      <c r="F2101" s="177"/>
      <c r="G2101" s="179"/>
      <c r="H2101" s="179"/>
      <c r="I2101" s="177"/>
    </row>
    <row r="2102" spans="3:9">
      <c r="C2102" s="177"/>
      <c r="D2102" s="177"/>
      <c r="E2102" s="177"/>
      <c r="F2102" s="177"/>
      <c r="G2102" s="179"/>
      <c r="H2102" s="179"/>
      <c r="I2102" s="177"/>
    </row>
    <row r="2103" spans="3:9">
      <c r="C2103" s="177"/>
      <c r="D2103" s="177"/>
      <c r="E2103" s="177"/>
      <c r="F2103" s="177"/>
      <c r="G2103" s="179"/>
      <c r="H2103" s="179"/>
      <c r="I2103" s="177"/>
    </row>
    <row r="2104" spans="3:9">
      <c r="C2104" s="177"/>
      <c r="D2104" s="177"/>
      <c r="E2104" s="177"/>
      <c r="F2104" s="177"/>
      <c r="G2104" s="179"/>
      <c r="H2104" s="179"/>
      <c r="I2104" s="177"/>
    </row>
    <row r="2105" spans="3:9">
      <c r="C2105" s="177"/>
      <c r="D2105" s="177"/>
      <c r="E2105" s="177"/>
      <c r="F2105" s="177"/>
      <c r="G2105" s="179"/>
      <c r="H2105" s="179"/>
      <c r="I2105" s="177"/>
    </row>
    <row r="2106" spans="3:9">
      <c r="C2106" s="177"/>
      <c r="D2106" s="177"/>
      <c r="E2106" s="177"/>
      <c r="F2106" s="177"/>
      <c r="G2106" s="179"/>
      <c r="H2106" s="179"/>
      <c r="I2106" s="177"/>
    </row>
    <row r="2107" spans="3:9">
      <c r="C2107" s="177"/>
      <c r="D2107" s="177"/>
      <c r="E2107" s="177"/>
      <c r="F2107" s="177"/>
      <c r="G2107" s="179"/>
      <c r="H2107" s="179"/>
      <c r="I2107" s="177"/>
    </row>
    <row r="2108" spans="3:9">
      <c r="C2108" s="177"/>
      <c r="D2108" s="177"/>
      <c r="E2108" s="177"/>
      <c r="F2108" s="177"/>
      <c r="G2108" s="179"/>
      <c r="H2108" s="179"/>
      <c r="I2108" s="177"/>
    </row>
    <row r="2109" spans="3:9">
      <c r="C2109" s="177"/>
      <c r="D2109" s="177"/>
      <c r="E2109" s="177"/>
      <c r="F2109" s="177"/>
      <c r="G2109" s="179"/>
      <c r="H2109" s="179"/>
      <c r="I2109" s="177"/>
    </row>
    <row r="2110" spans="3:9">
      <c r="C2110" s="177"/>
      <c r="D2110" s="177"/>
      <c r="E2110" s="177"/>
      <c r="F2110" s="177"/>
      <c r="G2110" s="179"/>
      <c r="H2110" s="179"/>
      <c r="I2110" s="177"/>
    </row>
    <row r="2111" spans="3:9">
      <c r="C2111" s="177"/>
      <c r="D2111" s="177"/>
      <c r="E2111" s="177"/>
      <c r="F2111" s="177"/>
      <c r="G2111" s="179"/>
      <c r="H2111" s="179"/>
      <c r="I2111" s="177"/>
    </row>
    <row r="2112" spans="3:9">
      <c r="C2112" s="177"/>
      <c r="D2112" s="177"/>
      <c r="E2112" s="177"/>
      <c r="F2112" s="177"/>
      <c r="G2112" s="179"/>
      <c r="H2112" s="179"/>
      <c r="I2112" s="177"/>
    </row>
    <row r="2113" spans="3:9">
      <c r="C2113" s="177"/>
      <c r="D2113" s="177"/>
      <c r="E2113" s="177"/>
      <c r="F2113" s="177"/>
      <c r="G2113" s="179"/>
      <c r="H2113" s="179"/>
      <c r="I2113" s="177"/>
    </row>
    <row r="2114" spans="3:9">
      <c r="C2114" s="177"/>
      <c r="D2114" s="177"/>
      <c r="E2114" s="177"/>
      <c r="F2114" s="177"/>
      <c r="G2114" s="179"/>
      <c r="H2114" s="179"/>
      <c r="I2114" s="177"/>
    </row>
    <row r="2115" spans="3:9">
      <c r="C2115" s="177"/>
      <c r="D2115" s="177"/>
      <c r="E2115" s="177"/>
      <c r="F2115" s="177"/>
      <c r="G2115" s="179"/>
      <c r="H2115" s="179"/>
      <c r="I2115" s="177"/>
    </row>
    <row r="2116" spans="3:9">
      <c r="C2116" s="177"/>
      <c r="D2116" s="177"/>
      <c r="E2116" s="177"/>
      <c r="F2116" s="177"/>
      <c r="G2116" s="179"/>
      <c r="H2116" s="179"/>
      <c r="I2116" s="177"/>
    </row>
    <row r="2117" spans="3:9">
      <c r="C2117" s="177"/>
      <c r="D2117" s="177"/>
      <c r="E2117" s="177"/>
      <c r="F2117" s="177"/>
      <c r="G2117" s="179"/>
      <c r="H2117" s="179"/>
      <c r="I2117" s="177"/>
    </row>
    <row r="2118" spans="3:9">
      <c r="C2118" s="177"/>
      <c r="D2118" s="177"/>
      <c r="E2118" s="177"/>
      <c r="F2118" s="177"/>
      <c r="G2118" s="179"/>
      <c r="H2118" s="179"/>
      <c r="I2118" s="177"/>
    </row>
    <row r="2119" spans="3:9">
      <c r="C2119" s="177"/>
      <c r="D2119" s="177"/>
      <c r="E2119" s="177"/>
      <c r="F2119" s="177"/>
      <c r="G2119" s="179"/>
      <c r="H2119" s="179"/>
      <c r="I2119" s="177"/>
    </row>
    <row r="2120" spans="3:9">
      <c r="C2120" s="177"/>
      <c r="D2120" s="177"/>
      <c r="E2120" s="177"/>
      <c r="F2120" s="177"/>
      <c r="G2120" s="179"/>
      <c r="H2120" s="179"/>
      <c r="I2120" s="177"/>
    </row>
    <row r="2121" spans="3:9">
      <c r="C2121" s="177"/>
      <c r="D2121" s="177"/>
      <c r="E2121" s="177"/>
      <c r="F2121" s="177"/>
      <c r="G2121" s="179"/>
      <c r="H2121" s="179"/>
      <c r="I2121" s="177"/>
    </row>
    <row r="2122" spans="3:9">
      <c r="C2122" s="177"/>
      <c r="D2122" s="177"/>
      <c r="E2122" s="177"/>
      <c r="F2122" s="177"/>
      <c r="G2122" s="179"/>
      <c r="H2122" s="179"/>
      <c r="I2122" s="177"/>
    </row>
    <row r="2123" spans="3:9">
      <c r="C2123" s="177"/>
      <c r="D2123" s="177"/>
      <c r="E2123" s="177"/>
      <c r="F2123" s="177"/>
      <c r="G2123" s="179"/>
      <c r="H2123" s="179"/>
      <c r="I2123" s="177"/>
    </row>
    <row r="2124" spans="3:9">
      <c r="C2124" s="177"/>
      <c r="D2124" s="177"/>
      <c r="E2124" s="177"/>
      <c r="F2124" s="177"/>
      <c r="G2124" s="179"/>
      <c r="H2124" s="179"/>
      <c r="I2124" s="177"/>
    </row>
    <row r="2125" spans="3:9">
      <c r="C2125" s="177"/>
      <c r="D2125" s="177"/>
      <c r="E2125" s="177"/>
      <c r="F2125" s="177"/>
      <c r="G2125" s="179"/>
      <c r="H2125" s="179"/>
      <c r="I2125" s="177"/>
    </row>
    <row r="2126" spans="3:9">
      <c r="C2126" s="177"/>
      <c r="D2126" s="177"/>
      <c r="E2126" s="177"/>
      <c r="F2126" s="177"/>
      <c r="G2126" s="179"/>
      <c r="H2126" s="179"/>
      <c r="I2126" s="177"/>
    </row>
    <row r="2127" spans="3:9">
      <c r="C2127" s="177"/>
      <c r="D2127" s="177"/>
      <c r="E2127" s="177"/>
      <c r="F2127" s="177"/>
      <c r="G2127" s="179"/>
      <c r="H2127" s="179"/>
      <c r="I2127" s="177"/>
    </row>
    <row r="2128" spans="3:9">
      <c r="C2128" s="177"/>
      <c r="D2128" s="177"/>
      <c r="E2128" s="177"/>
      <c r="F2128" s="177"/>
      <c r="G2128" s="179"/>
      <c r="H2128" s="179"/>
      <c r="I2128" s="177"/>
    </row>
    <row r="2129" spans="3:9">
      <c r="C2129" s="177"/>
      <c r="D2129" s="177"/>
      <c r="E2129" s="177"/>
      <c r="F2129" s="177"/>
      <c r="G2129" s="179"/>
      <c r="H2129" s="179"/>
      <c r="I2129" s="177"/>
    </row>
    <row r="2130" spans="3:9">
      <c r="C2130" s="177"/>
      <c r="D2130" s="177"/>
      <c r="E2130" s="177"/>
      <c r="F2130" s="177"/>
      <c r="G2130" s="179"/>
      <c r="H2130" s="179"/>
      <c r="I2130" s="177"/>
    </row>
    <row r="2131" spans="3:9">
      <c r="C2131" s="177"/>
      <c r="D2131" s="177"/>
      <c r="E2131" s="177"/>
      <c r="F2131" s="177"/>
      <c r="G2131" s="179"/>
      <c r="H2131" s="179"/>
      <c r="I2131" s="177"/>
    </row>
    <row r="2132" spans="3:9">
      <c r="C2132" s="177"/>
      <c r="D2132" s="177"/>
      <c r="E2132" s="177"/>
      <c r="F2132" s="177"/>
      <c r="G2132" s="179"/>
      <c r="H2132" s="179"/>
      <c r="I2132" s="177"/>
    </row>
    <row r="2133" spans="3:9">
      <c r="C2133" s="177"/>
      <c r="D2133" s="177"/>
      <c r="E2133" s="177"/>
      <c r="F2133" s="177"/>
      <c r="G2133" s="179"/>
      <c r="H2133" s="179"/>
      <c r="I2133" s="177"/>
    </row>
    <row r="2134" spans="3:9">
      <c r="C2134" s="177"/>
      <c r="D2134" s="177"/>
      <c r="E2134" s="177"/>
      <c r="F2134" s="177"/>
      <c r="G2134" s="179"/>
      <c r="H2134" s="179"/>
      <c r="I2134" s="177"/>
    </row>
    <row r="2135" spans="3:9">
      <c r="C2135" s="177"/>
      <c r="D2135" s="177"/>
      <c r="E2135" s="177"/>
      <c r="F2135" s="177"/>
      <c r="G2135" s="179"/>
      <c r="H2135" s="179"/>
      <c r="I2135" s="177"/>
    </row>
    <row r="2136" spans="3:9">
      <c r="C2136" s="177"/>
      <c r="D2136" s="177"/>
      <c r="E2136" s="177"/>
      <c r="F2136" s="177"/>
      <c r="G2136" s="179"/>
      <c r="H2136" s="179"/>
      <c r="I2136" s="177"/>
    </row>
    <row r="2137" spans="3:9">
      <c r="C2137" s="177"/>
      <c r="D2137" s="177"/>
      <c r="E2137" s="177"/>
      <c r="F2137" s="177"/>
      <c r="G2137" s="179"/>
      <c r="H2137" s="179"/>
      <c r="I2137" s="177"/>
    </row>
    <row r="2138" spans="3:9">
      <c r="C2138" s="177"/>
      <c r="D2138" s="177"/>
      <c r="E2138" s="177"/>
      <c r="F2138" s="177"/>
      <c r="G2138" s="179"/>
      <c r="H2138" s="179"/>
      <c r="I2138" s="177"/>
    </row>
    <row r="2139" spans="3:9">
      <c r="C2139" s="177"/>
      <c r="D2139" s="177"/>
      <c r="E2139" s="177"/>
      <c r="F2139" s="177"/>
      <c r="G2139" s="179"/>
      <c r="H2139" s="179"/>
      <c r="I2139" s="177"/>
    </row>
    <row r="2140" spans="3:9">
      <c r="C2140" s="177"/>
      <c r="D2140" s="177"/>
      <c r="E2140" s="177"/>
      <c r="F2140" s="177"/>
      <c r="G2140" s="179"/>
      <c r="H2140" s="179"/>
      <c r="I2140" s="177"/>
    </row>
    <row r="2141" spans="3:9">
      <c r="C2141" s="177"/>
      <c r="D2141" s="177"/>
      <c r="E2141" s="177"/>
      <c r="F2141" s="177"/>
      <c r="G2141" s="179"/>
      <c r="H2141" s="179"/>
      <c r="I2141" s="177"/>
    </row>
    <row r="2142" spans="3:9">
      <c r="C2142" s="177"/>
      <c r="D2142" s="177"/>
      <c r="E2142" s="177"/>
      <c r="F2142" s="177"/>
      <c r="G2142" s="179"/>
      <c r="H2142" s="179"/>
      <c r="I2142" s="177"/>
    </row>
    <row r="2143" spans="3:9">
      <c r="C2143" s="177"/>
      <c r="D2143" s="177"/>
      <c r="E2143" s="177"/>
      <c r="F2143" s="177"/>
      <c r="G2143" s="179"/>
      <c r="H2143" s="179"/>
      <c r="I2143" s="177"/>
    </row>
    <row r="2144" spans="3:9">
      <c r="C2144" s="177"/>
      <c r="D2144" s="177"/>
      <c r="E2144" s="177"/>
      <c r="F2144" s="177"/>
      <c r="G2144" s="179"/>
      <c r="H2144" s="179"/>
      <c r="I2144" s="177"/>
    </row>
    <row r="2145" spans="3:9">
      <c r="C2145" s="177"/>
      <c r="D2145" s="177"/>
      <c r="E2145" s="177"/>
      <c r="F2145" s="177"/>
      <c r="G2145" s="179"/>
      <c r="H2145" s="179"/>
      <c r="I2145" s="177"/>
    </row>
    <row r="2146" spans="3:9">
      <c r="C2146" s="177"/>
      <c r="D2146" s="177"/>
      <c r="E2146" s="177"/>
      <c r="F2146" s="177"/>
      <c r="G2146" s="179"/>
      <c r="H2146" s="179"/>
      <c r="I2146" s="177"/>
    </row>
    <row r="2147" spans="3:9">
      <c r="C2147" s="177"/>
      <c r="D2147" s="177"/>
      <c r="E2147" s="177"/>
      <c r="F2147" s="177"/>
      <c r="G2147" s="179"/>
      <c r="H2147" s="179"/>
      <c r="I2147" s="177"/>
    </row>
    <row r="2148" spans="3:9">
      <c r="C2148" s="177"/>
      <c r="D2148" s="177"/>
      <c r="E2148" s="177"/>
      <c r="F2148" s="177"/>
      <c r="G2148" s="179"/>
      <c r="H2148" s="179"/>
      <c r="I2148" s="177"/>
    </row>
    <row r="2149" spans="3:9">
      <c r="C2149" s="177"/>
      <c r="D2149" s="177"/>
      <c r="E2149" s="177"/>
      <c r="F2149" s="177"/>
      <c r="G2149" s="179"/>
      <c r="H2149" s="179"/>
      <c r="I2149" s="177"/>
    </row>
    <row r="2150" spans="3:9">
      <c r="C2150" s="177"/>
      <c r="D2150" s="177"/>
      <c r="E2150" s="177"/>
      <c r="F2150" s="177"/>
      <c r="G2150" s="179"/>
      <c r="H2150" s="179"/>
      <c r="I2150" s="177"/>
    </row>
    <row r="2151" spans="3:9">
      <c r="C2151" s="177"/>
      <c r="D2151" s="177"/>
      <c r="E2151" s="177"/>
      <c r="F2151" s="177"/>
      <c r="G2151" s="179"/>
      <c r="H2151" s="179"/>
      <c r="I2151" s="177"/>
    </row>
    <row r="2152" spans="3:9">
      <c r="C2152" s="177"/>
      <c r="D2152" s="177"/>
      <c r="E2152" s="177"/>
      <c r="F2152" s="177"/>
      <c r="G2152" s="179"/>
      <c r="H2152" s="179"/>
      <c r="I2152" s="177"/>
    </row>
    <row r="2153" spans="3:9">
      <c r="C2153" s="177"/>
      <c r="D2153" s="177"/>
      <c r="E2153" s="177"/>
      <c r="F2153" s="177"/>
      <c r="G2153" s="179"/>
      <c r="H2153" s="179"/>
      <c r="I2153" s="177"/>
    </row>
    <row r="2154" spans="3:9">
      <c r="C2154" s="177"/>
      <c r="D2154" s="177"/>
      <c r="E2154" s="177"/>
      <c r="F2154" s="177"/>
      <c r="G2154" s="179"/>
      <c r="H2154" s="179"/>
      <c r="I2154" s="177"/>
    </row>
    <row r="2155" spans="3:9">
      <c r="C2155" s="177"/>
      <c r="D2155" s="177"/>
      <c r="E2155" s="177"/>
      <c r="F2155" s="177"/>
      <c r="G2155" s="179"/>
      <c r="H2155" s="179"/>
      <c r="I2155" s="177"/>
    </row>
    <row r="2156" spans="3:9">
      <c r="C2156" s="177"/>
      <c r="D2156" s="177"/>
      <c r="E2156" s="177"/>
      <c r="F2156" s="177"/>
      <c r="G2156" s="179"/>
      <c r="H2156" s="179"/>
      <c r="I2156" s="177"/>
    </row>
    <row r="2157" spans="3:9">
      <c r="C2157" s="177"/>
      <c r="D2157" s="177"/>
      <c r="E2157" s="177"/>
      <c r="F2157" s="177"/>
      <c r="G2157" s="179"/>
      <c r="H2157" s="179"/>
      <c r="I2157" s="177"/>
    </row>
    <row r="2158" spans="3:9">
      <c r="C2158" s="177"/>
      <c r="D2158" s="177"/>
      <c r="E2158" s="177"/>
      <c r="F2158" s="177"/>
      <c r="G2158" s="179"/>
      <c r="H2158" s="179"/>
      <c r="I2158" s="177"/>
    </row>
    <row r="2159" spans="3:9">
      <c r="C2159" s="177"/>
      <c r="D2159" s="177"/>
      <c r="E2159" s="177"/>
      <c r="F2159" s="177"/>
      <c r="G2159" s="179"/>
      <c r="H2159" s="179"/>
      <c r="I2159" s="177"/>
    </row>
    <row r="2160" spans="3:9">
      <c r="C2160" s="177"/>
      <c r="D2160" s="177"/>
      <c r="E2160" s="177"/>
      <c r="F2160" s="177"/>
      <c r="G2160" s="179"/>
      <c r="H2160" s="179"/>
      <c r="I2160" s="177"/>
    </row>
    <row r="2161" spans="3:9">
      <c r="C2161" s="177"/>
      <c r="D2161" s="177"/>
      <c r="E2161" s="177"/>
      <c r="F2161" s="177"/>
      <c r="G2161" s="179"/>
      <c r="H2161" s="179"/>
      <c r="I2161" s="177"/>
    </row>
    <row r="2162" spans="3:9">
      <c r="C2162" s="177"/>
      <c r="D2162" s="177"/>
      <c r="E2162" s="177"/>
      <c r="F2162" s="177"/>
      <c r="G2162" s="179"/>
      <c r="H2162" s="179"/>
      <c r="I2162" s="177"/>
    </row>
    <row r="2163" spans="3:9">
      <c r="C2163" s="177"/>
      <c r="D2163" s="177"/>
      <c r="E2163" s="177"/>
      <c r="F2163" s="177"/>
      <c r="G2163" s="179"/>
      <c r="H2163" s="179"/>
      <c r="I2163" s="177"/>
    </row>
    <row r="2164" spans="3:9">
      <c r="C2164" s="177"/>
      <c r="D2164" s="177"/>
      <c r="E2164" s="177"/>
      <c r="F2164" s="177"/>
      <c r="G2164" s="179"/>
      <c r="H2164" s="179"/>
      <c r="I2164" s="177"/>
    </row>
    <row r="2165" spans="3:9">
      <c r="C2165" s="177"/>
      <c r="D2165" s="177"/>
      <c r="E2165" s="177"/>
      <c r="F2165" s="177"/>
      <c r="G2165" s="179"/>
      <c r="H2165" s="179"/>
      <c r="I2165" s="177"/>
    </row>
    <row r="2166" spans="3:9">
      <c r="C2166" s="177"/>
      <c r="D2166" s="177"/>
      <c r="E2166" s="177"/>
      <c r="F2166" s="177"/>
      <c r="G2166" s="179"/>
      <c r="H2166" s="179"/>
      <c r="I2166" s="177"/>
    </row>
    <row r="2167" spans="3:9">
      <c r="C2167" s="177"/>
      <c r="D2167" s="177"/>
      <c r="E2167" s="177"/>
      <c r="F2167" s="177"/>
      <c r="G2167" s="179"/>
      <c r="H2167" s="179"/>
      <c r="I2167" s="177"/>
    </row>
    <row r="2168" spans="3:9">
      <c r="C2168" s="177"/>
      <c r="D2168" s="177"/>
      <c r="E2168" s="177"/>
      <c r="F2168" s="177"/>
      <c r="G2168" s="179"/>
      <c r="H2168" s="179"/>
      <c r="I2168" s="177"/>
    </row>
    <row r="2169" spans="3:9">
      <c r="C2169" s="177"/>
      <c r="D2169" s="177"/>
      <c r="E2169" s="177"/>
      <c r="F2169" s="177"/>
      <c r="G2169" s="179"/>
      <c r="H2169" s="179"/>
      <c r="I2169" s="177"/>
    </row>
    <row r="2170" spans="3:9">
      <c r="C2170" s="177"/>
      <c r="D2170" s="177"/>
      <c r="E2170" s="177"/>
      <c r="F2170" s="177"/>
      <c r="G2170" s="179"/>
      <c r="H2170" s="179"/>
      <c r="I2170" s="177"/>
    </row>
    <row r="2171" spans="3:9">
      <c r="C2171" s="177"/>
      <c r="D2171" s="177"/>
      <c r="E2171" s="177"/>
      <c r="F2171" s="177"/>
      <c r="G2171" s="179"/>
      <c r="H2171" s="179"/>
      <c r="I2171" s="177"/>
    </row>
    <row r="2172" spans="3:9">
      <c r="C2172" s="177"/>
      <c r="D2172" s="177"/>
      <c r="E2172" s="177"/>
      <c r="F2172" s="177"/>
      <c r="G2172" s="179"/>
      <c r="H2172" s="179"/>
      <c r="I2172" s="177"/>
    </row>
    <row r="2173" spans="3:9">
      <c r="C2173" s="177"/>
      <c r="D2173" s="177"/>
      <c r="E2173" s="177"/>
      <c r="F2173" s="177"/>
      <c r="G2173" s="179"/>
      <c r="H2173" s="179"/>
      <c r="I2173" s="177"/>
    </row>
    <row r="2174" spans="3:9">
      <c r="C2174" s="177"/>
      <c r="D2174" s="177"/>
      <c r="E2174" s="177"/>
      <c r="F2174" s="177"/>
      <c r="G2174" s="179"/>
      <c r="H2174" s="179"/>
      <c r="I2174" s="177"/>
    </row>
    <row r="2175" spans="3:9">
      <c r="C2175" s="177"/>
      <c r="D2175" s="177"/>
      <c r="E2175" s="177"/>
      <c r="F2175" s="177"/>
      <c r="G2175" s="179"/>
      <c r="H2175" s="179"/>
      <c r="I2175" s="177"/>
    </row>
    <row r="2176" spans="3:9">
      <c r="C2176" s="177"/>
      <c r="D2176" s="177"/>
      <c r="E2176" s="177"/>
      <c r="F2176" s="177"/>
      <c r="G2176" s="179"/>
      <c r="H2176" s="179"/>
      <c r="I2176" s="177"/>
    </row>
    <row r="2177" spans="3:9">
      <c r="C2177" s="177"/>
      <c r="D2177" s="177"/>
      <c r="E2177" s="177"/>
      <c r="F2177" s="177"/>
      <c r="G2177" s="179"/>
      <c r="H2177" s="179"/>
      <c r="I2177" s="177"/>
    </row>
    <row r="2178" spans="3:9">
      <c r="C2178" s="177"/>
      <c r="D2178" s="177"/>
      <c r="E2178" s="177"/>
      <c r="F2178" s="177"/>
      <c r="G2178" s="179"/>
      <c r="H2178" s="179"/>
      <c r="I2178" s="177"/>
    </row>
    <row r="2179" spans="3:9">
      <c r="C2179" s="177"/>
      <c r="D2179" s="177"/>
      <c r="E2179" s="177"/>
      <c r="F2179" s="177"/>
      <c r="G2179" s="179"/>
      <c r="H2179" s="179"/>
      <c r="I2179" s="177"/>
    </row>
    <row r="2180" spans="3:9">
      <c r="C2180" s="177"/>
      <c r="D2180" s="177"/>
      <c r="E2180" s="177"/>
      <c r="F2180" s="177"/>
      <c r="G2180" s="179"/>
      <c r="H2180" s="179"/>
      <c r="I2180" s="177"/>
    </row>
    <row r="2181" spans="3:9">
      <c r="C2181" s="177"/>
      <c r="D2181" s="177"/>
      <c r="E2181" s="177"/>
      <c r="F2181" s="177"/>
      <c r="G2181" s="179"/>
      <c r="H2181" s="179"/>
      <c r="I2181" s="177"/>
    </row>
    <row r="2182" spans="3:9">
      <c r="C2182" s="177"/>
      <c r="D2182" s="177"/>
      <c r="E2182" s="177"/>
      <c r="F2182" s="177"/>
      <c r="G2182" s="179"/>
      <c r="H2182" s="179"/>
      <c r="I2182" s="177"/>
    </row>
    <row r="2183" spans="3:9">
      <c r="C2183" s="177"/>
      <c r="D2183" s="177"/>
      <c r="E2183" s="177"/>
      <c r="F2183" s="177"/>
      <c r="G2183" s="179"/>
      <c r="H2183" s="179"/>
      <c r="I2183" s="177"/>
    </row>
    <row r="2184" spans="3:9">
      <c r="C2184" s="177"/>
      <c r="D2184" s="177"/>
      <c r="E2184" s="177"/>
      <c r="F2184" s="177"/>
      <c r="G2184" s="179"/>
      <c r="H2184" s="179"/>
      <c r="I2184" s="177"/>
    </row>
    <row r="2185" spans="3:9">
      <c r="C2185" s="177"/>
      <c r="D2185" s="177"/>
      <c r="E2185" s="177"/>
      <c r="F2185" s="177"/>
      <c r="G2185" s="179"/>
      <c r="H2185" s="179"/>
      <c r="I2185" s="177"/>
    </row>
    <row r="2186" spans="3:9">
      <c r="C2186" s="177"/>
      <c r="D2186" s="177"/>
      <c r="E2186" s="177"/>
      <c r="F2186" s="177"/>
      <c r="G2186" s="179"/>
      <c r="H2186" s="179"/>
      <c r="I2186" s="177"/>
    </row>
    <row r="2187" spans="3:9">
      <c r="C2187" s="177"/>
      <c r="D2187" s="177"/>
      <c r="E2187" s="177"/>
      <c r="F2187" s="177"/>
      <c r="G2187" s="179"/>
      <c r="H2187" s="179"/>
      <c r="I2187" s="177"/>
    </row>
    <row r="2188" spans="3:9">
      <c r="C2188" s="177"/>
      <c r="D2188" s="177"/>
      <c r="E2188" s="177"/>
      <c r="F2188" s="177"/>
      <c r="G2188" s="179"/>
      <c r="H2188" s="179"/>
      <c r="I2188" s="177"/>
    </row>
    <row r="2189" spans="3:9">
      <c r="C2189" s="177"/>
      <c r="D2189" s="177"/>
      <c r="E2189" s="177"/>
      <c r="F2189" s="177"/>
      <c r="G2189" s="179"/>
      <c r="H2189" s="179"/>
      <c r="I2189" s="177"/>
    </row>
    <row r="2190" spans="3:9">
      <c r="C2190" s="177"/>
      <c r="D2190" s="177"/>
      <c r="E2190" s="177"/>
      <c r="F2190" s="177"/>
      <c r="G2190" s="179"/>
      <c r="H2190" s="179"/>
      <c r="I2190" s="177"/>
    </row>
    <row r="2191" spans="3:9">
      <c r="C2191" s="177"/>
      <c r="D2191" s="177"/>
      <c r="E2191" s="177"/>
      <c r="F2191" s="177"/>
      <c r="G2191" s="179"/>
      <c r="H2191" s="179"/>
      <c r="I2191" s="177"/>
    </row>
    <row r="2192" spans="3:9">
      <c r="C2192" s="177"/>
      <c r="D2192" s="177"/>
      <c r="E2192" s="177"/>
      <c r="F2192" s="177"/>
      <c r="G2192" s="179"/>
      <c r="H2192" s="179"/>
      <c r="I2192" s="177"/>
    </row>
    <row r="2193" spans="3:9">
      <c r="C2193" s="177"/>
      <c r="D2193" s="177"/>
      <c r="E2193" s="177"/>
      <c r="F2193" s="177"/>
      <c r="G2193" s="179"/>
      <c r="H2193" s="179"/>
      <c r="I2193" s="177"/>
    </row>
    <row r="2194" spans="3:9">
      <c r="C2194" s="177"/>
      <c r="D2194" s="177"/>
      <c r="E2194" s="177"/>
      <c r="F2194" s="177"/>
      <c r="G2194" s="179"/>
      <c r="H2194" s="179"/>
      <c r="I2194" s="177"/>
    </row>
    <row r="2195" spans="3:9">
      <c r="C2195" s="177"/>
      <c r="D2195" s="177"/>
      <c r="E2195" s="177"/>
      <c r="F2195" s="177"/>
      <c r="G2195" s="179"/>
      <c r="H2195" s="179"/>
      <c r="I2195" s="177"/>
    </row>
    <row r="2196" spans="3:9">
      <c r="C2196" s="177"/>
      <c r="D2196" s="177"/>
      <c r="E2196" s="177"/>
      <c r="F2196" s="177"/>
      <c r="G2196" s="179"/>
      <c r="H2196" s="179"/>
      <c r="I2196" s="177"/>
    </row>
    <row r="2197" spans="3:9">
      <c r="C2197" s="177"/>
      <c r="D2197" s="177"/>
      <c r="E2197" s="177"/>
      <c r="F2197" s="177"/>
      <c r="G2197" s="179"/>
      <c r="H2197" s="179"/>
      <c r="I2197" s="177"/>
    </row>
    <row r="2198" spans="3:9">
      <c r="C2198" s="177"/>
      <c r="D2198" s="177"/>
      <c r="E2198" s="177"/>
      <c r="F2198" s="177"/>
      <c r="G2198" s="179"/>
      <c r="H2198" s="179"/>
      <c r="I2198" s="177"/>
    </row>
    <row r="2199" spans="3:9">
      <c r="C2199" s="177"/>
      <c r="D2199" s="177"/>
      <c r="E2199" s="177"/>
      <c r="F2199" s="177"/>
      <c r="G2199" s="179"/>
      <c r="H2199" s="179"/>
      <c r="I2199" s="177"/>
    </row>
    <row r="2200" spans="3:9">
      <c r="C2200" s="177"/>
      <c r="D2200" s="177"/>
      <c r="E2200" s="177"/>
      <c r="F2200" s="177"/>
      <c r="G2200" s="179"/>
      <c r="H2200" s="179"/>
      <c r="I2200" s="177"/>
    </row>
    <row r="2201" spans="3:9">
      <c r="C2201" s="177"/>
      <c r="D2201" s="177"/>
      <c r="E2201" s="177"/>
      <c r="F2201" s="177"/>
      <c r="G2201" s="179"/>
      <c r="H2201" s="179"/>
      <c r="I2201" s="177"/>
    </row>
    <row r="2202" spans="3:9">
      <c r="C2202" s="177"/>
      <c r="D2202" s="177"/>
      <c r="E2202" s="177"/>
      <c r="F2202" s="177"/>
      <c r="G2202" s="179"/>
      <c r="H2202" s="179"/>
      <c r="I2202" s="177"/>
    </row>
    <row r="2203" spans="3:9">
      <c r="C2203" s="177"/>
      <c r="D2203" s="177"/>
      <c r="E2203" s="177"/>
      <c r="F2203" s="177"/>
      <c r="G2203" s="179"/>
      <c r="H2203" s="179"/>
      <c r="I2203" s="177"/>
    </row>
    <row r="2204" spans="3:9">
      <c r="C2204" s="177"/>
      <c r="D2204" s="177"/>
      <c r="E2204" s="177"/>
      <c r="F2204" s="177"/>
      <c r="G2204" s="179"/>
      <c r="H2204" s="179"/>
      <c r="I2204" s="177"/>
    </row>
    <row r="2205" spans="3:9">
      <c r="C2205" s="177"/>
      <c r="D2205" s="177"/>
      <c r="E2205" s="177"/>
      <c r="F2205" s="177"/>
      <c r="G2205" s="179"/>
      <c r="H2205" s="179"/>
      <c r="I2205" s="177"/>
    </row>
    <row r="2206" spans="3:9">
      <c r="C2206" s="177"/>
      <c r="D2206" s="177"/>
      <c r="E2206" s="177"/>
      <c r="F2206" s="177"/>
      <c r="G2206" s="179"/>
      <c r="H2206" s="179"/>
      <c r="I2206" s="177"/>
    </row>
    <row r="2207" spans="3:9">
      <c r="C2207" s="177"/>
      <c r="D2207" s="177"/>
      <c r="E2207" s="177"/>
      <c r="F2207" s="177"/>
      <c r="G2207" s="179"/>
      <c r="H2207" s="179"/>
      <c r="I2207" s="177"/>
    </row>
    <row r="2208" spans="3:9">
      <c r="C2208" s="177"/>
      <c r="D2208" s="177"/>
      <c r="E2208" s="177"/>
      <c r="F2208" s="177"/>
      <c r="G2208" s="179"/>
      <c r="H2208" s="179"/>
      <c r="I2208" s="177"/>
    </row>
    <row r="2209" spans="3:9">
      <c r="C2209" s="177"/>
      <c r="D2209" s="177"/>
      <c r="E2209" s="177"/>
      <c r="F2209" s="177"/>
      <c r="G2209" s="179"/>
      <c r="H2209" s="179"/>
      <c r="I2209" s="177"/>
    </row>
    <row r="2210" spans="3:9">
      <c r="C2210" s="177"/>
      <c r="D2210" s="177"/>
      <c r="E2210" s="177"/>
      <c r="F2210" s="177"/>
      <c r="G2210" s="179"/>
      <c r="H2210" s="179"/>
      <c r="I2210" s="177"/>
    </row>
    <row r="2211" spans="3:9">
      <c r="C2211" s="177"/>
      <c r="D2211" s="177"/>
      <c r="E2211" s="177"/>
      <c r="F2211" s="177"/>
      <c r="G2211" s="179"/>
      <c r="H2211" s="179"/>
      <c r="I2211" s="177"/>
    </row>
    <row r="2212" spans="3:9">
      <c r="C2212" s="177"/>
      <c r="D2212" s="177"/>
      <c r="E2212" s="177"/>
      <c r="F2212" s="177"/>
      <c r="G2212" s="179"/>
      <c r="H2212" s="179"/>
      <c r="I2212" s="177"/>
    </row>
    <row r="2213" spans="3:9">
      <c r="C2213" s="177"/>
      <c r="D2213" s="177"/>
      <c r="E2213" s="177"/>
      <c r="F2213" s="177"/>
      <c r="G2213" s="179"/>
      <c r="H2213" s="179"/>
      <c r="I2213" s="177"/>
    </row>
    <row r="2214" spans="3:9">
      <c r="C2214" s="177"/>
      <c r="D2214" s="177"/>
      <c r="E2214" s="177"/>
      <c r="F2214" s="177"/>
      <c r="G2214" s="179"/>
      <c r="H2214" s="179"/>
      <c r="I2214" s="177"/>
    </row>
    <row r="2215" spans="3:9">
      <c r="C2215" s="177"/>
      <c r="D2215" s="177"/>
      <c r="E2215" s="177"/>
      <c r="F2215" s="177"/>
      <c r="G2215" s="179"/>
      <c r="H2215" s="179"/>
      <c r="I2215" s="177"/>
    </row>
    <row r="2216" spans="3:9">
      <c r="C2216" s="177"/>
      <c r="D2216" s="177"/>
      <c r="E2216" s="177"/>
      <c r="F2216" s="177"/>
      <c r="G2216" s="179"/>
      <c r="H2216" s="179"/>
      <c r="I2216" s="177"/>
    </row>
    <row r="2217" spans="3:9">
      <c r="C2217" s="177"/>
      <c r="D2217" s="177"/>
      <c r="E2217" s="177"/>
      <c r="F2217" s="177"/>
      <c r="G2217" s="179"/>
      <c r="H2217" s="179"/>
      <c r="I2217" s="177"/>
    </row>
    <row r="2218" spans="3:9">
      <c r="C2218" s="177"/>
      <c r="D2218" s="177"/>
      <c r="E2218" s="177"/>
      <c r="F2218" s="177"/>
      <c r="G2218" s="179"/>
      <c r="H2218" s="179"/>
      <c r="I2218" s="177"/>
    </row>
    <row r="2219" spans="3:9">
      <c r="C2219" s="177"/>
      <c r="D2219" s="177"/>
      <c r="E2219" s="177"/>
      <c r="F2219" s="177"/>
      <c r="G2219" s="179"/>
      <c r="H2219" s="179"/>
      <c r="I2219" s="177"/>
    </row>
    <row r="2220" spans="3:9">
      <c r="C2220" s="177"/>
      <c r="D2220" s="177"/>
      <c r="E2220" s="177"/>
      <c r="F2220" s="177"/>
      <c r="G2220" s="179"/>
      <c r="H2220" s="179"/>
      <c r="I2220" s="177"/>
    </row>
    <row r="2221" spans="3:9">
      <c r="C2221" s="177"/>
      <c r="D2221" s="177"/>
      <c r="E2221" s="177"/>
      <c r="F2221" s="177"/>
      <c r="G2221" s="179"/>
      <c r="H2221" s="179"/>
      <c r="I2221" s="177"/>
    </row>
    <row r="2222" spans="3:9">
      <c r="C2222" s="177"/>
      <c r="D2222" s="177"/>
      <c r="E2222" s="177"/>
      <c r="F2222" s="177"/>
      <c r="G2222" s="179"/>
      <c r="H2222" s="179"/>
      <c r="I2222" s="177"/>
    </row>
    <row r="2223" spans="3:9">
      <c r="C2223" s="177"/>
      <c r="D2223" s="177"/>
      <c r="E2223" s="177"/>
      <c r="F2223" s="177"/>
      <c r="G2223" s="179"/>
      <c r="H2223" s="179"/>
      <c r="I2223" s="177"/>
    </row>
    <row r="2224" spans="3:9">
      <c r="C2224" s="177"/>
      <c r="D2224" s="177"/>
      <c r="E2224" s="177"/>
      <c r="F2224" s="177"/>
      <c r="G2224" s="179"/>
      <c r="H2224" s="179"/>
      <c r="I2224" s="177"/>
    </row>
    <row r="2225" spans="3:9">
      <c r="C2225" s="177"/>
      <c r="D2225" s="177"/>
      <c r="E2225" s="177"/>
      <c r="F2225" s="177"/>
      <c r="G2225" s="179"/>
      <c r="H2225" s="179"/>
      <c r="I2225" s="177"/>
    </row>
    <row r="2226" spans="3:9">
      <c r="C2226" s="177"/>
      <c r="D2226" s="177"/>
      <c r="E2226" s="177"/>
      <c r="F2226" s="177"/>
      <c r="G2226" s="179"/>
      <c r="H2226" s="179"/>
      <c r="I2226" s="177"/>
    </row>
    <row r="2227" spans="3:9">
      <c r="C2227" s="177"/>
      <c r="D2227" s="177"/>
      <c r="E2227" s="177"/>
      <c r="F2227" s="177"/>
      <c r="G2227" s="179"/>
      <c r="H2227" s="179"/>
      <c r="I2227" s="177"/>
    </row>
    <row r="2228" spans="3:9">
      <c r="C2228" s="177"/>
      <c r="D2228" s="177"/>
      <c r="E2228" s="177"/>
      <c r="F2228" s="177"/>
      <c r="G2228" s="179"/>
      <c r="H2228" s="179"/>
      <c r="I2228" s="177"/>
    </row>
    <row r="2229" spans="3:9">
      <c r="C2229" s="177"/>
      <c r="D2229" s="177"/>
      <c r="E2229" s="177"/>
      <c r="F2229" s="177"/>
      <c r="G2229" s="179"/>
      <c r="H2229" s="179"/>
      <c r="I2229" s="177"/>
    </row>
    <row r="2230" spans="3:9">
      <c r="C2230" s="177"/>
      <c r="D2230" s="177"/>
      <c r="E2230" s="177"/>
      <c r="F2230" s="177"/>
      <c r="G2230" s="179"/>
      <c r="H2230" s="179"/>
      <c r="I2230" s="177"/>
    </row>
    <row r="2231" spans="3:9">
      <c r="C2231" s="177"/>
      <c r="D2231" s="177"/>
      <c r="E2231" s="177"/>
      <c r="F2231" s="177"/>
      <c r="G2231" s="179"/>
      <c r="H2231" s="179"/>
      <c r="I2231" s="177"/>
    </row>
    <row r="2232" spans="3:9">
      <c r="C2232" s="177"/>
      <c r="D2232" s="177"/>
      <c r="E2232" s="177"/>
      <c r="F2232" s="177"/>
      <c r="G2232" s="179"/>
      <c r="H2232" s="179"/>
      <c r="I2232" s="177"/>
    </row>
    <row r="2233" spans="3:9">
      <c r="C2233" s="177"/>
      <c r="D2233" s="177"/>
      <c r="E2233" s="177"/>
      <c r="F2233" s="177"/>
      <c r="G2233" s="179"/>
      <c r="H2233" s="179"/>
      <c r="I2233" s="177"/>
    </row>
    <row r="2234" spans="3:9">
      <c r="C2234" s="177"/>
      <c r="D2234" s="177"/>
      <c r="E2234" s="177"/>
      <c r="F2234" s="177"/>
      <c r="G2234" s="179"/>
      <c r="H2234" s="179"/>
      <c r="I2234" s="177"/>
    </row>
    <row r="2235" spans="3:9">
      <c r="C2235" s="177"/>
      <c r="D2235" s="177"/>
      <c r="E2235" s="177"/>
      <c r="F2235" s="177"/>
      <c r="G2235" s="179"/>
      <c r="H2235" s="179"/>
      <c r="I2235" s="177"/>
    </row>
    <row r="2236" spans="3:9">
      <c r="C2236" s="177"/>
      <c r="D2236" s="177"/>
      <c r="E2236" s="177"/>
      <c r="F2236" s="177"/>
      <c r="G2236" s="179"/>
      <c r="H2236" s="179"/>
      <c r="I2236" s="177"/>
    </row>
    <row r="2237" spans="3:9">
      <c r="C2237" s="177"/>
      <c r="D2237" s="177"/>
      <c r="E2237" s="177"/>
      <c r="F2237" s="177"/>
      <c r="G2237" s="179"/>
      <c r="H2237" s="179"/>
      <c r="I2237" s="177"/>
    </row>
    <row r="2238" spans="3:9">
      <c r="C2238" s="177"/>
      <c r="D2238" s="177"/>
      <c r="E2238" s="177"/>
      <c r="F2238" s="177"/>
      <c r="G2238" s="179"/>
      <c r="H2238" s="179"/>
      <c r="I2238" s="177"/>
    </row>
    <row r="2239" spans="3:9">
      <c r="C2239" s="177"/>
      <c r="D2239" s="177"/>
      <c r="E2239" s="177"/>
      <c r="F2239" s="177"/>
      <c r="G2239" s="179"/>
      <c r="H2239" s="179"/>
      <c r="I2239" s="177"/>
    </row>
    <row r="2240" spans="3:9">
      <c r="C2240" s="177"/>
      <c r="D2240" s="177"/>
      <c r="E2240" s="177"/>
      <c r="F2240" s="177"/>
      <c r="G2240" s="179"/>
      <c r="H2240" s="179"/>
      <c r="I2240" s="177"/>
    </row>
    <row r="2241" spans="3:9">
      <c r="C2241" s="177"/>
      <c r="D2241" s="177"/>
      <c r="E2241" s="177"/>
      <c r="F2241" s="177"/>
      <c r="G2241" s="179"/>
      <c r="H2241" s="179"/>
      <c r="I2241" s="177"/>
    </row>
    <row r="2242" spans="3:9">
      <c r="C2242" s="177"/>
      <c r="D2242" s="177"/>
      <c r="E2242" s="177"/>
      <c r="F2242" s="177"/>
      <c r="G2242" s="179"/>
      <c r="H2242" s="179"/>
      <c r="I2242" s="177"/>
    </row>
    <row r="2243" spans="3:9">
      <c r="C2243" s="177"/>
      <c r="D2243" s="177"/>
      <c r="E2243" s="177"/>
      <c r="F2243" s="177"/>
      <c r="G2243" s="179"/>
      <c r="H2243" s="179"/>
      <c r="I2243" s="177"/>
    </row>
    <row r="2244" spans="3:9">
      <c r="C2244" s="177"/>
      <c r="D2244" s="177"/>
      <c r="E2244" s="177"/>
      <c r="F2244" s="177"/>
      <c r="G2244" s="179"/>
      <c r="H2244" s="179"/>
      <c r="I2244" s="177"/>
    </row>
    <row r="2245" spans="3:9">
      <c r="C2245" s="177"/>
      <c r="D2245" s="177"/>
      <c r="E2245" s="177"/>
      <c r="F2245" s="177"/>
      <c r="G2245" s="179"/>
      <c r="H2245" s="179"/>
      <c r="I2245" s="177"/>
    </row>
    <row r="2246" spans="3:9">
      <c r="C2246" s="177"/>
      <c r="D2246" s="177"/>
      <c r="E2246" s="177"/>
      <c r="F2246" s="177"/>
      <c r="G2246" s="179"/>
      <c r="H2246" s="179"/>
      <c r="I2246" s="177"/>
    </row>
    <row r="2247" spans="3:9">
      <c r="C2247" s="177"/>
      <c r="D2247" s="177"/>
      <c r="E2247" s="177"/>
      <c r="F2247" s="177"/>
      <c r="G2247" s="179"/>
      <c r="H2247" s="179"/>
      <c r="I2247" s="177"/>
    </row>
    <row r="2248" spans="3:9">
      <c r="C2248" s="177"/>
      <c r="D2248" s="177"/>
      <c r="E2248" s="177"/>
      <c r="F2248" s="177"/>
      <c r="G2248" s="179"/>
      <c r="H2248" s="179"/>
      <c r="I2248" s="177"/>
    </row>
    <row r="2249" spans="3:9">
      <c r="C2249" s="177"/>
      <c r="D2249" s="177"/>
      <c r="E2249" s="177"/>
      <c r="F2249" s="177"/>
      <c r="G2249" s="179"/>
      <c r="H2249" s="179"/>
      <c r="I2249" s="177"/>
    </row>
    <row r="2250" spans="3:9">
      <c r="C2250" s="177"/>
      <c r="D2250" s="177"/>
      <c r="E2250" s="177"/>
      <c r="F2250" s="177"/>
      <c r="G2250" s="179"/>
      <c r="H2250" s="179"/>
      <c r="I2250" s="177"/>
    </row>
    <row r="2251" spans="3:9">
      <c r="C2251" s="177"/>
      <c r="D2251" s="177"/>
      <c r="E2251" s="177"/>
      <c r="F2251" s="177"/>
      <c r="G2251" s="179"/>
      <c r="H2251" s="179"/>
      <c r="I2251" s="177"/>
    </row>
    <row r="2252" spans="3:9">
      <c r="C2252" s="177"/>
      <c r="D2252" s="177"/>
      <c r="E2252" s="177"/>
      <c r="F2252" s="177"/>
      <c r="G2252" s="179"/>
      <c r="H2252" s="179"/>
      <c r="I2252" s="177"/>
    </row>
    <row r="2253" spans="3:9">
      <c r="C2253" s="177"/>
      <c r="D2253" s="177"/>
      <c r="E2253" s="177"/>
      <c r="F2253" s="177"/>
      <c r="G2253" s="179"/>
      <c r="H2253" s="179"/>
      <c r="I2253" s="177"/>
    </row>
    <row r="2254" spans="3:9">
      <c r="C2254" s="177"/>
      <c r="D2254" s="177"/>
      <c r="E2254" s="177"/>
      <c r="F2254" s="177"/>
      <c r="G2254" s="179"/>
      <c r="H2254" s="179"/>
      <c r="I2254" s="177"/>
    </row>
    <row r="2255" spans="3:9">
      <c r="C2255" s="177"/>
      <c r="D2255" s="177"/>
      <c r="E2255" s="177"/>
      <c r="F2255" s="177"/>
      <c r="G2255" s="179"/>
      <c r="H2255" s="179"/>
      <c r="I2255" s="177"/>
    </row>
    <row r="2256" spans="3:9">
      <c r="C2256" s="177"/>
      <c r="D2256" s="177"/>
      <c r="E2256" s="177"/>
      <c r="F2256" s="177"/>
      <c r="G2256" s="179"/>
      <c r="H2256" s="179"/>
      <c r="I2256" s="177"/>
    </row>
    <row r="2257" spans="3:9">
      <c r="C2257" s="177"/>
      <c r="D2257" s="177"/>
      <c r="E2257" s="177"/>
      <c r="F2257" s="177"/>
      <c r="G2257" s="179"/>
      <c r="H2257" s="179"/>
      <c r="I2257" s="177"/>
    </row>
    <row r="2258" spans="3:9">
      <c r="C2258" s="177"/>
      <c r="D2258" s="177"/>
      <c r="E2258" s="177"/>
      <c r="F2258" s="177"/>
      <c r="G2258" s="179"/>
      <c r="H2258" s="179"/>
      <c r="I2258" s="177"/>
    </row>
    <row r="2259" spans="3:9">
      <c r="C2259" s="177"/>
      <c r="D2259" s="177"/>
      <c r="E2259" s="177"/>
      <c r="F2259" s="177"/>
      <c r="G2259" s="179"/>
      <c r="H2259" s="179"/>
      <c r="I2259" s="177"/>
    </row>
  </sheetData>
  <sheetProtection formatCells="0"/>
  <mergeCells count="3">
    <mergeCell ref="A1:I1"/>
    <mergeCell ref="A2:I2"/>
    <mergeCell ref="C41:I41"/>
  </mergeCells>
  <phoneticPr fontId="0" type="noConversion"/>
  <printOptions horizontalCentered="1"/>
  <pageMargins left="0.75" right="0.75" top="1" bottom="1" header="0.5" footer="0.5"/>
  <pageSetup scale="74" orientation="portrait" r:id="rId1"/>
  <headerFooter alignWithMargins="0">
    <oddHeader>&amp;CIDAHO POWER COMPANY
Transmission Cost of Service Rate Development
12 Months Ended 12/31/2017</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G95"/>
  <sheetViews>
    <sheetView zoomScaleNormal="100" zoomScaleSheetLayoutView="100" workbookViewId="0">
      <selection activeCell="F26" sqref="F26"/>
    </sheetView>
  </sheetViews>
  <sheetFormatPr defaultRowHeight="12.75"/>
  <cols>
    <col min="1" max="1" width="31.42578125" style="263" customWidth="1"/>
    <col min="2" max="2" width="10.28515625" style="266" customWidth="1"/>
    <col min="3" max="3" width="8.85546875" style="263" bestFit="1" customWidth="1"/>
    <col min="4" max="4" width="8.42578125" style="263" customWidth="1"/>
    <col min="5" max="5" width="12.28515625" style="460" bestFit="1" customWidth="1"/>
    <col min="6" max="6" width="14.140625" style="460" bestFit="1" customWidth="1"/>
    <col min="7" max="7" width="14.5703125" style="460" customWidth="1"/>
    <col min="8" max="16384" width="9.140625" style="263"/>
  </cols>
  <sheetData>
    <row r="1" spans="1:7">
      <c r="A1" s="673" t="s">
        <v>186</v>
      </c>
      <c r="B1" s="673"/>
      <c r="C1" s="673"/>
      <c r="D1" s="673"/>
      <c r="E1" s="673"/>
      <c r="F1" s="673"/>
      <c r="G1" s="673"/>
    </row>
    <row r="2" spans="1:7">
      <c r="A2" s="666" t="s">
        <v>698</v>
      </c>
      <c r="B2" s="666"/>
      <c r="C2" s="666"/>
      <c r="D2" s="666"/>
      <c r="E2" s="666"/>
      <c r="F2" s="666"/>
      <c r="G2" s="666"/>
    </row>
    <row r="3" spans="1:7">
      <c r="A3" s="673" t="s">
        <v>704</v>
      </c>
      <c r="B3" s="673"/>
      <c r="C3" s="673"/>
      <c r="D3" s="673"/>
      <c r="E3" s="673"/>
      <c r="F3" s="673"/>
      <c r="G3" s="673"/>
    </row>
    <row r="4" spans="1:7">
      <c r="A4" s="673" t="s">
        <v>700</v>
      </c>
      <c r="B4" s="673"/>
      <c r="C4" s="673"/>
      <c r="D4" s="673"/>
      <c r="E4" s="673"/>
      <c r="F4" s="673"/>
      <c r="G4" s="673"/>
    </row>
    <row r="5" spans="1:7">
      <c r="A5" s="666"/>
      <c r="B5" s="666"/>
      <c r="C5" s="666"/>
      <c r="D5" s="666"/>
      <c r="E5" s="666"/>
      <c r="F5" s="666"/>
      <c r="G5" s="666"/>
    </row>
    <row r="6" spans="1:7">
      <c r="A6" s="616"/>
      <c r="B6" s="616"/>
      <c r="C6" s="616"/>
      <c r="D6" s="616"/>
      <c r="E6" s="452"/>
      <c r="F6" s="452"/>
      <c r="G6" s="452"/>
    </row>
    <row r="7" spans="1:7" ht="42" customHeight="1" thickBot="1">
      <c r="A7" s="407" t="s">
        <v>187</v>
      </c>
      <c r="B7" s="453" t="s">
        <v>110</v>
      </c>
      <c r="C7" s="407" t="s">
        <v>158</v>
      </c>
      <c r="D7" s="407" t="s">
        <v>159</v>
      </c>
      <c r="E7" s="454" t="s">
        <v>556</v>
      </c>
      <c r="F7" s="455" t="s">
        <v>160</v>
      </c>
      <c r="G7" s="456" t="s">
        <v>205</v>
      </c>
    </row>
    <row r="8" spans="1:7">
      <c r="A8" s="186" t="str">
        <f>'Schedule 7 Workpaper'!B8</f>
        <v>American Falls Power Plant</v>
      </c>
      <c r="B8" s="273">
        <f>'Schedule 7 Workpaper'!C8</f>
        <v>353</v>
      </c>
      <c r="C8" s="273">
        <f>'Schedule 7 Workpaper'!D8</f>
        <v>1978</v>
      </c>
      <c r="D8" s="457">
        <f>'Schedule 7 Workpaper'!G8 + 'Schedule 7 Workpaper'!J8+'Schedule 7 Workpaper'!M8+'Schedule 7 Workpaper'!P8</f>
        <v>40</v>
      </c>
      <c r="E8" s="458">
        <f>'Schedule 7 Workpaper'!E8</f>
        <v>647894.37</v>
      </c>
      <c r="F8" s="458">
        <f>'Schedule 7 Workpaper'!R8</f>
        <v>540231.17999999993</v>
      </c>
      <c r="G8" s="459">
        <f>'Schedule 7 Workpaper'!T8</f>
        <v>12763.52</v>
      </c>
    </row>
    <row r="9" spans="1:7">
      <c r="A9" s="186" t="str">
        <f>'Schedule 7 Workpaper'!B9</f>
        <v>American Falls Power Plant</v>
      </c>
      <c r="B9" s="273">
        <f>'Schedule 7 Workpaper'!C9</f>
        <v>353</v>
      </c>
      <c r="C9" s="273">
        <f>'Schedule 7 Workpaper'!D9</f>
        <v>2013</v>
      </c>
      <c r="D9" s="457">
        <f>'Schedule 7 Workpaper'!G9 + 'Schedule 7 Workpaper'!J9+'Schedule 7 Workpaper'!M9+'Schedule 7 Workpaper'!P9</f>
        <v>5.5799999999999272</v>
      </c>
      <c r="E9" s="458">
        <f>'Schedule 7 Workpaper'!E9</f>
        <v>10928.33</v>
      </c>
      <c r="F9" s="458">
        <f>'Schedule 7 Workpaper'!R9</f>
        <v>1163.06</v>
      </c>
      <c r="G9" s="459">
        <f>'Schedule 7 Workpaper'!T9</f>
        <v>215.29</v>
      </c>
    </row>
    <row r="10" spans="1:7">
      <c r="A10" s="186" t="str">
        <f>'Schedule 7 Workpaper'!B10</f>
        <v>Brownlee Power Plant Adams</v>
      </c>
      <c r="B10" s="273">
        <f>'Schedule 7 Workpaper'!C10</f>
        <v>353</v>
      </c>
      <c r="C10" s="273">
        <f>'Schedule 7 Workpaper'!D10</f>
        <v>1959</v>
      </c>
      <c r="D10" s="457">
        <f>'Schedule 7 Workpaper'!G10 + 'Schedule 7 Workpaper'!J10+'Schedule 7 Workpaper'!M10+'Schedule 7 Workpaper'!P10</f>
        <v>59</v>
      </c>
      <c r="E10" s="458">
        <f>'Schedule 7 Workpaper'!E10</f>
        <v>747897.47</v>
      </c>
      <c r="F10" s="458">
        <f>'Schedule 7 Workpaper'!R10</f>
        <v>924869.46000000008</v>
      </c>
      <c r="G10" s="459">
        <f>'Schedule 7 Workpaper'!T10</f>
        <v>14733.58</v>
      </c>
    </row>
    <row r="11" spans="1:7">
      <c r="A11" s="186" t="str">
        <f>'Schedule 7 Workpaper'!B11</f>
        <v>Brownlee Power Plant Adams</v>
      </c>
      <c r="B11" s="273">
        <f>'Schedule 7 Workpaper'!C11</f>
        <v>353</v>
      </c>
      <c r="C11" s="273">
        <f>'Schedule 7 Workpaper'!D11</f>
        <v>1980</v>
      </c>
      <c r="D11" s="457">
        <f>'Schedule 7 Workpaper'!G11 + 'Schedule 7 Workpaper'!J11+'Schedule 7 Workpaper'!M11+'Schedule 7 Workpaper'!P11</f>
        <v>38</v>
      </c>
      <c r="E11" s="458">
        <f>'Schedule 7 Workpaper'!E11</f>
        <v>1541721.69</v>
      </c>
      <c r="F11" s="458">
        <f>'Schedule 7 Workpaper'!R11</f>
        <v>1220158.6300000001</v>
      </c>
      <c r="G11" s="459">
        <f>'Schedule 7 Workpaper'!T11</f>
        <v>30371.919999999998</v>
      </c>
    </row>
    <row r="12" spans="1:7">
      <c r="A12" s="186" t="str">
        <f>'Schedule 7 Workpaper'!B12</f>
        <v>Brownlee Power Plant Adams</v>
      </c>
      <c r="B12" s="273">
        <f>'Schedule 7 Workpaper'!C12</f>
        <v>353</v>
      </c>
      <c r="C12" s="273">
        <f>'Schedule 7 Workpaper'!D12</f>
        <v>2000</v>
      </c>
      <c r="D12" s="457">
        <f>'Schedule 7 Workpaper'!G12 + 'Schedule 7 Workpaper'!J12+'Schedule 7 Workpaper'!M12+'Schedule 7 Workpaper'!P12</f>
        <v>18</v>
      </c>
      <c r="E12" s="458">
        <f>'Schedule 7 Workpaper'!E12</f>
        <v>11284.55</v>
      </c>
      <c r="F12" s="458">
        <f>'Schedule 7 Workpaper'!R12</f>
        <v>4146.2299999999996</v>
      </c>
      <c r="G12" s="459">
        <f>'Schedule 7 Workpaper'!T12</f>
        <v>222.31</v>
      </c>
    </row>
    <row r="13" spans="1:7">
      <c r="A13" s="186" t="str">
        <f>'Schedule 7 Workpaper'!B13</f>
        <v>Brownlee Power Plant Adams</v>
      </c>
      <c r="B13" s="273">
        <f>'Schedule 7 Workpaper'!C13</f>
        <v>353</v>
      </c>
      <c r="C13" s="273">
        <f>'Schedule 7 Workpaper'!D13</f>
        <v>2003</v>
      </c>
      <c r="D13" s="457">
        <f>'Schedule 7 Workpaper'!G13 + 'Schedule 7 Workpaper'!J13+'Schedule 7 Workpaper'!M13+'Schedule 7 Workpaper'!P13</f>
        <v>15</v>
      </c>
      <c r="E13" s="458">
        <f>'Schedule 7 Workpaper'!E13</f>
        <v>15167.15</v>
      </c>
      <c r="F13" s="458">
        <f>'Schedule 7 Workpaper'!R13</f>
        <v>4608.17</v>
      </c>
      <c r="G13" s="459">
        <f>'Schedule 7 Workpaper'!T13</f>
        <v>298.79000000000002</v>
      </c>
    </row>
    <row r="14" spans="1:7">
      <c r="A14" s="186" t="str">
        <f>'Schedule 7 Workpaper'!B14</f>
        <v>Brownlee Power Plant Adams</v>
      </c>
      <c r="B14" s="273">
        <f>'Schedule 7 Workpaper'!C14</f>
        <v>353</v>
      </c>
      <c r="C14" s="273">
        <f>'Schedule 7 Workpaper'!D14</f>
        <v>2012</v>
      </c>
      <c r="D14" s="457">
        <f>'Schedule 7 Workpaper'!G14 + 'Schedule 7 Workpaper'!J14+'Schedule 7 Workpaper'!M14+'Schedule 7 Workpaper'!P14</f>
        <v>6</v>
      </c>
      <c r="E14" s="458">
        <f>'Schedule 7 Workpaper'!E14</f>
        <v>1855783.59</v>
      </c>
      <c r="F14" s="458">
        <f>'Schedule 7 Workpaper'!R14</f>
        <v>213559.86</v>
      </c>
      <c r="G14" s="459">
        <f>'Schedule 7 Workpaper'!T14</f>
        <v>36558.94</v>
      </c>
    </row>
    <row r="15" spans="1:7">
      <c r="A15" s="186" t="str">
        <f>'Schedule 7 Workpaper'!B15</f>
        <v>Brownlee Power Plant Adams</v>
      </c>
      <c r="B15" s="273">
        <f>'Schedule 7 Workpaper'!C15</f>
        <v>353</v>
      </c>
      <c r="C15" s="273">
        <f>'Schedule 7 Workpaper'!D15</f>
        <v>2014</v>
      </c>
      <c r="D15" s="457">
        <f>'Schedule 7 Workpaper'!G15 + 'Schedule 7 Workpaper'!J15+'Schedule 7 Workpaper'!M15+'Schedule 7 Workpaper'!P15</f>
        <v>4.5799999999999272</v>
      </c>
      <c r="E15" s="458">
        <f>'Schedule 7 Workpaper'!E15</f>
        <v>205853.64</v>
      </c>
      <c r="F15" s="458">
        <f>'Schedule 7 Workpaper'!R15</f>
        <v>17996.96</v>
      </c>
      <c r="G15" s="459">
        <f>'Schedule 7 Workpaper'!T15</f>
        <v>4055.32</v>
      </c>
    </row>
    <row r="16" spans="1:7">
      <c r="A16" s="186" t="str">
        <f>'Schedule 7 Workpaper'!B16</f>
        <v>Bliss Power Plant Gooding</v>
      </c>
      <c r="B16" s="273">
        <f>'Schedule 7 Workpaper'!C16</f>
        <v>353</v>
      </c>
      <c r="C16" s="273">
        <f>'Schedule 7 Workpaper'!D16</f>
        <v>1950</v>
      </c>
      <c r="D16" s="457">
        <f>'Schedule 7 Workpaper'!G16 + 'Schedule 7 Workpaper'!J16+'Schedule 7 Workpaper'!M16+'Schedule 7 Workpaper'!P16</f>
        <v>68</v>
      </c>
      <c r="E16" s="458">
        <f>'Schedule 7 Workpaper'!E16</f>
        <v>316403.89</v>
      </c>
      <c r="F16" s="458">
        <f>'Schedule 7 Workpaper'!R16</f>
        <v>451643.13999999996</v>
      </c>
      <c r="G16" s="459">
        <f>'Schedule 7 Workpaper'!T16</f>
        <v>6233.16</v>
      </c>
    </row>
    <row r="17" spans="1:7">
      <c r="A17" s="186" t="str">
        <f>'Schedule 7 Workpaper'!B17</f>
        <v>Bliss Power Plant Gooding</v>
      </c>
      <c r="B17" s="273">
        <f>'Schedule 7 Workpaper'!C17</f>
        <v>353</v>
      </c>
      <c r="C17" s="273">
        <f>'Schedule 7 Workpaper'!D17</f>
        <v>1964</v>
      </c>
      <c r="D17" s="457">
        <f>'Schedule 7 Workpaper'!G17 + 'Schedule 7 Workpaper'!J17+'Schedule 7 Workpaper'!M17+'Schedule 7 Workpaper'!P17</f>
        <v>54</v>
      </c>
      <c r="E17" s="458">
        <f>'Schedule 7 Workpaper'!E17</f>
        <v>1416.21</v>
      </c>
      <c r="F17" s="458">
        <f>'Schedule 7 Workpaper'!R17</f>
        <v>1601.2</v>
      </c>
      <c r="G17" s="459">
        <f>'Schedule 7 Workpaper'!T17</f>
        <v>27.9</v>
      </c>
    </row>
    <row r="18" spans="1:7">
      <c r="A18" s="186" t="str">
        <f>'Schedule 7 Workpaper'!B18</f>
        <v>Cascade Power Plant</v>
      </c>
      <c r="B18" s="273">
        <f>'Schedule 7 Workpaper'!C18</f>
        <v>353</v>
      </c>
      <c r="C18" s="273">
        <f>'Schedule 7 Workpaper'!D18</f>
        <v>1983</v>
      </c>
      <c r="D18" s="457">
        <f>'Schedule 7 Workpaper'!G18 + 'Schedule 7 Workpaper'!J18+'Schedule 7 Workpaper'!M18+'Schedule 7 Workpaper'!P18</f>
        <v>35</v>
      </c>
      <c r="E18" s="458">
        <f>'Schedule 7 Workpaper'!E18</f>
        <v>257772.45</v>
      </c>
      <c r="F18" s="458">
        <f>'Schedule 7 Workpaper'!R18</f>
        <v>187613.49</v>
      </c>
      <c r="G18" s="459">
        <f>'Schedule 7 Workpaper'!T18</f>
        <v>5078.12</v>
      </c>
    </row>
    <row r="19" spans="1:7">
      <c r="A19" s="186" t="str">
        <f>'Schedule 7 Workpaper'!B19</f>
        <v>Clear Lake Power Plant</v>
      </c>
      <c r="B19" s="273">
        <f>'Schedule 7 Workpaper'!C19</f>
        <v>353</v>
      </c>
      <c r="C19" s="273">
        <f>'Schedule 7 Workpaper'!D19</f>
        <v>1965</v>
      </c>
      <c r="D19" s="457">
        <f>'Schedule 7 Workpaper'!G19 + 'Schedule 7 Workpaper'!J19+'Schedule 7 Workpaper'!M19+'Schedule 7 Workpaper'!P19</f>
        <v>53</v>
      </c>
      <c r="E19" s="458">
        <f>'Schedule 7 Workpaper'!E19</f>
        <v>19807.669999999998</v>
      </c>
      <c r="F19" s="458">
        <f>'Schedule 7 Workpaper'!R19</f>
        <v>21975.149999999998</v>
      </c>
      <c r="G19" s="459">
        <f>'Schedule 7 Workpaper'!T19</f>
        <v>390.21</v>
      </c>
    </row>
    <row r="20" spans="1:7">
      <c r="A20" s="186" t="str">
        <f>'Schedule 7 Workpaper'!B20</f>
        <v>Danskin Power Plant</v>
      </c>
      <c r="B20" s="273">
        <f>'Schedule 7 Workpaper'!C20</f>
        <v>353</v>
      </c>
      <c r="C20" s="273">
        <f>'Schedule 7 Workpaper'!D20</f>
        <v>2001</v>
      </c>
      <c r="D20" s="457">
        <f>'Schedule 7 Workpaper'!G20 + 'Schedule 7 Workpaper'!J20+'Schedule 7 Workpaper'!M20+'Schedule 7 Workpaper'!P20</f>
        <v>17</v>
      </c>
      <c r="E20" s="458">
        <f>'Schedule 7 Workpaper'!E20</f>
        <v>259219.44</v>
      </c>
      <c r="F20" s="458">
        <f>'Schedule 7 Workpaper'!R20</f>
        <v>89748.51</v>
      </c>
      <c r="G20" s="459">
        <f>'Schedule 7 Workpaper'!T20</f>
        <v>5106.62</v>
      </c>
    </row>
    <row r="21" spans="1:7">
      <c r="A21" s="186" t="str">
        <f>'Schedule 7 Workpaper'!B21</f>
        <v>Danskin Power Plant</v>
      </c>
      <c r="B21" s="273">
        <f>'Schedule 7 Workpaper'!C21</f>
        <v>353</v>
      </c>
      <c r="C21" s="273">
        <f>'Schedule 7 Workpaper'!D21</f>
        <v>2008</v>
      </c>
      <c r="D21" s="457">
        <f>'Schedule 7 Workpaper'!G21 + 'Schedule 7 Workpaper'!J21+'Schedule 7 Workpaper'!M21+'Schedule 7 Workpaper'!P21</f>
        <v>10</v>
      </c>
      <c r="E21" s="458">
        <f>'Schedule 7 Workpaper'!E21</f>
        <v>7041.17</v>
      </c>
      <c r="F21" s="458">
        <f>'Schedule 7 Workpaper'!R21</f>
        <v>1392.92</v>
      </c>
      <c r="G21" s="459">
        <f>'Schedule 7 Workpaper'!T21</f>
        <v>138.71</v>
      </c>
    </row>
    <row r="22" spans="1:7">
      <c r="A22" s="186" t="str">
        <f>'Schedule 7 Workpaper'!B22</f>
        <v>Danskin Power Plant</v>
      </c>
      <c r="B22" s="273">
        <f>'Schedule 7 Workpaper'!C22</f>
        <v>353</v>
      </c>
      <c r="C22" s="273">
        <f>'Schedule 7 Workpaper'!D22</f>
        <v>2009</v>
      </c>
      <c r="D22" s="457">
        <f>'Schedule 7 Workpaper'!G22 + 'Schedule 7 Workpaper'!J22+'Schedule 7 Workpaper'!M22+'Schedule 7 Workpaper'!P22</f>
        <v>9</v>
      </c>
      <c r="E22" s="458">
        <f>'Schedule 7 Workpaper'!E22</f>
        <v>3878240.38</v>
      </c>
      <c r="F22" s="458">
        <f>'Schedule 7 Workpaper'!R22</f>
        <v>685975.4</v>
      </c>
      <c r="G22" s="459">
        <f>'Schedule 7 Workpaper'!T22</f>
        <v>76401.34</v>
      </c>
    </row>
    <row r="23" spans="1:7">
      <c r="A23" s="186" t="str">
        <f>'Schedule 7 Workpaper'!B23</f>
        <v>Hells Canyon Power Plant Wallo</v>
      </c>
      <c r="B23" s="273">
        <f>'Schedule 7 Workpaper'!C23</f>
        <v>353</v>
      </c>
      <c r="C23" s="273">
        <f>'Schedule 7 Workpaper'!D23</f>
        <v>1967</v>
      </c>
      <c r="D23" s="457">
        <f>'Schedule 7 Workpaper'!G23 + 'Schedule 7 Workpaper'!J23+'Schedule 7 Workpaper'!M23+'Schedule 7 Workpaper'!P23</f>
        <v>51</v>
      </c>
      <c r="E23" s="458">
        <f>'Schedule 7 Workpaper'!E23</f>
        <v>315299.05</v>
      </c>
      <c r="F23" s="458">
        <f>'Schedule 7 Workpaper'!R23</f>
        <v>336432.28999999992</v>
      </c>
      <c r="G23" s="459">
        <f>'Schedule 7 Workpaper'!T23</f>
        <v>6211.39</v>
      </c>
    </row>
    <row r="24" spans="1:7">
      <c r="A24" s="186" t="str">
        <f>'Schedule 7 Workpaper'!B24</f>
        <v>Hells Canyon Power Plant Wallo</v>
      </c>
      <c r="B24" s="273">
        <f>'Schedule 7 Workpaper'!C24</f>
        <v>353</v>
      </c>
      <c r="C24" s="273">
        <f>'Schedule 7 Workpaper'!D24</f>
        <v>2000</v>
      </c>
      <c r="D24" s="457">
        <f>'Schedule 7 Workpaper'!G24 + 'Schedule 7 Workpaper'!J24+'Schedule 7 Workpaper'!M24+'Schedule 7 Workpaper'!P24</f>
        <v>18</v>
      </c>
      <c r="E24" s="458">
        <f>'Schedule 7 Workpaper'!E24</f>
        <v>893.65</v>
      </c>
      <c r="F24" s="458">
        <f>'Schedule 7 Workpaper'!R24</f>
        <v>328.34999999999997</v>
      </c>
      <c r="G24" s="459">
        <f>'Schedule 7 Workpaper'!T24</f>
        <v>17.600000000000001</v>
      </c>
    </row>
    <row r="25" spans="1:7">
      <c r="A25" s="186" t="str">
        <f>'Schedule 7 Workpaper'!B25</f>
        <v>Hells Canyon Power Plant Wallo</v>
      </c>
      <c r="B25" s="273">
        <f>'Schedule 7 Workpaper'!C25</f>
        <v>353</v>
      </c>
      <c r="C25" s="273">
        <f>'Schedule 7 Workpaper'!D25</f>
        <v>2015</v>
      </c>
      <c r="D25" s="457">
        <f>'Schedule 7 Workpaper'!G25 + 'Schedule 7 Workpaper'!J25+'Schedule 7 Workpaper'!M25+'Schedule 7 Workpaper'!P25</f>
        <v>3.5799999999999272</v>
      </c>
      <c r="E25" s="458">
        <f>'Schedule 7 Workpaper'!E25</f>
        <v>3632748.75</v>
      </c>
      <c r="F25" s="458">
        <f>'Schedule 7 Workpaper'!R25</f>
        <v>248574.47</v>
      </c>
      <c r="G25" s="459">
        <f>'Schedule 7 Workpaper'!T25</f>
        <v>71565.149999999994</v>
      </c>
    </row>
    <row r="26" spans="1:7">
      <c r="A26" s="186" t="str">
        <f>'Schedule 7 Workpaper'!B26</f>
        <v>Hells Canyon Power Plant Wallo</v>
      </c>
      <c r="B26" s="273">
        <f>'Schedule 7 Workpaper'!C26</f>
        <v>353</v>
      </c>
      <c r="C26" s="273">
        <f>'Schedule 7 Workpaper'!D26</f>
        <v>2016</v>
      </c>
      <c r="D26" s="457">
        <f>'Schedule 7 Workpaper'!G26 + 'Schedule 7 Workpaper'!J26+'Schedule 7 Workpaper'!M26+'Schedule 7 Workpaper'!P26</f>
        <v>2.5799999999999272</v>
      </c>
      <c r="E26" s="458">
        <f>'Schedule 7 Workpaper'!E26</f>
        <v>1846912.76</v>
      </c>
      <c r="F26" s="458">
        <f>'Schedule 7 Workpaper'!R26</f>
        <v>91285.51</v>
      </c>
      <c r="G26" s="459">
        <f>'Schedule 7 Workpaper'!T26</f>
        <v>36384.18</v>
      </c>
    </row>
    <row r="27" spans="1:7">
      <c r="A27" s="186" t="str">
        <f>'Schedule 7 Workpaper'!B27</f>
        <v>Lower Malad Power Plant</v>
      </c>
      <c r="B27" s="273">
        <f>'Schedule 7 Workpaper'!C27</f>
        <v>353</v>
      </c>
      <c r="C27" s="273">
        <f>'Schedule 7 Workpaper'!D27</f>
        <v>1948</v>
      </c>
      <c r="D27" s="457">
        <f>'Schedule 7 Workpaper'!G27 + 'Schedule 7 Workpaper'!J27+'Schedule 7 Workpaper'!M27+'Schedule 7 Workpaper'!P27</f>
        <v>70</v>
      </c>
      <c r="E27" s="458">
        <f>'Schedule 7 Workpaper'!E27</f>
        <v>81118.75</v>
      </c>
      <c r="F27" s="458">
        <f>'Schedule 7 Workpaper'!R27</f>
        <v>119230.45</v>
      </c>
      <c r="G27" s="459">
        <f>'Schedule 7 Workpaper'!T27</f>
        <v>1598.04</v>
      </c>
    </row>
    <row r="28" spans="1:7">
      <c r="A28" s="186" t="str">
        <f>'Schedule 7 Workpaper'!B28</f>
        <v>Lower Malad Power Plant</v>
      </c>
      <c r="B28" s="273">
        <f>'Schedule 7 Workpaper'!C28</f>
        <v>353</v>
      </c>
      <c r="C28" s="273">
        <f>'Schedule 7 Workpaper'!D28</f>
        <v>1958</v>
      </c>
      <c r="D28" s="457">
        <f>'Schedule 7 Workpaper'!G28 + 'Schedule 7 Workpaper'!J28+'Schedule 7 Workpaper'!M28+'Schedule 7 Workpaper'!P28</f>
        <v>60</v>
      </c>
      <c r="E28" s="458">
        <f>'Schedule 7 Workpaper'!E28</f>
        <v>1551.05</v>
      </c>
      <c r="F28" s="458">
        <f>'Schedule 7 Workpaper'!R28</f>
        <v>1950.94</v>
      </c>
      <c r="G28" s="459">
        <f>'Schedule 7 Workpaper'!T28</f>
        <v>30.56</v>
      </c>
    </row>
    <row r="29" spans="1:7">
      <c r="A29" s="186" t="str">
        <f>'Schedule 7 Workpaper'!B29</f>
        <v>Lower Salmon Power Plant Goodi</v>
      </c>
      <c r="B29" s="273">
        <f>'Schedule 7 Workpaper'!C29</f>
        <v>353</v>
      </c>
      <c r="C29" s="273">
        <f>'Schedule 7 Workpaper'!D29</f>
        <v>1949</v>
      </c>
      <c r="D29" s="457">
        <f>'Schedule 7 Workpaper'!G29 + 'Schedule 7 Workpaper'!J29+'Schedule 7 Workpaper'!M29+'Schedule 7 Workpaper'!P29</f>
        <v>69</v>
      </c>
      <c r="E29" s="458">
        <f>'Schedule 7 Workpaper'!E29</f>
        <v>303512.28999999998</v>
      </c>
      <c r="F29" s="458">
        <f>'Schedule 7 Workpaper'!R29</f>
        <v>439675.79999999993</v>
      </c>
      <c r="G29" s="459">
        <f>'Schedule 7 Workpaper'!T29</f>
        <v>5979.19</v>
      </c>
    </row>
    <row r="30" spans="1:7">
      <c r="A30" s="186" t="str">
        <f>'Schedule 7 Workpaper'!B30</f>
        <v>Milner Power Plant</v>
      </c>
      <c r="B30" s="273">
        <f>'Schedule 7 Workpaper'!C30</f>
        <v>353</v>
      </c>
      <c r="C30" s="273">
        <f>'Schedule 7 Workpaper'!D30</f>
        <v>1992</v>
      </c>
      <c r="D30" s="457">
        <f>'Schedule 7 Workpaper'!G30 + 'Schedule 7 Workpaper'!J30+'Schedule 7 Workpaper'!M30+'Schedule 7 Workpaper'!P30</f>
        <v>26</v>
      </c>
      <c r="E30" s="458">
        <f>'Schedule 7 Workpaper'!E30</f>
        <v>664293.88</v>
      </c>
      <c r="F30" s="458">
        <f>'Schedule 7 Workpaper'!R30</f>
        <v>356743.07999999996</v>
      </c>
      <c r="G30" s="459">
        <f>'Schedule 7 Workpaper'!T30</f>
        <v>13086.59</v>
      </c>
    </row>
    <row r="31" spans="1:7">
      <c r="A31" s="186" t="str">
        <f>'Schedule 7 Workpaper'!B31</f>
        <v>Oxbow Power Plant Baker</v>
      </c>
      <c r="B31" s="273">
        <f>'Schedule 7 Workpaper'!C31</f>
        <v>353</v>
      </c>
      <c r="C31" s="273">
        <f>'Schedule 7 Workpaper'!D31</f>
        <v>1949</v>
      </c>
      <c r="D31" s="457">
        <f>'Schedule 7 Workpaper'!G31 + 'Schedule 7 Workpaper'!J31+'Schedule 7 Workpaper'!M31+'Schedule 7 Workpaper'!P31</f>
        <v>69</v>
      </c>
      <c r="E31" s="458">
        <f>'Schedule 7 Workpaper'!E31</f>
        <v>100827.22</v>
      </c>
      <c r="F31" s="458">
        <f>'Schedule 7 Workpaper'!R31</f>
        <v>146060.94</v>
      </c>
      <c r="G31" s="459">
        <f>'Schedule 7 Workpaper'!T31</f>
        <v>1986.3</v>
      </c>
    </row>
    <row r="32" spans="1:7">
      <c r="A32" s="186" t="str">
        <f>'Schedule 7 Workpaper'!B32</f>
        <v>Oxbow Power Plant Baker</v>
      </c>
      <c r="B32" s="273">
        <f>'Schedule 7 Workpaper'!C32</f>
        <v>353</v>
      </c>
      <c r="C32" s="273">
        <f>'Schedule 7 Workpaper'!D32</f>
        <v>1951</v>
      </c>
      <c r="D32" s="457">
        <f>'Schedule 7 Workpaper'!G32 + 'Schedule 7 Workpaper'!J32+'Schedule 7 Workpaper'!M32+'Schedule 7 Workpaper'!P32</f>
        <v>67</v>
      </c>
      <c r="E32" s="458">
        <f>'Schedule 7 Workpaper'!E32</f>
        <v>43216.23</v>
      </c>
      <c r="F32" s="458">
        <f>'Schedule 7 Workpaper'!R32</f>
        <v>60771.79</v>
      </c>
      <c r="G32" s="459">
        <f>'Schedule 7 Workpaper'!T32</f>
        <v>851.36</v>
      </c>
    </row>
    <row r="33" spans="1:7">
      <c r="A33" s="186" t="str">
        <f>'Schedule 7 Workpaper'!B33</f>
        <v>Oxbow Power Plant Baker</v>
      </c>
      <c r="B33" s="273">
        <f>'Schedule 7 Workpaper'!C33</f>
        <v>353</v>
      </c>
      <c r="C33" s="273">
        <f>'Schedule 7 Workpaper'!D33</f>
        <v>1957</v>
      </c>
      <c r="D33" s="457">
        <f>'Schedule 7 Workpaper'!G33 + 'Schedule 7 Workpaper'!J33+'Schedule 7 Workpaper'!M33+'Schedule 7 Workpaper'!P33</f>
        <v>61</v>
      </c>
      <c r="E33" s="458">
        <f>'Schedule 7 Workpaper'!E33</f>
        <v>208866.2</v>
      </c>
      <c r="F33" s="458">
        <f>'Schedule 7 Workpaper'!R33</f>
        <v>267145.3</v>
      </c>
      <c r="G33" s="459">
        <f>'Schedule 7 Workpaper'!T33</f>
        <v>4114.66</v>
      </c>
    </row>
    <row r="34" spans="1:7">
      <c r="A34" s="186" t="str">
        <f>'Schedule 7 Workpaper'!B34</f>
        <v>Oxbow Power Plant Baker</v>
      </c>
      <c r="B34" s="273">
        <f>'Schedule 7 Workpaper'!C34</f>
        <v>353</v>
      </c>
      <c r="C34" s="273">
        <f>'Schedule 7 Workpaper'!D34</f>
        <v>1961</v>
      </c>
      <c r="D34" s="457">
        <f>'Schedule 7 Workpaper'!G34 + 'Schedule 7 Workpaper'!J34+'Schedule 7 Workpaper'!M34+'Schedule 7 Workpaper'!P34</f>
        <v>57</v>
      </c>
      <c r="E34" s="458">
        <f>'Schedule 7 Workpaper'!E34</f>
        <v>423845.86</v>
      </c>
      <c r="F34" s="458">
        <f>'Schedule 7 Workpaper'!R34</f>
        <v>506167.74</v>
      </c>
      <c r="G34" s="459">
        <f>'Schedule 7 Workpaper'!T34</f>
        <v>8349.76</v>
      </c>
    </row>
    <row r="35" spans="1:7">
      <c r="A35" s="186" t="str">
        <f>'Schedule 7 Workpaper'!B35</f>
        <v>Oxbow Power Plant Baker</v>
      </c>
      <c r="B35" s="273">
        <f>'Schedule 7 Workpaper'!C35</f>
        <v>353</v>
      </c>
      <c r="C35" s="273">
        <f>'Schedule 7 Workpaper'!D35</f>
        <v>1979</v>
      </c>
      <c r="D35" s="457">
        <f>'Schedule 7 Workpaper'!G35 + 'Schedule 7 Workpaper'!J35+'Schedule 7 Workpaper'!M35+'Schedule 7 Workpaper'!P35</f>
        <v>39</v>
      </c>
      <c r="E35" s="458">
        <f>'Schedule 7 Workpaper'!E35</f>
        <v>2963.82</v>
      </c>
      <c r="F35" s="458">
        <f>'Schedule 7 Workpaper'!R35</f>
        <v>2408.4699999999998</v>
      </c>
      <c r="G35" s="459">
        <f>'Schedule 7 Workpaper'!T35</f>
        <v>58.39</v>
      </c>
    </row>
    <row r="36" spans="1:7">
      <c r="A36" s="186" t="str">
        <f>'Schedule 7 Workpaper'!B36</f>
        <v>Oxbow Power Plant Baker</v>
      </c>
      <c r="B36" s="273">
        <f>'Schedule 7 Workpaper'!C36</f>
        <v>353</v>
      </c>
      <c r="C36" s="273">
        <f>'Schedule 7 Workpaper'!D36</f>
        <v>1980</v>
      </c>
      <c r="D36" s="457">
        <f>'Schedule 7 Workpaper'!G36 + 'Schedule 7 Workpaper'!J36+'Schedule 7 Workpaper'!M36+'Schedule 7 Workpaper'!P36</f>
        <v>38</v>
      </c>
      <c r="E36" s="458">
        <f>'Schedule 7 Workpaper'!E36</f>
        <v>6099.17</v>
      </c>
      <c r="F36" s="458">
        <f>'Schedule 7 Workpaper'!R36</f>
        <v>4827.04</v>
      </c>
      <c r="G36" s="459">
        <f>'Schedule 7 Workpaper'!T36</f>
        <v>120.15</v>
      </c>
    </row>
    <row r="37" spans="1:7">
      <c r="A37" s="186" t="str">
        <f>'Schedule 7 Workpaper'!B37</f>
        <v>Oxbow Power Plant Baker</v>
      </c>
      <c r="B37" s="273">
        <f>'Schedule 7 Workpaper'!C37</f>
        <v>353</v>
      </c>
      <c r="C37" s="273">
        <f>'Schedule 7 Workpaper'!D37</f>
        <v>2000</v>
      </c>
      <c r="D37" s="457">
        <f>'Schedule 7 Workpaper'!G37 + 'Schedule 7 Workpaper'!J37+'Schedule 7 Workpaper'!M37+'Schedule 7 Workpaper'!P37</f>
        <v>18</v>
      </c>
      <c r="E37" s="458">
        <f>'Schedule 7 Workpaper'!E37</f>
        <v>132897.45000000001</v>
      </c>
      <c r="F37" s="458">
        <f>'Schedule 7 Workpaper'!R37</f>
        <v>48829.979999999996</v>
      </c>
      <c r="G37" s="459">
        <f>'Schedule 7 Workpaper'!T37</f>
        <v>2618.08</v>
      </c>
    </row>
    <row r="38" spans="1:7">
      <c r="A38" s="186" t="str">
        <f>'Schedule 7 Workpaper'!B38</f>
        <v>Oxbow Power Plant Baker</v>
      </c>
      <c r="B38" s="273">
        <f>'Schedule 7 Workpaper'!C38</f>
        <v>353</v>
      </c>
      <c r="C38" s="273">
        <f>'Schedule 7 Workpaper'!D38</f>
        <v>2000</v>
      </c>
      <c r="D38" s="457">
        <f>'Schedule 7 Workpaper'!G38 + 'Schedule 7 Workpaper'!J38+'Schedule 7 Workpaper'!M38+'Schedule 7 Workpaper'!P38</f>
        <v>18</v>
      </c>
      <c r="E38" s="458">
        <f>'Schedule 7 Workpaper'!E38</f>
        <v>3395.4</v>
      </c>
      <c r="F38" s="458">
        <f>'Schedule 7 Workpaper'!R38</f>
        <v>1247.56</v>
      </c>
      <c r="G38" s="459">
        <f>'Schedule 7 Workpaper'!T38</f>
        <v>66.89</v>
      </c>
    </row>
    <row r="39" spans="1:7">
      <c r="A39" s="186" t="str">
        <f>'Schedule 7 Workpaper'!B39</f>
        <v>Oxbow Power Plant Baker</v>
      </c>
      <c r="B39" s="273">
        <f>'Schedule 7 Workpaper'!C39</f>
        <v>353</v>
      </c>
      <c r="C39" s="273">
        <f>'Schedule 7 Workpaper'!D39</f>
        <v>2014</v>
      </c>
      <c r="D39" s="457">
        <f>'Schedule 7 Workpaper'!G39 + 'Schedule 7 Workpaper'!J39+'Schedule 7 Workpaper'!M39+'Schedule 7 Workpaper'!P39</f>
        <v>4.5799999999999272</v>
      </c>
      <c r="E39" s="458">
        <f>'Schedule 7 Workpaper'!E39</f>
        <v>40966.1</v>
      </c>
      <c r="F39" s="458">
        <f>'Schedule 7 Workpaper'!R39</f>
        <v>3581.5</v>
      </c>
      <c r="G39" s="459">
        <f>'Schedule 7 Workpaper'!T39</f>
        <v>807.03</v>
      </c>
    </row>
    <row r="40" spans="1:7">
      <c r="A40" s="186" t="str">
        <f>'Schedule 7 Workpaper'!B40</f>
        <v>Oxbow Power Plant Baker</v>
      </c>
      <c r="B40" s="273">
        <f>'Schedule 7 Workpaper'!C40</f>
        <v>353</v>
      </c>
      <c r="C40" s="273">
        <f>'Schedule 7 Workpaper'!D40</f>
        <v>2017</v>
      </c>
      <c r="D40" s="457">
        <f>'Schedule 7 Workpaper'!G40 + 'Schedule 7 Workpaper'!J40+'Schedule 7 Workpaper'!M40+'Schedule 7 Workpaper'!P40</f>
        <v>1.5799999999999272</v>
      </c>
      <c r="E40" s="458">
        <f>'Schedule 7 Workpaper'!E40</f>
        <v>1883123.53</v>
      </c>
      <c r="F40" s="458">
        <f>'Schedule 7 Workpaper'!R40</f>
        <v>57295.92</v>
      </c>
      <c r="G40" s="459">
        <f>'Schedule 7 Workpaper'!T40</f>
        <v>37097.53</v>
      </c>
    </row>
    <row r="41" spans="1:7">
      <c r="A41" s="186" t="str">
        <f>'Schedule 7 Workpaper'!B41</f>
        <v>Shoshone Falls Power Plant Jer</v>
      </c>
      <c r="B41" s="273">
        <f>'Schedule 7 Workpaper'!C41</f>
        <v>353</v>
      </c>
      <c r="C41" s="273">
        <f>'Schedule 7 Workpaper'!D41</f>
        <v>1992</v>
      </c>
      <c r="D41" s="457">
        <f>'Schedule 7 Workpaper'!G41 + 'Schedule 7 Workpaper'!J41+'Schedule 7 Workpaper'!M41+'Schedule 7 Workpaper'!P41</f>
        <v>26</v>
      </c>
      <c r="E41" s="458">
        <f>'Schedule 7 Workpaper'!E41</f>
        <v>306659.17</v>
      </c>
      <c r="F41" s="458">
        <f>'Schedule 7 Workpaper'!R41</f>
        <v>164683.95000000001</v>
      </c>
      <c r="G41" s="459">
        <f>'Schedule 7 Workpaper'!T41</f>
        <v>6041.19</v>
      </c>
    </row>
    <row r="42" spans="1:7">
      <c r="A42" s="186" t="str">
        <f>'Schedule 7 Workpaper'!B42</f>
        <v>Strike C J Power Plant Owyhee</v>
      </c>
      <c r="B42" s="273">
        <f>'Schedule 7 Workpaper'!C42</f>
        <v>353</v>
      </c>
      <c r="C42" s="273">
        <f>'Schedule 7 Workpaper'!D42</f>
        <v>1952</v>
      </c>
      <c r="D42" s="457">
        <f>'Schedule 7 Workpaper'!G42 + 'Schedule 7 Workpaper'!J42+'Schedule 7 Workpaper'!M42+'Schedule 7 Workpaper'!P42</f>
        <v>66</v>
      </c>
      <c r="E42" s="458">
        <f>'Schedule 7 Workpaper'!E42</f>
        <v>344946.87</v>
      </c>
      <c r="F42" s="458">
        <f>'Schedule 7 Workpaper'!R42</f>
        <v>477760.38</v>
      </c>
      <c r="G42" s="459">
        <f>'Schedule 7 Workpaper'!T42</f>
        <v>6795.45</v>
      </c>
    </row>
    <row r="43" spans="1:7">
      <c r="A43" s="186" t="str">
        <f>'Schedule 7 Workpaper'!B43</f>
        <v>Strike C J Power Plant Owyhee</v>
      </c>
      <c r="B43" s="273">
        <f>'Schedule 7 Workpaper'!C43</f>
        <v>353</v>
      </c>
      <c r="C43" s="273">
        <f>'Schedule 7 Workpaper'!D43</f>
        <v>1965</v>
      </c>
      <c r="D43" s="457">
        <f>'Schedule 7 Workpaper'!G43 + 'Schedule 7 Workpaper'!J43+'Schedule 7 Workpaper'!M43+'Schedule 7 Workpaper'!P43</f>
        <v>53</v>
      </c>
      <c r="E43" s="458">
        <f>'Schedule 7 Workpaper'!E43</f>
        <v>1480.23</v>
      </c>
      <c r="F43" s="458">
        <f>'Schedule 7 Workpaper'!R43</f>
        <v>1642.2</v>
      </c>
      <c r="G43" s="459">
        <f>'Schedule 7 Workpaper'!T43</f>
        <v>29.16</v>
      </c>
    </row>
    <row r="44" spans="1:7">
      <c r="A44" s="186" t="str">
        <f>'Schedule 7 Workpaper'!B44</f>
        <v>Strike C J Power Plant Owyhee</v>
      </c>
      <c r="B44" s="273">
        <f>'Schedule 7 Workpaper'!C44</f>
        <v>353</v>
      </c>
      <c r="C44" s="273">
        <f>'Schedule 7 Workpaper'!D44</f>
        <v>1972</v>
      </c>
      <c r="D44" s="457">
        <f>'Schedule 7 Workpaper'!G44 + 'Schedule 7 Workpaper'!J44+'Schedule 7 Workpaper'!M44+'Schedule 7 Workpaper'!P44</f>
        <v>46</v>
      </c>
      <c r="E44" s="458">
        <f>'Schedule 7 Workpaper'!E44</f>
        <v>609.84</v>
      </c>
      <c r="F44" s="458">
        <f>'Schedule 7 Workpaper'!R44</f>
        <v>586.06999999999994</v>
      </c>
      <c r="G44" s="459">
        <f>'Schedule 7 Workpaper'!T44</f>
        <v>12.01</v>
      </c>
    </row>
    <row r="45" spans="1:7">
      <c r="A45" s="186" t="str">
        <f>'Schedule 7 Workpaper'!B45</f>
        <v>Strike C J Power Plant Owyhee</v>
      </c>
      <c r="B45" s="273">
        <f>'Schedule 7 Workpaper'!C45</f>
        <v>353</v>
      </c>
      <c r="C45" s="273">
        <f>'Schedule 7 Workpaper'!D45</f>
        <v>1973</v>
      </c>
      <c r="D45" s="457">
        <f>'Schedule 7 Workpaper'!G45 + 'Schedule 7 Workpaper'!J45+'Schedule 7 Workpaper'!M45+'Schedule 7 Workpaper'!P45</f>
        <v>45</v>
      </c>
      <c r="E45" s="458">
        <f>'Schedule 7 Workpaper'!E45</f>
        <v>316.68</v>
      </c>
      <c r="F45" s="458">
        <f>'Schedule 7 Workpaper'!R45</f>
        <v>297.62</v>
      </c>
      <c r="G45" s="459">
        <f>'Schedule 7 Workpaper'!T45</f>
        <v>6.24</v>
      </c>
    </row>
    <row r="46" spans="1:7">
      <c r="A46" s="186" t="str">
        <f>'Schedule 7 Workpaper'!B46</f>
        <v>Strike C J Power Plant Owyhee</v>
      </c>
      <c r="B46" s="273">
        <f>'Schedule 7 Workpaper'!C46</f>
        <v>353</v>
      </c>
      <c r="C46" s="273">
        <f>'Schedule 7 Workpaper'!D46</f>
        <v>1982</v>
      </c>
      <c r="D46" s="457">
        <f>'Schedule 7 Workpaper'!G46 + 'Schedule 7 Workpaper'!J46+'Schedule 7 Workpaper'!M46+'Schedule 7 Workpaper'!P46</f>
        <v>36</v>
      </c>
      <c r="E46" s="458">
        <f>'Schedule 7 Workpaper'!E46</f>
        <v>32437.37</v>
      </c>
      <c r="F46" s="458">
        <f>'Schedule 7 Workpaper'!R46</f>
        <v>24296.440000000002</v>
      </c>
      <c r="G46" s="459">
        <f>'Schedule 7 Workpaper'!T46</f>
        <v>639.02</v>
      </c>
    </row>
    <row r="47" spans="1:7">
      <c r="A47" s="186" t="str">
        <f>'Schedule 7 Workpaper'!B47</f>
        <v>Swan Falls Power Plant Ada</v>
      </c>
      <c r="B47" s="273">
        <f>'Schedule 7 Workpaper'!C47</f>
        <v>353</v>
      </c>
      <c r="C47" s="273">
        <f>'Schedule 7 Workpaper'!D47</f>
        <v>1994</v>
      </c>
      <c r="D47" s="457">
        <f>'Schedule 7 Workpaper'!G47 + 'Schedule 7 Workpaper'!J47+'Schedule 7 Workpaper'!M47+'Schedule 7 Workpaper'!P47</f>
        <v>24</v>
      </c>
      <c r="E47" s="458">
        <f>'Schedule 7 Workpaper'!E47</f>
        <v>432054.7</v>
      </c>
      <c r="F47" s="458">
        <f>'Schedule 7 Workpaper'!R47</f>
        <v>213705.49000000002</v>
      </c>
      <c r="G47" s="459">
        <f>'Schedule 7 Workpaper'!T47</f>
        <v>8511.48</v>
      </c>
    </row>
    <row r="48" spans="1:7">
      <c r="A48" s="186" t="str">
        <f>'Schedule 7 Workpaper'!B48</f>
        <v>Swan Falls Power Plant Ada</v>
      </c>
      <c r="B48" s="273">
        <f>'Schedule 7 Workpaper'!C48</f>
        <v>353</v>
      </c>
      <c r="C48" s="273">
        <f>'Schedule 7 Workpaper'!D48</f>
        <v>1999</v>
      </c>
      <c r="D48" s="457">
        <f>'Schedule 7 Workpaper'!G48 + 'Schedule 7 Workpaper'!J48+'Schedule 7 Workpaper'!M48+'Schedule 7 Workpaper'!P48</f>
        <v>19</v>
      </c>
      <c r="E48" s="458">
        <f>'Schedule 7 Workpaper'!E48</f>
        <v>3.04</v>
      </c>
      <c r="F48" s="458">
        <f>'Schedule 7 Workpaper'!R48</f>
        <v>1.18</v>
      </c>
      <c r="G48" s="459">
        <f>'Schedule 7 Workpaper'!T48</f>
        <v>0.06</v>
      </c>
    </row>
    <row r="49" spans="1:7">
      <c r="A49" s="186" t="str">
        <f>'Schedule 7 Workpaper'!B49</f>
        <v>Twin Falls Power Plant Twin Fa</v>
      </c>
      <c r="B49" s="273">
        <f>'Schedule 7 Workpaper'!C49</f>
        <v>353</v>
      </c>
      <c r="C49" s="273">
        <f>'Schedule 7 Workpaper'!D49</f>
        <v>1949</v>
      </c>
      <c r="D49" s="457">
        <f>'Schedule 7 Workpaper'!G49 + 'Schedule 7 Workpaper'!J49+'Schedule 7 Workpaper'!M49+'Schedule 7 Workpaper'!P49</f>
        <v>69</v>
      </c>
      <c r="E49" s="458">
        <f>'Schedule 7 Workpaper'!E49</f>
        <v>39458.78</v>
      </c>
      <c r="F49" s="458">
        <f>'Schedule 7 Workpaper'!R49</f>
        <v>57161.020000000004</v>
      </c>
      <c r="G49" s="459">
        <f>'Schedule 7 Workpaper'!T49</f>
        <v>777.34</v>
      </c>
    </row>
    <row r="50" spans="1:7">
      <c r="A50" s="186" t="str">
        <f>'Schedule 7 Workpaper'!B50</f>
        <v>Twin Falls Power Plant (New)</v>
      </c>
      <c r="B50" s="273">
        <f>'Schedule 7 Workpaper'!C50</f>
        <v>353</v>
      </c>
      <c r="C50" s="273">
        <f>'Schedule 7 Workpaper'!D50</f>
        <v>1995</v>
      </c>
      <c r="D50" s="457">
        <f>'Schedule 7 Workpaper'!G50 + 'Schedule 7 Workpaper'!J50+'Schedule 7 Workpaper'!M50+'Schedule 7 Workpaper'!P50</f>
        <v>23</v>
      </c>
      <c r="E50" s="458">
        <f>'Schedule 7 Workpaper'!E50</f>
        <v>430708.27</v>
      </c>
      <c r="F50" s="458">
        <f>'Schedule 7 Workpaper'!R50</f>
        <v>203908.5</v>
      </c>
      <c r="G50" s="459">
        <f>'Schedule 7 Workpaper'!T50</f>
        <v>8484.9500000000007</v>
      </c>
    </row>
    <row r="51" spans="1:7">
      <c r="A51" s="186" t="str">
        <f>'Schedule 7 Workpaper'!B51</f>
        <v>Thousand Springs Power Plant</v>
      </c>
      <c r="B51" s="273">
        <f>'Schedule 7 Workpaper'!C51</f>
        <v>353</v>
      </c>
      <c r="C51" s="273">
        <f>'Schedule 7 Workpaper'!D51</f>
        <v>1956</v>
      </c>
      <c r="D51" s="457">
        <f>'Schedule 7 Workpaper'!G51 + 'Schedule 7 Workpaper'!J51+'Schedule 7 Workpaper'!M51+'Schedule 7 Workpaper'!P51</f>
        <v>62</v>
      </c>
      <c r="E51" s="458">
        <f>'Schedule 7 Workpaper'!E51</f>
        <v>36470.01</v>
      </c>
      <c r="F51" s="458">
        <f>'Schedule 7 Workpaper'!R51</f>
        <v>47419.25</v>
      </c>
      <c r="G51" s="459">
        <f>'Schedule 7 Workpaper'!T51</f>
        <v>718.46</v>
      </c>
    </row>
    <row r="52" spans="1:7">
      <c r="A52" s="186" t="str">
        <f>'Schedule 7 Workpaper'!B52</f>
        <v>Upper Malad Power Plant</v>
      </c>
      <c r="B52" s="273">
        <f>'Schedule 7 Workpaper'!C52</f>
        <v>353</v>
      </c>
      <c r="C52" s="273">
        <f>'Schedule 7 Workpaper'!D52</f>
        <v>1948</v>
      </c>
      <c r="D52" s="457">
        <f>'Schedule 7 Workpaper'!G52 + 'Schedule 7 Workpaper'!J52+'Schedule 7 Workpaper'!M52+'Schedule 7 Workpaper'!P52</f>
        <v>70</v>
      </c>
      <c r="E52" s="458">
        <f>'Schedule 7 Workpaper'!E52</f>
        <v>31129.21</v>
      </c>
      <c r="F52" s="458">
        <f>'Schedule 7 Workpaper'!R52</f>
        <v>45754.52</v>
      </c>
      <c r="G52" s="459">
        <f>'Schedule 7 Workpaper'!T52</f>
        <v>613.25</v>
      </c>
    </row>
    <row r="53" spans="1:7">
      <c r="A53" s="186" t="str">
        <f>'Schedule 7 Workpaper'!B53</f>
        <v>Upper Malad Power Plant</v>
      </c>
      <c r="B53" s="273">
        <f>'Schedule 7 Workpaper'!C53</f>
        <v>353</v>
      </c>
      <c r="C53" s="273">
        <f>'Schedule 7 Workpaper'!D53</f>
        <v>1987</v>
      </c>
      <c r="D53" s="457">
        <f>'Schedule 7 Workpaper'!G53 + 'Schedule 7 Workpaper'!J53+'Schedule 7 Workpaper'!M53+'Schedule 7 Workpaper'!P53</f>
        <v>31</v>
      </c>
      <c r="E53" s="458">
        <f>'Schedule 7 Workpaper'!E53</f>
        <v>2109.16</v>
      </c>
      <c r="F53" s="458">
        <f>'Schedule 7 Workpaper'!R53</f>
        <v>1356.2399999999998</v>
      </c>
      <c r="G53" s="459">
        <f>'Schedule 7 Workpaper'!T53</f>
        <v>41.55</v>
      </c>
    </row>
    <row r="54" spans="1:7">
      <c r="A54" s="186" t="str">
        <f>'Schedule 7 Workpaper'!B54</f>
        <v>Upper Malad Power Plant</v>
      </c>
      <c r="B54" s="273">
        <f>'Schedule 7 Workpaper'!C54</f>
        <v>353</v>
      </c>
      <c r="C54" s="273">
        <f>'Schedule 7 Workpaper'!D54</f>
        <v>1988</v>
      </c>
      <c r="D54" s="457">
        <f>'Schedule 7 Workpaper'!G54 + 'Schedule 7 Workpaper'!J54+'Schedule 7 Workpaper'!M54+'Schedule 7 Workpaper'!P54</f>
        <v>30</v>
      </c>
      <c r="E54" s="458">
        <f>'Schedule 7 Workpaper'!E54</f>
        <v>278.93</v>
      </c>
      <c r="F54" s="458">
        <f>'Schedule 7 Workpaper'!R54</f>
        <v>173.45</v>
      </c>
      <c r="G54" s="459">
        <f>'Schedule 7 Workpaper'!T54</f>
        <v>5.49</v>
      </c>
    </row>
    <row r="55" spans="1:7">
      <c r="A55" s="186" t="str">
        <f>'Schedule 7 Workpaper'!B55</f>
        <v>Upper Salmon A Power Plant</v>
      </c>
      <c r="B55" s="273">
        <f>'Schedule 7 Workpaper'!C55</f>
        <v>353</v>
      </c>
      <c r="C55" s="273">
        <f>'Schedule 7 Workpaper'!D55</f>
        <v>1937</v>
      </c>
      <c r="D55" s="457">
        <f>'Schedule 7 Workpaper'!G55 + 'Schedule 7 Workpaper'!J55+'Schedule 7 Workpaper'!M55+'Schedule 7 Workpaper'!P55</f>
        <v>81</v>
      </c>
      <c r="E55" s="458">
        <f>'Schedule 7 Workpaper'!E55</f>
        <v>72167.73</v>
      </c>
      <c r="F55" s="458">
        <f>'Schedule 7 Workpaper'!R55</f>
        <v>122903.51999999999</v>
      </c>
      <c r="G55" s="459">
        <f>'Schedule 7 Workpaper'!T55</f>
        <v>1421.7</v>
      </c>
    </row>
    <row r="56" spans="1:7">
      <c r="A56" s="186" t="str">
        <f>'Schedule 7 Workpaper'!B56</f>
        <v>Upper Salmon A Power Plant</v>
      </c>
      <c r="B56" s="273">
        <f>'Schedule 7 Workpaper'!C56</f>
        <v>353</v>
      </c>
      <c r="C56" s="273">
        <f>'Schedule 7 Workpaper'!D56</f>
        <v>1954</v>
      </c>
      <c r="D56" s="457">
        <f>'Schedule 7 Workpaper'!G56 + 'Schedule 7 Workpaper'!J56+'Schedule 7 Workpaper'!M56+'Schedule 7 Workpaper'!P56</f>
        <v>64</v>
      </c>
      <c r="E56" s="458">
        <f>'Schedule 7 Workpaper'!E56</f>
        <v>418.06</v>
      </c>
      <c r="F56" s="458">
        <f>'Schedule 7 Workpaper'!R56</f>
        <v>561.31000000000006</v>
      </c>
      <c r="G56" s="459">
        <f>'Schedule 7 Workpaper'!T56</f>
        <v>8.24</v>
      </c>
    </row>
    <row r="57" spans="1:7">
      <c r="A57" s="186" t="str">
        <f>'Schedule 7 Workpaper'!B57</f>
        <v>Upper Salmon B Power Plant</v>
      </c>
      <c r="B57" s="273">
        <f>'Schedule 7 Workpaper'!C57</f>
        <v>353</v>
      </c>
      <c r="C57" s="273">
        <f>'Schedule 7 Workpaper'!D57</f>
        <v>1947</v>
      </c>
      <c r="D57" s="457">
        <f>'Schedule 7 Workpaper'!G57 + 'Schedule 7 Workpaper'!J57+'Schedule 7 Workpaper'!M57+'Schedule 7 Workpaper'!P57</f>
        <v>71</v>
      </c>
      <c r="E57" s="458">
        <f>'Schedule 7 Workpaper'!E57</f>
        <v>70392.59</v>
      </c>
      <c r="F57" s="458">
        <f>'Schedule 7 Workpaper'!R57</f>
        <v>104957.19</v>
      </c>
      <c r="G57" s="459">
        <f>'Schedule 7 Workpaper'!T57</f>
        <v>1386.73</v>
      </c>
    </row>
    <row r="58" spans="1:7">
      <c r="A58" s="186" t="str">
        <f>'Schedule 7 Workpaper'!B58</f>
        <v>Boardman</v>
      </c>
      <c r="B58" s="273">
        <f>'Schedule 7 Workpaper'!C58</f>
        <v>353</v>
      </c>
      <c r="C58" s="273">
        <f>'Schedule 7 Workpaper'!D58</f>
        <v>1980</v>
      </c>
      <c r="D58" s="457">
        <f>'Schedule 7 Workpaper'!G58 + 'Schedule 7 Workpaper'!J58+'Schedule 7 Workpaper'!M58+'Schedule 7 Workpaper'!P58</f>
        <v>38</v>
      </c>
      <c r="E58" s="458">
        <f>'Schedule 7 Workpaper'!E58</f>
        <v>373215.24</v>
      </c>
      <c r="F58" s="458">
        <f>'Schedule 7 Workpaper'!R58</f>
        <v>314442.8</v>
      </c>
      <c r="G58" s="459">
        <f>'Schedule 7 Workpaper'!T58</f>
        <v>40232.6</v>
      </c>
    </row>
    <row r="59" spans="1:7">
      <c r="A59" s="186" t="str">
        <f>'Schedule 7 Workpaper'!B59</f>
        <v>Boardman</v>
      </c>
      <c r="B59" s="273">
        <f>'Schedule 7 Workpaper'!C59</f>
        <v>353</v>
      </c>
      <c r="C59" s="273">
        <f>'Schedule 7 Workpaper'!D59</f>
        <v>1992</v>
      </c>
      <c r="D59" s="457">
        <f>'Schedule 7 Workpaper'!G59 + 'Schedule 7 Workpaper'!J59+'Schedule 7 Workpaper'!M59+'Schedule 7 Workpaper'!P59</f>
        <v>26</v>
      </c>
      <c r="E59" s="458">
        <f>'Schedule 7 Workpaper'!E59</f>
        <v>2010.51</v>
      </c>
      <c r="F59" s="458">
        <f>'Schedule 7 Workpaper'!R59</f>
        <v>1182.44</v>
      </c>
      <c r="G59" s="459">
        <f>'Schedule 7 Workpaper'!T59</f>
        <v>216.73</v>
      </c>
    </row>
    <row r="60" spans="1:7">
      <c r="A60" s="186" t="str">
        <f>'Schedule 7 Workpaper'!B60</f>
        <v>Boardman</v>
      </c>
      <c r="B60" s="273">
        <f>'Schedule 7 Workpaper'!C60</f>
        <v>353</v>
      </c>
      <c r="C60" s="273">
        <f>'Schedule 7 Workpaper'!D60</f>
        <v>2003</v>
      </c>
      <c r="D60" s="457">
        <f>'Schedule 7 Workpaper'!G60 + 'Schedule 7 Workpaper'!J60+'Schedule 7 Workpaper'!M60+'Schedule 7 Workpaper'!P60</f>
        <v>15</v>
      </c>
      <c r="E60" s="458">
        <f>'Schedule 7 Workpaper'!E60</f>
        <v>64212.69</v>
      </c>
      <c r="F60" s="458">
        <f>'Schedule 7 Workpaper'!R60</f>
        <v>22790.620000000003</v>
      </c>
      <c r="G60" s="459">
        <f>'Schedule 7 Workpaper'!T60</f>
        <v>6922.13</v>
      </c>
    </row>
    <row r="61" spans="1:7">
      <c r="A61" s="186" t="str">
        <f>'Schedule 7 Workpaper'!B61</f>
        <v>Boardman</v>
      </c>
      <c r="B61" s="273">
        <f>'Schedule 7 Workpaper'!C61</f>
        <v>353</v>
      </c>
      <c r="C61" s="273">
        <f>'Schedule 7 Workpaper'!D61</f>
        <v>2007</v>
      </c>
      <c r="D61" s="457">
        <f>'Schedule 7 Workpaper'!G61 + 'Schedule 7 Workpaper'!J61+'Schedule 7 Workpaper'!M61+'Schedule 7 Workpaper'!P61</f>
        <v>11</v>
      </c>
      <c r="E61" s="458">
        <f>'Schedule 7 Workpaper'!E61</f>
        <v>3243.66</v>
      </c>
      <c r="F61" s="458">
        <f>'Schedule 7 Workpaper'!R61</f>
        <v>876.2</v>
      </c>
      <c r="G61" s="459">
        <f>'Schedule 7 Workpaper'!T61</f>
        <v>349.67</v>
      </c>
    </row>
    <row r="62" spans="1:7">
      <c r="A62" s="186" t="str">
        <f>'Schedule 7 Workpaper'!B62</f>
        <v>Boardman</v>
      </c>
      <c r="B62" s="273">
        <f>'Schedule 7 Workpaper'!C62</f>
        <v>353</v>
      </c>
      <c r="C62" s="273">
        <f>'Schedule 7 Workpaper'!D62</f>
        <v>2009</v>
      </c>
      <c r="D62" s="457">
        <f>'Schedule 7 Workpaper'!G62 + 'Schedule 7 Workpaper'!J62+'Schedule 7 Workpaper'!M62+'Schedule 7 Workpaper'!P62</f>
        <v>9</v>
      </c>
      <c r="E62" s="458">
        <f>'Schedule 7 Workpaper'!E62</f>
        <v>6429.87</v>
      </c>
      <c r="F62" s="458">
        <f>'Schedule 7 Workpaper'!R62</f>
        <v>1465.8600000000001</v>
      </c>
      <c r="G62" s="459">
        <f>'Schedule 7 Workpaper'!T62</f>
        <v>693.14</v>
      </c>
    </row>
    <row r="63" spans="1:7">
      <c r="A63" s="186" t="str">
        <f>'Schedule 7 Workpaper'!B63</f>
        <v>Boardman</v>
      </c>
      <c r="B63" s="273">
        <f>'Schedule 7 Workpaper'!C63</f>
        <v>353</v>
      </c>
      <c r="C63" s="273">
        <f>'Schedule 7 Workpaper'!D63</f>
        <v>2010</v>
      </c>
      <c r="D63" s="457">
        <f>'Schedule 7 Workpaper'!G63 + 'Schedule 7 Workpaper'!J63+'Schedule 7 Workpaper'!M63+'Schedule 7 Workpaper'!P63</f>
        <v>8</v>
      </c>
      <c r="E63" s="458">
        <f>'Schedule 7 Workpaper'!E63</f>
        <v>4030.25</v>
      </c>
      <c r="F63" s="458">
        <f>'Schedule 7 Workpaper'!R63</f>
        <v>835.78</v>
      </c>
      <c r="G63" s="459">
        <f>'Schedule 7 Workpaper'!T63</f>
        <v>434.46</v>
      </c>
    </row>
    <row r="64" spans="1:7">
      <c r="A64" s="186" t="str">
        <f>'Schedule 7 Workpaper'!B64</f>
        <v>Boardman</v>
      </c>
      <c r="B64" s="273">
        <f>'Schedule 7 Workpaper'!C64</f>
        <v>353</v>
      </c>
      <c r="C64" s="273">
        <f>'Schedule 7 Workpaper'!D64</f>
        <v>2016</v>
      </c>
      <c r="D64" s="457">
        <f>'Schedule 7 Workpaper'!G64 + 'Schedule 7 Workpaper'!J64+'Schedule 7 Workpaper'!M64+'Schedule 7 Workpaper'!P64</f>
        <v>2.5799999999999272</v>
      </c>
      <c r="E64" s="458">
        <f>'Schedule 7 Workpaper'!E64</f>
        <v>10113.200000000001</v>
      </c>
      <c r="F64" s="458">
        <f>'Schedule 7 Workpaper'!R64</f>
        <v>1016.6200000000001</v>
      </c>
      <c r="G64" s="459">
        <f>'Schedule 7 Workpaper'!T64</f>
        <v>1090.2</v>
      </c>
    </row>
    <row r="65" spans="1:7">
      <c r="A65" s="186" t="str">
        <f>'Schedule 7 Workpaper'!B65</f>
        <v>Jim Bridger</v>
      </c>
      <c r="B65" s="273">
        <f>'Schedule 7 Workpaper'!C65</f>
        <v>353</v>
      </c>
      <c r="C65" s="273">
        <f>'Schedule 7 Workpaper'!D65</f>
        <v>1976</v>
      </c>
      <c r="D65" s="457">
        <f>'Schedule 7 Workpaper'!G65 + 'Schedule 7 Workpaper'!J65+'Schedule 7 Workpaper'!M65+'Schedule 7 Workpaper'!P65</f>
        <v>42</v>
      </c>
      <c r="E65" s="458">
        <f>'Schedule 7 Workpaper'!E65</f>
        <v>268996.22000000003</v>
      </c>
      <c r="F65" s="458">
        <f>'Schedule 7 Workpaper'!R65</f>
        <v>235701.47999999998</v>
      </c>
      <c r="G65" s="459">
        <f>'Schedule 7 Workpaper'!T65</f>
        <v>5299.23</v>
      </c>
    </row>
    <row r="66" spans="1:7">
      <c r="A66" s="186" t="str">
        <f>'Schedule 7 Workpaper'!B66</f>
        <v>Jim Bridger</v>
      </c>
      <c r="B66" s="273">
        <f>'Schedule 7 Workpaper'!C66</f>
        <v>353</v>
      </c>
      <c r="C66" s="273">
        <f>'Schedule 7 Workpaper'!D66</f>
        <v>1990</v>
      </c>
      <c r="D66" s="457">
        <f>'Schedule 7 Workpaper'!G66 + 'Schedule 7 Workpaper'!J66+'Schedule 7 Workpaper'!M66+'Schedule 7 Workpaper'!P66</f>
        <v>28</v>
      </c>
      <c r="E66" s="458">
        <f>'Schedule 7 Workpaper'!E66</f>
        <v>910055.21</v>
      </c>
      <c r="F66" s="458">
        <f>'Schedule 7 Workpaper'!R66</f>
        <v>527309.65</v>
      </c>
      <c r="G66" s="459">
        <f>'Schedule 7 Workpaper'!T66</f>
        <v>17928.09</v>
      </c>
    </row>
    <row r="67" spans="1:7">
      <c r="A67" s="186" t="str">
        <f>'Schedule 7 Workpaper'!B67</f>
        <v>Jim Bridger</v>
      </c>
      <c r="B67" s="273">
        <f>'Schedule 7 Workpaper'!C67</f>
        <v>353</v>
      </c>
      <c r="C67" s="273">
        <f>'Schedule 7 Workpaper'!D67</f>
        <v>1995</v>
      </c>
      <c r="D67" s="457">
        <f>'Schedule 7 Workpaper'!G67 + 'Schedule 7 Workpaper'!J67+'Schedule 7 Workpaper'!M67+'Schedule 7 Workpaper'!P67</f>
        <v>23</v>
      </c>
      <c r="E67" s="458">
        <f>'Schedule 7 Workpaper'!E67</f>
        <v>27259</v>
      </c>
      <c r="F67" s="458">
        <f>'Schedule 7 Workpaper'!R67</f>
        <v>12905.130000000001</v>
      </c>
      <c r="G67" s="459">
        <f>'Schedule 7 Workpaper'!T67</f>
        <v>537</v>
      </c>
    </row>
    <row r="68" spans="1:7">
      <c r="A68" s="186" t="str">
        <f>'Schedule 7 Workpaper'!B68</f>
        <v>Jim Bridger</v>
      </c>
      <c r="B68" s="273">
        <f>'Schedule 7 Workpaper'!C68</f>
        <v>353</v>
      </c>
      <c r="C68" s="273">
        <f>'Schedule 7 Workpaper'!D68</f>
        <v>1996</v>
      </c>
      <c r="D68" s="457">
        <f>'Schedule 7 Workpaper'!G68 + 'Schedule 7 Workpaper'!J68+'Schedule 7 Workpaper'!M68+'Schedule 7 Workpaper'!P68</f>
        <v>22</v>
      </c>
      <c r="E68" s="458">
        <f>'Schedule 7 Workpaper'!E68</f>
        <v>45684</v>
      </c>
      <c r="F68" s="458">
        <f>'Schedule 7 Workpaper'!R68</f>
        <v>20659.5</v>
      </c>
      <c r="G68" s="459">
        <f>'Schedule 7 Workpaper'!T68</f>
        <v>899.97</v>
      </c>
    </row>
    <row r="69" spans="1:7">
      <c r="A69" s="186" t="str">
        <f>'Schedule 7 Workpaper'!B69</f>
        <v>Jim Bridger</v>
      </c>
      <c r="B69" s="273">
        <f>'Schedule 7 Workpaper'!C69</f>
        <v>353</v>
      </c>
      <c r="C69" s="273">
        <f>'Schedule 7 Workpaper'!D69</f>
        <v>2000</v>
      </c>
      <c r="D69" s="457">
        <f>'Schedule 7 Workpaper'!G69 + 'Schedule 7 Workpaper'!J69+'Schedule 7 Workpaper'!M69+'Schedule 7 Workpaper'!P69</f>
        <v>18</v>
      </c>
      <c r="E69" s="458">
        <f>'Schedule 7 Workpaper'!E69</f>
        <v>972906</v>
      </c>
      <c r="F69" s="458">
        <f>'Schedule 7 Workpaper'!R69</f>
        <v>357470.95999999996</v>
      </c>
      <c r="G69" s="459">
        <f>'Schedule 7 Workpaper'!T69</f>
        <v>19166.25</v>
      </c>
    </row>
    <row r="70" spans="1:7">
      <c r="A70" s="186" t="str">
        <f>'Schedule 7 Workpaper'!B70</f>
        <v>Jim Bridger</v>
      </c>
      <c r="B70" s="273">
        <f>'Schedule 7 Workpaper'!C70</f>
        <v>353</v>
      </c>
      <c r="C70" s="273">
        <f>'Schedule 7 Workpaper'!D70</f>
        <v>2008</v>
      </c>
      <c r="D70" s="457">
        <f>'Schedule 7 Workpaper'!G70 + 'Schedule 7 Workpaper'!J70+'Schedule 7 Workpaper'!M70+'Schedule 7 Workpaper'!P70</f>
        <v>10</v>
      </c>
      <c r="E70" s="458">
        <f>'Schedule 7 Workpaper'!E70</f>
        <v>102767.67999999999</v>
      </c>
      <c r="F70" s="458">
        <f>'Schedule 7 Workpaper'!R70</f>
        <v>20330.11</v>
      </c>
      <c r="G70" s="459">
        <f>'Schedule 7 Workpaper'!T70</f>
        <v>2024.52</v>
      </c>
    </row>
    <row r="71" spans="1:7">
      <c r="A71" s="186" t="str">
        <f>'Schedule 7 Workpaper'!B71</f>
        <v>Jim Bridger</v>
      </c>
      <c r="B71" s="273">
        <f>'Schedule 7 Workpaper'!C71</f>
        <v>353</v>
      </c>
      <c r="C71" s="273">
        <f>'Schedule 7 Workpaper'!D71</f>
        <v>2011</v>
      </c>
      <c r="D71" s="457">
        <f>'Schedule 7 Workpaper'!G71 + 'Schedule 7 Workpaper'!J71+'Schedule 7 Workpaper'!M71+'Schedule 7 Workpaper'!P71</f>
        <v>7</v>
      </c>
      <c r="E71" s="458">
        <f>'Schedule 7 Workpaper'!E71</f>
        <v>404249.54000000004</v>
      </c>
      <c r="F71" s="458">
        <f>'Schedule 7 Workpaper'!R71</f>
        <v>54847.78</v>
      </c>
      <c r="G71" s="459">
        <f>'Schedule 7 Workpaper'!T71</f>
        <v>7963.72</v>
      </c>
    </row>
    <row r="72" spans="1:7">
      <c r="A72" s="186" t="str">
        <f>'Schedule 7 Workpaper'!B72</f>
        <v>Jim Bridger</v>
      </c>
      <c r="B72" s="273">
        <f>'Schedule 7 Workpaper'!C72</f>
        <v>353</v>
      </c>
      <c r="C72" s="273">
        <f>'Schedule 7 Workpaper'!D72</f>
        <v>2013</v>
      </c>
      <c r="D72" s="457">
        <f>'Schedule 7 Workpaper'!G72 + 'Schedule 7 Workpaper'!J72+'Schedule 7 Workpaper'!M72+'Schedule 7 Workpaper'!P72</f>
        <v>5.5799999999999272</v>
      </c>
      <c r="E72" s="458">
        <f>'Schedule 7 Workpaper'!E72</f>
        <v>20629.744999999999</v>
      </c>
      <c r="F72" s="458">
        <f>'Schedule 7 Workpaper'!R72</f>
        <v>2195.5499999999997</v>
      </c>
      <c r="G72" s="459">
        <f>'Schedule 7 Workpaper'!T72</f>
        <v>406.41</v>
      </c>
    </row>
    <row r="73" spans="1:7">
      <c r="A73" s="186" t="str">
        <f>'Schedule 7 Workpaper'!B73</f>
        <v>Jim Bridger</v>
      </c>
      <c r="B73" s="273">
        <f>'Schedule 7 Workpaper'!C73</f>
        <v>353</v>
      </c>
      <c r="C73" s="273">
        <f>'Schedule 7 Workpaper'!D73</f>
        <v>2013</v>
      </c>
      <c r="D73" s="457">
        <f>'Schedule 7 Workpaper'!G73 + 'Schedule 7 Workpaper'!J73+'Schedule 7 Workpaper'!M73+'Schedule 7 Workpaper'!P73</f>
        <v>5.5799999999999272</v>
      </c>
      <c r="E73" s="458">
        <f>'Schedule 7 Workpaper'!E73</f>
        <v>1564945.2299999997</v>
      </c>
      <c r="F73" s="458">
        <f>'Schedule 7 Workpaper'!R73</f>
        <v>166550.85999999999</v>
      </c>
      <c r="G73" s="459">
        <f>'Schedule 7 Workpaper'!T73</f>
        <v>30829.42</v>
      </c>
    </row>
    <row r="74" spans="1:7">
      <c r="A74" s="186" t="str">
        <f>'Schedule 7 Workpaper'!B74</f>
        <v>Jim Bridger</v>
      </c>
      <c r="B74" s="273">
        <f>'Schedule 7 Workpaper'!C74</f>
        <v>353</v>
      </c>
      <c r="C74" s="273">
        <f>'Schedule 7 Workpaper'!D74</f>
        <v>2014</v>
      </c>
      <c r="D74" s="457">
        <f>'Schedule 7 Workpaper'!G74 + 'Schedule 7 Workpaper'!J74+'Schedule 7 Workpaper'!M74+'Schedule 7 Workpaper'!P74</f>
        <v>4.5799999999999272</v>
      </c>
      <c r="E74" s="458">
        <f>'Schedule 7 Workpaper'!E74</f>
        <v>1663953.15</v>
      </c>
      <c r="F74" s="458">
        <f>'Schedule 7 Workpaper'!R74</f>
        <v>145472.77000000002</v>
      </c>
      <c r="G74" s="459">
        <f>'Schedule 7 Workpaper'!T74</f>
        <v>32779.879999999997</v>
      </c>
    </row>
    <row r="75" spans="1:7">
      <c r="A75" s="186" t="str">
        <f>'Schedule 7 Workpaper'!B75</f>
        <v>Jim Bridger</v>
      </c>
      <c r="B75" s="273">
        <f>'Schedule 7 Workpaper'!C75</f>
        <v>353</v>
      </c>
      <c r="C75" s="273">
        <f>'Schedule 7 Workpaper'!D75</f>
        <v>2015</v>
      </c>
      <c r="D75" s="457">
        <f>'Schedule 7 Workpaper'!G75 + 'Schedule 7 Workpaper'!J75+'Schedule 7 Workpaper'!M75+'Schedule 7 Workpaper'!P75</f>
        <v>3.5799999999999272</v>
      </c>
      <c r="E75" s="458">
        <f>'Schedule 7 Workpaper'!E75</f>
        <v>6785.08</v>
      </c>
      <c r="F75" s="458">
        <f>'Schedule 7 Workpaper'!R75</f>
        <v>464.28</v>
      </c>
      <c r="G75" s="459">
        <f>'Schedule 7 Workpaper'!T75</f>
        <v>133.66999999999999</v>
      </c>
    </row>
    <row r="76" spans="1:7">
      <c r="A76" s="186" t="str">
        <f>'Schedule 7 Workpaper'!B76</f>
        <v>Jim Bridger</v>
      </c>
      <c r="B76" s="273">
        <f>'Schedule 7 Workpaper'!C76</f>
        <v>353</v>
      </c>
      <c r="C76" s="273">
        <f>'Schedule 7 Workpaper'!D76</f>
        <v>2016</v>
      </c>
      <c r="D76" s="457">
        <f>'Schedule 7 Workpaper'!G76 + 'Schedule 7 Workpaper'!J76+'Schedule 7 Workpaper'!M76+'Schedule 7 Workpaper'!P76</f>
        <v>2.5799999999999272</v>
      </c>
      <c r="E76" s="458">
        <f>'Schedule 7 Workpaper'!E76</f>
        <v>106277.78</v>
      </c>
      <c r="F76" s="458">
        <f>'Schedule 7 Workpaper'!R76</f>
        <v>5252.8899999999994</v>
      </c>
      <c r="G76" s="459">
        <f>'Schedule 7 Workpaper'!T76</f>
        <v>2093.67</v>
      </c>
    </row>
    <row r="77" spans="1:7">
      <c r="A77" s="186" t="str">
        <f>'Schedule 7 Workpaper'!B77</f>
        <v>Valmy #1 &amp; Common Non-Steam</v>
      </c>
      <c r="B77" s="273">
        <f>'Schedule 7 Workpaper'!C77</f>
        <v>353</v>
      </c>
      <c r="C77" s="273">
        <f>'Schedule 7 Workpaper'!D77</f>
        <v>2008</v>
      </c>
      <c r="D77" s="457">
        <f>'Schedule 7 Workpaper'!G77 + 'Schedule 7 Workpaper'!J77+'Schedule 7 Workpaper'!M77+'Schedule 7 Workpaper'!P77</f>
        <v>10</v>
      </c>
      <c r="E77" s="458">
        <f>'Schedule 7 Workpaper'!E77</f>
        <v>2223479.04</v>
      </c>
      <c r="F77" s="458">
        <f>'Schedule 7 Workpaper'!R77</f>
        <v>573466.38</v>
      </c>
      <c r="G77" s="459">
        <f>'Schedule 7 Workpaper'!T77</f>
        <v>274154.96999999997</v>
      </c>
    </row>
    <row r="78" spans="1:7">
      <c r="A78" s="186" t="str">
        <f>'Schedule 7 Workpaper'!B78</f>
        <v>Valmy #1 &amp; Common Non-Steam</v>
      </c>
      <c r="B78" s="273">
        <f>'Schedule 7 Workpaper'!C78</f>
        <v>353</v>
      </c>
      <c r="C78" s="273">
        <f>'Schedule 7 Workpaper'!D78</f>
        <v>2011</v>
      </c>
      <c r="D78" s="457">
        <f>'Schedule 7 Workpaper'!G78 + 'Schedule 7 Workpaper'!J78+'Schedule 7 Workpaper'!M78+'Schedule 7 Workpaper'!P78</f>
        <v>7</v>
      </c>
      <c r="E78" s="458">
        <f>'Schedule 7 Workpaper'!E78</f>
        <v>63402.18</v>
      </c>
      <c r="F78" s="458">
        <f>'Schedule 7 Workpaper'!R78</f>
        <v>12411.990000000002</v>
      </c>
      <c r="G78" s="459">
        <f>'Schedule 7 Workpaper'!T78</f>
        <v>7817.49</v>
      </c>
    </row>
    <row r="79" spans="1:7">
      <c r="A79" s="186" t="str">
        <f>'Schedule 7 Workpaper'!B79</f>
        <v>Valmy Substation</v>
      </c>
      <c r="B79" s="273">
        <f>'Schedule 7 Workpaper'!C79</f>
        <v>353</v>
      </c>
      <c r="C79" s="273">
        <f>'Schedule 7 Workpaper'!D79</f>
        <v>2013</v>
      </c>
      <c r="D79" s="457">
        <f>'Schedule 7 Workpaper'!G79 + 'Schedule 7 Workpaper'!J79+'Schedule 7 Workpaper'!M79+'Schedule 7 Workpaper'!P79</f>
        <v>5.5799999999999272</v>
      </c>
      <c r="E79" s="458">
        <f>'Schedule 7 Workpaper'!E79</f>
        <v>138087.56</v>
      </c>
      <c r="F79" s="458">
        <f>'Schedule 7 Workpaper'!R79</f>
        <v>22993.510000000002</v>
      </c>
      <c r="G79" s="459">
        <f>'Schedule 7 Workpaper'!T79</f>
        <v>17026.2</v>
      </c>
    </row>
    <row r="80" spans="1:7">
      <c r="A80" s="186" t="str">
        <f>'Schedule 7 Workpaper'!B80</f>
        <v>Valmy #2 Substation</v>
      </c>
      <c r="B80" s="273">
        <f>'Schedule 7 Workpaper'!C80</f>
        <v>352</v>
      </c>
      <c r="C80" s="273">
        <f>'Schedule 7 Workpaper'!D80</f>
        <v>1982</v>
      </c>
      <c r="D80" s="457">
        <f>'Schedule 7 Workpaper'!G80 + 'Schedule 7 Workpaper'!J80+'Schedule 7 Workpaper'!M80+'Schedule 7 Workpaper'!P80</f>
        <v>36</v>
      </c>
      <c r="E80" s="458">
        <f>'Schedule 7 Workpaper'!E80</f>
        <v>55381.11</v>
      </c>
      <c r="F80" s="458">
        <f>'Schedule 7 Workpaper'!R80</f>
        <v>28659.18</v>
      </c>
      <c r="G80" s="459">
        <f>'Schedule 7 Workpaper'!T80</f>
        <v>1727.89</v>
      </c>
    </row>
    <row r="81" spans="1:7">
      <c r="A81" s="186" t="str">
        <f>'Schedule 7 Workpaper'!B81</f>
        <v>Valmy #2 Substation</v>
      </c>
      <c r="B81" s="273">
        <f>'Schedule 7 Workpaper'!C81</f>
        <v>353</v>
      </c>
      <c r="C81" s="273">
        <f>'Schedule 7 Workpaper'!D81</f>
        <v>1985</v>
      </c>
      <c r="D81" s="457">
        <f>'Schedule 7 Workpaper'!G81 + 'Schedule 7 Workpaper'!J81+'Schedule 7 Workpaper'!M81+'Schedule 7 Workpaper'!P81</f>
        <v>33</v>
      </c>
      <c r="E81" s="458">
        <f>'Schedule 7 Workpaper'!E81</f>
        <v>847152.74</v>
      </c>
      <c r="F81" s="458">
        <f>'Schedule 7 Workpaper'!R81</f>
        <v>589455.65999999992</v>
      </c>
      <c r="G81" s="459">
        <f>'Schedule 7 Workpaper'!T81</f>
        <v>31852.94</v>
      </c>
    </row>
    <row r="82" spans="1:7">
      <c r="A82" s="186" t="str">
        <f>'Schedule 7 Workpaper'!B82</f>
        <v>Valmy #2 Substation</v>
      </c>
      <c r="B82" s="273">
        <f>'Schedule 7 Workpaper'!C82</f>
        <v>353</v>
      </c>
      <c r="C82" s="273">
        <f>'Schedule 7 Workpaper'!D82</f>
        <v>1986</v>
      </c>
      <c r="D82" s="457">
        <f>'Schedule 7 Workpaper'!G82 + 'Schedule 7 Workpaper'!J82+'Schedule 7 Workpaper'!M82+'Schedule 7 Workpaper'!P82</f>
        <v>32</v>
      </c>
      <c r="E82" s="458">
        <f>'Schedule 7 Workpaper'!E82</f>
        <v>4161.2299999999996</v>
      </c>
      <c r="F82" s="458">
        <f>'Schedule 7 Workpaper'!R82</f>
        <v>2807.2000000000003</v>
      </c>
      <c r="G82" s="459">
        <f>'Schedule 7 Workpaper'!T82</f>
        <v>156.46</v>
      </c>
    </row>
    <row r="83" spans="1:7">
      <c r="A83" s="186" t="str">
        <f>'Schedule 7 Workpaper'!B83</f>
        <v>Valmy #2 Substation</v>
      </c>
      <c r="B83" s="273">
        <f>'Schedule 7 Workpaper'!C83</f>
        <v>353</v>
      </c>
      <c r="C83" s="273">
        <f>'Schedule 7 Workpaper'!D83</f>
        <v>1987</v>
      </c>
      <c r="D83" s="457">
        <f>'Schedule 7 Workpaper'!G83 + 'Schedule 7 Workpaper'!J83+'Schedule 7 Workpaper'!M83+'Schedule 7 Workpaper'!P83</f>
        <v>31</v>
      </c>
      <c r="E83" s="458">
        <f>'Schedule 7 Workpaper'!E83</f>
        <v>70.08</v>
      </c>
      <c r="F83" s="458">
        <f>'Schedule 7 Workpaper'!R83</f>
        <v>45.790000000000006</v>
      </c>
      <c r="G83" s="459">
        <f>'Schedule 7 Workpaper'!T83</f>
        <v>2.64</v>
      </c>
    </row>
    <row r="84" spans="1:7">
      <c r="A84" s="186" t="str">
        <f>'Schedule 7 Workpaper'!B84</f>
        <v>Valmy #2 Substation</v>
      </c>
      <c r="B84" s="273">
        <f>'Schedule 7 Workpaper'!C84</f>
        <v>353</v>
      </c>
      <c r="C84" s="273">
        <f>'Schedule 7 Workpaper'!D84</f>
        <v>2011</v>
      </c>
      <c r="D84" s="457">
        <f>'Schedule 7 Workpaper'!G84 + 'Schedule 7 Workpaper'!J84+'Schedule 7 Workpaper'!M84+'Schedule 7 Workpaper'!P84</f>
        <v>7</v>
      </c>
      <c r="E84" s="458">
        <f>'Schedule 7 Workpaper'!E84</f>
        <v>22115.47</v>
      </c>
      <c r="F84" s="458">
        <f>'Schedule 7 Workpaper'!R84</f>
        <v>3230.18</v>
      </c>
      <c r="G84" s="459">
        <f>'Schedule 7 Workpaper'!T84</f>
        <v>831.54</v>
      </c>
    </row>
    <row r="85" spans="1:7">
      <c r="A85" s="186" t="str">
        <f>'Schedule 7 Workpaper'!B85</f>
        <v>Valmy Unit #1 and Common</v>
      </c>
      <c r="B85" s="273">
        <f>'Schedule 7 Workpaper'!C85</f>
        <v>352</v>
      </c>
      <c r="C85" s="273">
        <f>'Schedule 7 Workpaper'!D85</f>
        <v>1977</v>
      </c>
      <c r="D85" s="457">
        <f>'Schedule 7 Workpaper'!G85 + 'Schedule 7 Workpaper'!J85+'Schedule 7 Workpaper'!M85+'Schedule 7 Workpaper'!P85</f>
        <v>41</v>
      </c>
      <c r="E85" s="458">
        <f>'Schedule 7 Workpaper'!E85</f>
        <v>225984.98</v>
      </c>
      <c r="F85" s="458">
        <f>'Schedule 7 Workpaper'!R85</f>
        <v>135715.28</v>
      </c>
      <c r="G85" s="459">
        <f>'Schedule 7 Workpaper'!T85</f>
        <v>14282.25</v>
      </c>
    </row>
    <row r="86" spans="1:7">
      <c r="A86" s="186" t="str">
        <f>'Schedule 7 Workpaper'!B86</f>
        <v>Valmy Unit #1 and Common</v>
      </c>
      <c r="B86" s="273">
        <f>'Schedule 7 Workpaper'!C86</f>
        <v>352</v>
      </c>
      <c r="C86" s="273">
        <f>'Schedule 7 Workpaper'!D86</f>
        <v>1982</v>
      </c>
      <c r="D86" s="457">
        <f>'Schedule 7 Workpaper'!G86 + 'Schedule 7 Workpaper'!J86+'Schedule 7 Workpaper'!M86+'Schedule 7 Workpaper'!P86</f>
        <v>36</v>
      </c>
      <c r="E86" s="458">
        <f>'Schedule 7 Workpaper'!E86</f>
        <v>130830.17</v>
      </c>
      <c r="F86" s="458">
        <f>'Schedule 7 Workpaper'!R86</f>
        <v>70131.520000000004</v>
      </c>
      <c r="G86" s="459">
        <f>'Schedule 7 Workpaper'!T86</f>
        <v>8268.4699999999993</v>
      </c>
    </row>
    <row r="87" spans="1:7">
      <c r="A87" s="186" t="str">
        <f>'Schedule 7 Workpaper'!B87</f>
        <v>Valmy Unit #1 and Common</v>
      </c>
      <c r="B87" s="273">
        <f>'Schedule 7 Workpaper'!C87</f>
        <v>353</v>
      </c>
      <c r="C87" s="273">
        <f>'Schedule 7 Workpaper'!D87</f>
        <v>1981</v>
      </c>
      <c r="D87" s="457">
        <f>'Schedule 7 Workpaper'!G87 + 'Schedule 7 Workpaper'!J87+'Schedule 7 Workpaper'!M87+'Schedule 7 Workpaper'!P87</f>
        <v>37</v>
      </c>
      <c r="E87" s="458">
        <f>'Schedule 7 Workpaper'!E87</f>
        <v>1310787.25</v>
      </c>
      <c r="F87" s="458">
        <f>'Schedule 7 Workpaper'!R87</f>
        <v>1088365</v>
      </c>
      <c r="G87" s="459">
        <f>'Schedule 7 Workpaper'!T87</f>
        <v>161620.07</v>
      </c>
    </row>
    <row r="88" spans="1:7">
      <c r="A88" s="186" t="str">
        <f>'Schedule 7 Workpaper'!B88</f>
        <v>Valmy Unit #1 and Common</v>
      </c>
      <c r="B88" s="273">
        <f>'Schedule 7 Workpaper'!C88</f>
        <v>353</v>
      </c>
      <c r="C88" s="273">
        <f>'Schedule 7 Workpaper'!D88</f>
        <v>1982</v>
      </c>
      <c r="D88" s="457">
        <f>'Schedule 7 Workpaper'!G88 + 'Schedule 7 Workpaper'!J88+'Schedule 7 Workpaper'!M88+'Schedule 7 Workpaper'!P88</f>
        <v>36</v>
      </c>
      <c r="E88" s="458">
        <f>'Schedule 7 Workpaper'!E88</f>
        <v>107606.74</v>
      </c>
      <c r="F88" s="458">
        <f>'Schedule 7 Workpaper'!R88</f>
        <v>87066.12</v>
      </c>
      <c r="G88" s="459">
        <f>'Schedule 7 Workpaper'!T88</f>
        <v>13267.91</v>
      </c>
    </row>
    <row r="89" spans="1:7">
      <c r="A89" s="186" t="str">
        <f>'Schedule 7 Workpaper'!B89</f>
        <v>Valmy Unit #1 and Common</v>
      </c>
      <c r="B89" s="273">
        <f>'Schedule 7 Workpaper'!C89</f>
        <v>353</v>
      </c>
      <c r="C89" s="273">
        <f>'Schedule 7 Workpaper'!D89</f>
        <v>2005</v>
      </c>
      <c r="D89" s="457">
        <f>'Schedule 7 Workpaper'!G89 + 'Schedule 7 Workpaper'!J89+'Schedule 7 Workpaper'!M89+'Schedule 7 Workpaper'!P89</f>
        <v>13</v>
      </c>
      <c r="E89" s="458">
        <f>'Schedule 7 Workpaper'!E89</f>
        <v>38513.699999999997</v>
      </c>
      <c r="F89" s="458">
        <f>'Schedule 7 Workpaper'!R89</f>
        <v>12382.7</v>
      </c>
      <c r="G89" s="459">
        <f>'Schedule 7 Workpaper'!T89</f>
        <v>4748.74</v>
      </c>
    </row>
    <row r="90" spans="1:7">
      <c r="A90" s="186"/>
      <c r="B90" s="231"/>
      <c r="C90" s="612"/>
      <c r="D90" s="612"/>
      <c r="E90" s="310"/>
      <c r="F90" s="310"/>
    </row>
    <row r="91" spans="1:7">
      <c r="A91" s="152" t="s">
        <v>537</v>
      </c>
      <c r="B91" s="231"/>
      <c r="C91" s="612"/>
      <c r="D91" s="612"/>
      <c r="E91" s="646">
        <f>SUM(E8:E90)</f>
        <v>32995940.105</v>
      </c>
      <c r="F91" s="646">
        <f>SUM(F8:F90)</f>
        <v>13044910.609999994</v>
      </c>
      <c r="G91" s="646">
        <f>SUM(G8:G90)</f>
        <v>1124789.23</v>
      </c>
    </row>
    <row r="93" spans="1:7">
      <c r="E93" s="461">
        <f>'Schedule 7 Workpaper'!E91</f>
        <v>32995940.105</v>
      </c>
      <c r="F93" s="461">
        <f>'Schedule 7 Workpaper'!R91</f>
        <v>13044910.609999994</v>
      </c>
      <c r="G93" s="461">
        <f>'Schedule 7 Workpaper'!T91</f>
        <v>1124789.23</v>
      </c>
    </row>
    <row r="94" spans="1:7">
      <c r="E94" s="461">
        <f>E93-E91</f>
        <v>0</v>
      </c>
      <c r="F94" s="461">
        <f>F93-F91</f>
        <v>0</v>
      </c>
      <c r="G94" s="461">
        <f>G93-G91</f>
        <v>0</v>
      </c>
    </row>
    <row r="95" spans="1:7">
      <c r="E95" s="460" t="str">
        <f>IF(E94=0,"","Error")</f>
        <v/>
      </c>
      <c r="F95" s="460" t="str">
        <f>IF(F94=0,"","Error")</f>
        <v/>
      </c>
      <c r="G95" s="460" t="str">
        <f>IF(G94=0,"","Error")</f>
        <v/>
      </c>
    </row>
  </sheetData>
  <mergeCells count="5">
    <mergeCell ref="A5:G5"/>
    <mergeCell ref="A1:G1"/>
    <mergeCell ref="A3:G3"/>
    <mergeCell ref="A4:G4"/>
    <mergeCell ref="A2:G2"/>
  </mergeCells>
  <phoneticPr fontId="22" type="noConversion"/>
  <printOptions horizontalCentered="1"/>
  <pageMargins left="0.75" right="0.75" top="1" bottom="0" header="0.5" footer="0"/>
  <pageSetup scale="55" orientation="portrait" r:id="rId1"/>
  <headerFooter alignWithMargins="0">
    <oddHeader>&amp;CIDAHO POWER COMPANY
Transmission Cost of Service Rate Development
12 Months Ended 12/31/2017</oddHeader>
  </headerFooter>
  <rowBreaks count="1" manualBreakCount="1">
    <brk id="61" max="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56"/>
  <sheetViews>
    <sheetView zoomScaleNormal="100" zoomScaleSheetLayoutView="100" workbookViewId="0">
      <selection sqref="A1:G1"/>
    </sheetView>
  </sheetViews>
  <sheetFormatPr defaultRowHeight="12.75"/>
  <cols>
    <col min="1" max="1" width="4.140625" style="41" customWidth="1"/>
    <col min="2" max="2" width="31.28515625" style="40" customWidth="1"/>
    <col min="3" max="3" width="10.28515625" style="42" customWidth="1"/>
    <col min="4" max="4" width="8.85546875" style="40" bestFit="1" customWidth="1"/>
    <col min="5" max="5" width="14" style="40" customWidth="1"/>
    <col min="6" max="6" width="13.5703125" style="40" bestFit="1" customWidth="1"/>
    <col min="7" max="7" width="17.85546875" style="40" customWidth="1"/>
    <col min="8" max="9" width="28.28515625" style="40" customWidth="1"/>
    <col min="10" max="16384" width="9.140625" style="40"/>
  </cols>
  <sheetData>
    <row r="1" spans="1:7">
      <c r="A1" s="674" t="s">
        <v>570</v>
      </c>
      <c r="B1" s="674"/>
      <c r="C1" s="674"/>
      <c r="D1" s="674"/>
      <c r="E1" s="674"/>
      <c r="F1" s="674"/>
      <c r="G1" s="674"/>
    </row>
    <row r="2" spans="1:7">
      <c r="A2" s="674" t="s">
        <v>571</v>
      </c>
      <c r="B2" s="674"/>
      <c r="C2" s="674"/>
      <c r="D2" s="674"/>
      <c r="E2" s="674"/>
      <c r="F2" s="674"/>
      <c r="G2" s="674"/>
    </row>
    <row r="3" spans="1:7">
      <c r="A3" s="674" t="s">
        <v>572</v>
      </c>
      <c r="B3" s="674"/>
      <c r="C3" s="674"/>
      <c r="D3" s="674"/>
      <c r="E3" s="674"/>
      <c r="F3" s="674"/>
      <c r="G3" s="674"/>
    </row>
    <row r="4" spans="1:7">
      <c r="A4" s="674" t="s">
        <v>206</v>
      </c>
      <c r="B4" s="674"/>
      <c r="C4" s="674"/>
      <c r="D4" s="674"/>
      <c r="E4" s="674"/>
      <c r="F4" s="674"/>
      <c r="G4" s="674"/>
    </row>
    <row r="5" spans="1:7">
      <c r="B5" s="617"/>
      <c r="C5" s="617"/>
      <c r="D5" s="617"/>
      <c r="E5" s="617"/>
      <c r="F5" s="617"/>
    </row>
    <row r="6" spans="1:7">
      <c r="B6" s="617"/>
      <c r="C6" s="617"/>
      <c r="D6" s="617"/>
      <c r="E6" s="617"/>
      <c r="F6" s="617"/>
    </row>
    <row r="7" spans="1:7" ht="42" customHeight="1" thickBot="1">
      <c r="B7" s="118" t="s">
        <v>40</v>
      </c>
      <c r="C7" s="129" t="s">
        <v>41</v>
      </c>
      <c r="D7" s="118" t="s">
        <v>42</v>
      </c>
      <c r="E7" s="118" t="s">
        <v>840</v>
      </c>
      <c r="F7" s="118" t="s">
        <v>10</v>
      </c>
      <c r="G7" s="130" t="s">
        <v>205</v>
      </c>
    </row>
    <row r="8" spans="1:7">
      <c r="A8" s="41">
        <v>1</v>
      </c>
      <c r="B8" s="43" t="s">
        <v>573</v>
      </c>
      <c r="C8" s="44">
        <v>352</v>
      </c>
      <c r="D8" s="45">
        <v>2005</v>
      </c>
      <c r="E8" s="38">
        <f>'Schedule 8 Workpaper'!D9</f>
        <v>59325</v>
      </c>
      <c r="F8" s="48">
        <f>'Schedule 8 Workpaper'!Q9</f>
        <v>12671.699999999999</v>
      </c>
      <c r="G8" s="23">
        <f>'Schedule 8 Workpaper'!S9</f>
        <v>1115.31</v>
      </c>
    </row>
    <row r="9" spans="1:7">
      <c r="A9" s="41">
        <f>A8+1</f>
        <v>2</v>
      </c>
      <c r="B9" s="43" t="s">
        <v>573</v>
      </c>
      <c r="C9" s="44">
        <v>353</v>
      </c>
      <c r="D9" s="45">
        <v>2005</v>
      </c>
      <c r="E9" s="38">
        <f>'Schedule 8 Workpaper'!D10</f>
        <v>49372</v>
      </c>
      <c r="F9" s="48">
        <f>'Schedule 8 Workpaper'!Q10</f>
        <v>12907.12</v>
      </c>
      <c r="G9" s="23">
        <f>'Schedule 8 Workpaper'!S10</f>
        <v>972.63</v>
      </c>
    </row>
    <row r="10" spans="1:7">
      <c r="A10" s="41">
        <f t="shared" ref="A10:A17" si="0">A9+1</f>
        <v>3</v>
      </c>
      <c r="B10" s="43" t="s">
        <v>166</v>
      </c>
      <c r="C10" s="44">
        <v>352</v>
      </c>
      <c r="D10" s="45">
        <v>2001</v>
      </c>
      <c r="E10" s="38">
        <f>'Schedule 8 Workpaper'!D11</f>
        <v>89955.44</v>
      </c>
      <c r="F10" s="48">
        <f>'Schedule 8 Workpaper'!Q11</f>
        <v>23855.999999999996</v>
      </c>
      <c r="G10" s="23">
        <f>'Schedule 8 Workpaper'!S11</f>
        <v>1691.16</v>
      </c>
    </row>
    <row r="11" spans="1:7">
      <c r="A11" s="41">
        <f t="shared" si="0"/>
        <v>4</v>
      </c>
      <c r="B11" s="43" t="s">
        <v>166</v>
      </c>
      <c r="C11" s="44">
        <v>353</v>
      </c>
      <c r="D11" s="45">
        <v>2001</v>
      </c>
      <c r="E11" s="38">
        <f>'Schedule 8 Workpaper'!D12</f>
        <v>433103.7</v>
      </c>
      <c r="F11" s="48">
        <f>'Schedule 8 Workpaper'!Q12</f>
        <v>149951.76</v>
      </c>
      <c r="G11" s="23">
        <f>'Schedule 8 Workpaper'!S12</f>
        <v>8532.14</v>
      </c>
    </row>
    <row r="12" spans="1:7">
      <c r="A12" s="41">
        <f t="shared" si="0"/>
        <v>5</v>
      </c>
      <c r="B12" s="43" t="s">
        <v>166</v>
      </c>
      <c r="C12" s="44">
        <v>352</v>
      </c>
      <c r="D12" s="608">
        <v>2008</v>
      </c>
      <c r="E12" s="38">
        <f>'Schedule 8 Workpaper'!D13</f>
        <v>63308</v>
      </c>
      <c r="F12" s="48">
        <f>'Schedule 8 Workpaper'!Q13</f>
        <v>11072.449999999999</v>
      </c>
      <c r="G12" s="23">
        <f>'Schedule 8 Workpaper'!S13</f>
        <v>1190.19</v>
      </c>
    </row>
    <row r="13" spans="1:7">
      <c r="A13" s="41">
        <f t="shared" si="0"/>
        <v>6</v>
      </c>
      <c r="B13" s="43" t="s">
        <v>166</v>
      </c>
      <c r="C13" s="44">
        <v>353</v>
      </c>
      <c r="D13" s="608">
        <v>2008</v>
      </c>
      <c r="E13" s="38">
        <f>'Schedule 8 Workpaper'!D14</f>
        <v>126618</v>
      </c>
      <c r="F13" s="48">
        <f>'Schedule 8 Workpaper'!Q14</f>
        <v>25048.329999999998</v>
      </c>
      <c r="G13" s="23">
        <f>'Schedule 8 Workpaper'!S14</f>
        <v>2494.37</v>
      </c>
    </row>
    <row r="14" spans="1:7">
      <c r="A14" s="41">
        <f t="shared" si="0"/>
        <v>7</v>
      </c>
      <c r="B14" s="43" t="s">
        <v>983</v>
      </c>
      <c r="C14" s="44">
        <v>352</v>
      </c>
      <c r="D14" s="608">
        <v>2012</v>
      </c>
      <c r="E14" s="38">
        <f>'Schedule 8 Workpaper'!D15</f>
        <v>150491.68</v>
      </c>
      <c r="F14" s="48">
        <f>'Schedule 8 Workpaper'!Q15</f>
        <v>16548.059999999998</v>
      </c>
      <c r="G14" s="23">
        <f>'Schedule 8 Workpaper'!S15</f>
        <v>2829.24</v>
      </c>
    </row>
    <row r="15" spans="1:7">
      <c r="A15" s="41">
        <f t="shared" si="0"/>
        <v>8</v>
      </c>
      <c r="B15" s="43" t="s">
        <v>983</v>
      </c>
      <c r="C15" s="44">
        <v>353</v>
      </c>
      <c r="D15" s="608">
        <v>2012</v>
      </c>
      <c r="E15" s="38">
        <f>'Schedule 8 Workpaper'!D16</f>
        <v>68973.52</v>
      </c>
      <c r="F15" s="48">
        <f>'Schedule 8 Workpaper'!Q16</f>
        <v>7937.33</v>
      </c>
      <c r="G15" s="23">
        <f>'Schedule 8 Workpaper'!S16</f>
        <v>1358.78</v>
      </c>
    </row>
    <row r="16" spans="1:7">
      <c r="A16" s="41">
        <f t="shared" si="0"/>
        <v>9</v>
      </c>
      <c r="B16" s="196"/>
      <c r="C16" s="44"/>
      <c r="D16" s="608"/>
      <c r="E16" s="46"/>
      <c r="F16" s="46"/>
    </row>
    <row r="17" spans="1:7">
      <c r="A17" s="41">
        <f t="shared" si="0"/>
        <v>10</v>
      </c>
      <c r="B17" s="131" t="s">
        <v>442</v>
      </c>
      <c r="C17" s="44"/>
      <c r="D17" s="45"/>
      <c r="E17" s="123">
        <f>SUM(E8:E15)</f>
        <v>1041147.3400000001</v>
      </c>
      <c r="F17" s="123">
        <f>SUM(F8:F15)</f>
        <v>259992.75</v>
      </c>
      <c r="G17" s="123">
        <f>SUM(G8:G15)</f>
        <v>20183.82</v>
      </c>
    </row>
    <row r="18" spans="1:7">
      <c r="B18" s="43"/>
      <c r="C18" s="44"/>
      <c r="D18" s="45"/>
      <c r="E18" s="45"/>
      <c r="F18" s="47"/>
    </row>
    <row r="19" spans="1:7">
      <c r="B19" s="43"/>
      <c r="C19" s="44"/>
      <c r="D19" s="45"/>
      <c r="E19" s="45"/>
      <c r="F19" s="47"/>
    </row>
    <row r="20" spans="1:7">
      <c r="B20" s="43"/>
      <c r="C20" s="44"/>
      <c r="D20" s="45"/>
      <c r="E20" s="45"/>
      <c r="F20" s="47"/>
    </row>
    <row r="21" spans="1:7">
      <c r="B21" s="43"/>
      <c r="C21" s="44"/>
      <c r="D21" s="45"/>
      <c r="E21" s="47"/>
      <c r="F21" s="22"/>
    </row>
    <row r="22" spans="1:7">
      <c r="B22" s="196" t="s">
        <v>26</v>
      </c>
      <c r="C22" s="44"/>
      <c r="D22" s="608"/>
      <c r="E22" s="47"/>
      <c r="F22" s="22"/>
    </row>
    <row r="23" spans="1:7">
      <c r="B23" s="43"/>
      <c r="C23" s="44"/>
      <c r="D23" s="45"/>
      <c r="E23" s="47"/>
      <c r="F23" s="22"/>
    </row>
    <row r="24" spans="1:7">
      <c r="B24" s="43"/>
      <c r="C24" s="44"/>
      <c r="D24" s="45"/>
      <c r="E24" s="47"/>
      <c r="F24" s="22"/>
    </row>
    <row r="25" spans="1:7">
      <c r="B25" s="43"/>
      <c r="C25" s="44"/>
      <c r="D25" s="45"/>
      <c r="E25" s="47"/>
      <c r="F25" s="22"/>
    </row>
    <row r="26" spans="1:7">
      <c r="B26" s="43"/>
      <c r="C26" s="45"/>
      <c r="D26" s="45"/>
      <c r="E26" s="47"/>
      <c r="F26" s="22"/>
    </row>
    <row r="27" spans="1:7">
      <c r="B27" s="43"/>
      <c r="C27" s="45"/>
      <c r="D27" s="45"/>
      <c r="E27" s="47"/>
      <c r="F27" s="22"/>
    </row>
    <row r="28" spans="1:7">
      <c r="B28" s="43"/>
      <c r="C28" s="45"/>
      <c r="D28" s="45"/>
      <c r="E28" s="47"/>
      <c r="F28" s="22"/>
    </row>
    <row r="29" spans="1:7">
      <c r="B29" s="43"/>
      <c r="C29" s="45"/>
      <c r="D29" s="45"/>
      <c r="E29" s="47"/>
      <c r="F29" s="22"/>
    </row>
    <row r="30" spans="1:7">
      <c r="B30" s="43"/>
      <c r="C30" s="45"/>
      <c r="D30" s="45"/>
      <c r="E30" s="47"/>
      <c r="F30" s="22"/>
    </row>
    <row r="31" spans="1:7">
      <c r="B31" s="43"/>
      <c r="C31" s="45"/>
      <c r="D31" s="45"/>
      <c r="E31" s="47"/>
      <c r="F31" s="22"/>
    </row>
    <row r="32" spans="1:7">
      <c r="B32" s="43"/>
      <c r="C32" s="45"/>
      <c r="D32" s="45"/>
      <c r="E32" s="47"/>
      <c r="F32" s="22"/>
    </row>
    <row r="33" spans="2:6">
      <c r="B33" s="43"/>
      <c r="C33" s="45"/>
      <c r="D33" s="45"/>
      <c r="E33" s="47"/>
      <c r="F33" s="22"/>
    </row>
    <row r="34" spans="2:6">
      <c r="B34" s="43"/>
      <c r="C34" s="45"/>
      <c r="D34" s="45"/>
      <c r="E34" s="47"/>
      <c r="F34" s="22"/>
    </row>
    <row r="35" spans="2:6">
      <c r="B35" s="43"/>
      <c r="C35" s="45"/>
      <c r="D35" s="45"/>
      <c r="E35" s="47"/>
      <c r="F35" s="22"/>
    </row>
    <row r="36" spans="2:6">
      <c r="B36" s="43"/>
      <c r="C36" s="45"/>
      <c r="D36" s="45"/>
      <c r="E36" s="47"/>
      <c r="F36" s="22"/>
    </row>
    <row r="37" spans="2:6">
      <c r="B37" s="43"/>
      <c r="C37" s="45"/>
      <c r="D37" s="45"/>
      <c r="E37" s="47"/>
      <c r="F37" s="22"/>
    </row>
    <row r="38" spans="2:6">
      <c r="B38" s="43"/>
      <c r="C38" s="45"/>
      <c r="D38" s="45"/>
      <c r="E38" s="47"/>
      <c r="F38" s="22"/>
    </row>
    <row r="39" spans="2:6">
      <c r="B39" s="43"/>
      <c r="C39" s="45"/>
      <c r="D39" s="45"/>
      <c r="E39" s="47"/>
      <c r="F39" s="22"/>
    </row>
    <row r="40" spans="2:6">
      <c r="B40" s="43"/>
      <c r="C40" s="45"/>
      <c r="D40" s="45"/>
      <c r="E40" s="47"/>
      <c r="F40" s="22"/>
    </row>
    <row r="41" spans="2:6">
      <c r="B41" s="43"/>
      <c r="C41" s="45"/>
      <c r="D41" s="45"/>
      <c r="E41" s="47"/>
      <c r="F41" s="22"/>
    </row>
    <row r="42" spans="2:6">
      <c r="B42" s="43"/>
      <c r="C42" s="45"/>
      <c r="D42" s="45"/>
      <c r="E42" s="47"/>
      <c r="F42" s="22"/>
    </row>
    <row r="43" spans="2:6">
      <c r="B43" s="43"/>
      <c r="C43" s="44"/>
      <c r="D43" s="45"/>
      <c r="E43" s="47"/>
      <c r="F43" s="22"/>
    </row>
    <row r="44" spans="2:6">
      <c r="B44" s="43"/>
      <c r="C44" s="44"/>
      <c r="D44" s="45"/>
      <c r="E44" s="47"/>
      <c r="F44" s="22"/>
    </row>
    <row r="45" spans="2:6">
      <c r="B45" s="43"/>
      <c r="C45" s="44"/>
      <c r="D45" s="45"/>
      <c r="E45" s="47"/>
      <c r="F45" s="22"/>
    </row>
    <row r="46" spans="2:6">
      <c r="B46" s="43"/>
      <c r="C46" s="44"/>
      <c r="D46" s="45"/>
      <c r="E46" s="47"/>
      <c r="F46" s="22"/>
    </row>
    <row r="47" spans="2:6">
      <c r="B47" s="43"/>
      <c r="C47" s="44"/>
      <c r="D47" s="45"/>
      <c r="E47" s="47"/>
      <c r="F47" s="22"/>
    </row>
    <row r="48" spans="2:6">
      <c r="B48" s="43"/>
      <c r="C48" s="44"/>
      <c r="D48" s="45"/>
      <c r="E48" s="47"/>
      <c r="F48" s="22"/>
    </row>
    <row r="49" spans="2:6">
      <c r="B49" s="43"/>
      <c r="C49" s="44"/>
      <c r="D49" s="45"/>
      <c r="E49" s="47"/>
      <c r="F49" s="22"/>
    </row>
    <row r="50" spans="2:6">
      <c r="B50" s="43"/>
      <c r="C50" s="44"/>
      <c r="D50" s="45"/>
      <c r="E50" s="47"/>
      <c r="F50" s="22"/>
    </row>
    <row r="51" spans="2:6">
      <c r="B51" s="43"/>
      <c r="C51" s="44"/>
      <c r="D51" s="45"/>
      <c r="E51" s="47"/>
      <c r="F51" s="22"/>
    </row>
    <row r="52" spans="2:6">
      <c r="B52" s="43"/>
      <c r="C52" s="44"/>
      <c r="D52" s="45"/>
      <c r="E52" s="47"/>
      <c r="F52" s="22"/>
    </row>
    <row r="53" spans="2:6">
      <c r="B53" s="43"/>
      <c r="C53" s="44"/>
      <c r="D53" s="45"/>
      <c r="E53" s="47"/>
      <c r="F53" s="22"/>
    </row>
    <row r="54" spans="2:6">
      <c r="B54" s="196"/>
      <c r="C54" s="44"/>
      <c r="D54" s="608"/>
      <c r="E54" s="47"/>
      <c r="F54" s="22"/>
    </row>
    <row r="55" spans="2:6">
      <c r="B55" s="196"/>
      <c r="C55" s="44"/>
      <c r="D55" s="608"/>
      <c r="E55" s="47"/>
      <c r="F55" s="22"/>
    </row>
    <row r="56" spans="2:6">
      <c r="B56" s="196"/>
      <c r="C56" s="44"/>
      <c r="D56" s="608"/>
      <c r="E56" s="47"/>
      <c r="F56" s="22"/>
    </row>
  </sheetData>
  <mergeCells count="4">
    <mergeCell ref="A1:G1"/>
    <mergeCell ref="A2:G2"/>
    <mergeCell ref="A3:G3"/>
    <mergeCell ref="A4:G4"/>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12/31/2017</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109"/>
  <sheetViews>
    <sheetView zoomScale="90" zoomScaleNormal="90" zoomScaleSheetLayoutView="100" workbookViewId="0">
      <selection sqref="A1:G1"/>
    </sheetView>
  </sheetViews>
  <sheetFormatPr defaultRowHeight="12.75"/>
  <cols>
    <col min="1" max="1" width="5.42578125" style="264" customWidth="1"/>
    <col min="2" max="2" width="4.5703125" style="263" customWidth="1"/>
    <col min="3" max="3" width="35.28515625" style="263" customWidth="1"/>
    <col min="4" max="4" width="8.42578125" style="266" customWidth="1"/>
    <col min="5" max="5" width="10.42578125" style="263" customWidth="1"/>
    <col min="6" max="6" width="13.7109375" style="263" customWidth="1"/>
    <col min="7" max="9" width="15.7109375" style="263" customWidth="1"/>
    <col min="10" max="10" width="13.28515625" style="263" bestFit="1" customWidth="1"/>
    <col min="11" max="11" width="14" style="263" bestFit="1" customWidth="1"/>
    <col min="12" max="12" width="14.85546875" style="263" bestFit="1" customWidth="1"/>
    <col min="13" max="14" width="14.85546875" style="263" customWidth="1"/>
    <col min="15" max="15" width="15.28515625" style="263" customWidth="1"/>
    <col min="16" max="16384" width="9.140625" style="263"/>
  </cols>
  <sheetData>
    <row r="1" spans="1:15">
      <c r="A1" s="676"/>
      <c r="B1" s="676"/>
      <c r="C1" s="676"/>
      <c r="D1" s="676"/>
      <c r="E1" s="676"/>
      <c r="F1" s="676"/>
      <c r="G1" s="676"/>
    </row>
    <row r="2" spans="1:15">
      <c r="A2" s="673" t="s">
        <v>39</v>
      </c>
      <c r="B2" s="673"/>
      <c r="C2" s="673"/>
      <c r="D2" s="673"/>
      <c r="E2" s="673"/>
      <c r="F2" s="673"/>
      <c r="G2" s="673"/>
      <c r="H2" s="673"/>
      <c r="I2" s="673"/>
      <c r="J2" s="673"/>
      <c r="K2" s="511"/>
      <c r="L2" s="511"/>
      <c r="M2" s="511"/>
      <c r="N2" s="511"/>
      <c r="O2" s="511"/>
    </row>
    <row r="3" spans="1:15">
      <c r="A3" s="673" t="s">
        <v>367</v>
      </c>
      <c r="B3" s="673"/>
      <c r="C3" s="673"/>
      <c r="D3" s="673"/>
      <c r="E3" s="673"/>
      <c r="F3" s="673"/>
      <c r="G3" s="673"/>
      <c r="H3" s="673"/>
      <c r="I3" s="673"/>
      <c r="J3" s="673"/>
      <c r="K3" s="511"/>
      <c r="L3" s="511"/>
      <c r="M3" s="511"/>
      <c r="N3" s="511"/>
      <c r="O3" s="511"/>
    </row>
    <row r="4" spans="1:15">
      <c r="A4" s="677" t="s">
        <v>1062</v>
      </c>
      <c r="B4" s="677"/>
      <c r="C4" s="677"/>
      <c r="D4" s="677"/>
      <c r="E4" s="677"/>
      <c r="F4" s="677"/>
      <c r="G4" s="677"/>
      <c r="H4" s="677"/>
      <c r="I4" s="677"/>
      <c r="J4" s="677"/>
      <c r="K4" s="511"/>
      <c r="L4" s="511"/>
      <c r="M4" s="511"/>
      <c r="N4" s="511"/>
      <c r="O4" s="511"/>
    </row>
    <row r="5" spans="1:15">
      <c r="C5" s="616"/>
      <c r="D5" s="616"/>
      <c r="E5" s="616"/>
      <c r="F5" s="616"/>
      <c r="G5" s="616"/>
      <c r="H5" s="616"/>
    </row>
    <row r="6" spans="1:15">
      <c r="C6" s="673"/>
      <c r="D6" s="673"/>
      <c r="E6" s="673"/>
      <c r="F6" s="673"/>
      <c r="G6" s="673"/>
      <c r="H6" s="616"/>
    </row>
    <row r="7" spans="1:15">
      <c r="C7" s="673"/>
      <c r="D7" s="673"/>
      <c r="E7" s="673"/>
      <c r="F7" s="673"/>
      <c r="G7" s="673"/>
      <c r="H7" s="616"/>
    </row>
    <row r="8" spans="1:15">
      <c r="A8" s="264">
        <v>1</v>
      </c>
      <c r="B8" s="265" t="s">
        <v>841</v>
      </c>
      <c r="C8" s="265"/>
      <c r="H8" s="616"/>
      <c r="I8" s="616"/>
      <c r="J8" s="616"/>
      <c r="K8" s="616"/>
      <c r="L8" s="616"/>
      <c r="M8" s="616"/>
      <c r="N8" s="616"/>
      <c r="O8" s="616"/>
    </row>
    <row r="9" spans="1:15">
      <c r="A9" s="264">
        <f t="shared" ref="A9:A57" si="0">A8+1</f>
        <v>2</v>
      </c>
      <c r="C9" s="616"/>
      <c r="D9" s="267"/>
      <c r="E9" s="616"/>
      <c r="F9" s="616"/>
      <c r="G9" s="268" t="s">
        <v>1173</v>
      </c>
      <c r="H9" s="268" t="s">
        <v>1174</v>
      </c>
      <c r="I9" s="268" t="s">
        <v>537</v>
      </c>
      <c r="J9" s="616"/>
      <c r="K9" s="616"/>
      <c r="L9" s="616"/>
    </row>
    <row r="10" spans="1:15" ht="45" customHeight="1">
      <c r="A10" s="264">
        <f t="shared" si="0"/>
        <v>3</v>
      </c>
      <c r="C10" s="269" t="s">
        <v>40</v>
      </c>
      <c r="D10" s="270" t="s">
        <v>41</v>
      </c>
      <c r="E10" s="269" t="s">
        <v>42</v>
      </c>
      <c r="F10" s="271" t="s">
        <v>1065</v>
      </c>
      <c r="G10" s="272" t="s">
        <v>1015</v>
      </c>
      <c r="H10" s="272" t="s">
        <v>1015</v>
      </c>
      <c r="I10" s="272" t="s">
        <v>160</v>
      </c>
      <c r="J10" s="512"/>
      <c r="K10" s="512"/>
      <c r="L10" s="512"/>
    </row>
    <row r="11" spans="1:15" ht="12.75" customHeight="1">
      <c r="A11" s="391">
        <f>A10+1</f>
        <v>4</v>
      </c>
      <c r="C11" s="508"/>
      <c r="D11" s="393"/>
      <c r="E11" s="394"/>
      <c r="F11" s="395"/>
      <c r="G11" s="395">
        <f>($F11 *0.019)</f>
        <v>0</v>
      </c>
      <c r="H11" s="395">
        <f>($F11 *0.019)</f>
        <v>0</v>
      </c>
      <c r="I11" s="396">
        <f t="shared" ref="I11:I20" si="1">SUM(G11:H11)</f>
        <v>0</v>
      </c>
      <c r="J11" s="395"/>
      <c r="K11" s="395"/>
      <c r="L11" s="395"/>
    </row>
    <row r="12" spans="1:15" ht="12.75" customHeight="1">
      <c r="A12" s="391">
        <f t="shared" ref="A12:A33" si="2">A11+1</f>
        <v>5</v>
      </c>
      <c r="C12" s="508"/>
      <c r="D12" s="393"/>
      <c r="E12" s="394"/>
      <c r="F12" s="395"/>
      <c r="G12" s="395">
        <f>($F12 *0.017)</f>
        <v>0</v>
      </c>
      <c r="H12" s="395">
        <f>($F12 *0.017)</f>
        <v>0</v>
      </c>
      <c r="I12" s="396">
        <f t="shared" si="1"/>
        <v>0</v>
      </c>
      <c r="J12" s="395"/>
      <c r="K12" s="395"/>
      <c r="L12" s="395"/>
    </row>
    <row r="13" spans="1:15" ht="12.75" customHeight="1">
      <c r="A13" s="391">
        <f t="shared" si="2"/>
        <v>6</v>
      </c>
      <c r="C13" s="508"/>
      <c r="D13" s="393"/>
      <c r="E13" s="394"/>
      <c r="F13" s="395"/>
      <c r="G13" s="395">
        <f>($F13 *0.0277)</f>
        <v>0</v>
      </c>
      <c r="H13" s="395">
        <f>($F13 *0.0277)</f>
        <v>0</v>
      </c>
      <c r="I13" s="396">
        <f t="shared" si="1"/>
        <v>0</v>
      </c>
      <c r="J13" s="395"/>
      <c r="K13" s="395"/>
      <c r="L13" s="395"/>
    </row>
    <row r="14" spans="1:15" ht="12.75" customHeight="1">
      <c r="A14" s="391">
        <f t="shared" si="2"/>
        <v>7</v>
      </c>
      <c r="C14" s="508"/>
      <c r="D14" s="393"/>
      <c r="E14" s="394"/>
      <c r="F14" s="395"/>
      <c r="G14" s="395">
        <f>($F14 *0.0225)</f>
        <v>0</v>
      </c>
      <c r="H14" s="395">
        <f>($F14 *0.0225)</f>
        <v>0</v>
      </c>
      <c r="I14" s="396">
        <f t="shared" si="1"/>
        <v>0</v>
      </c>
      <c r="J14" s="395"/>
      <c r="K14" s="395"/>
      <c r="L14" s="395"/>
    </row>
    <row r="15" spans="1:15" ht="12.75" customHeight="1">
      <c r="A15" s="391">
        <f t="shared" si="2"/>
        <v>8</v>
      </c>
      <c r="C15" s="508"/>
      <c r="D15" s="393"/>
      <c r="E15" s="394"/>
      <c r="F15" s="395"/>
      <c r="G15" s="395">
        <f>($F15 *0.0308)</f>
        <v>0</v>
      </c>
      <c r="H15" s="395">
        <f>($F15 *0.0308)</f>
        <v>0</v>
      </c>
      <c r="I15" s="396">
        <f t="shared" si="1"/>
        <v>0</v>
      </c>
      <c r="J15" s="395"/>
      <c r="K15" s="395"/>
      <c r="L15" s="395"/>
    </row>
    <row r="16" spans="1:15" ht="12.75" customHeight="1">
      <c r="A16" s="391">
        <f t="shared" si="2"/>
        <v>9</v>
      </c>
      <c r="C16" s="508"/>
      <c r="D16" s="393"/>
      <c r="E16" s="394"/>
      <c r="F16" s="395"/>
      <c r="G16" s="395">
        <f>($F16 *0.0298)</f>
        <v>0</v>
      </c>
      <c r="H16" s="395">
        <f>($F16 *0.0298)</f>
        <v>0</v>
      </c>
      <c r="I16" s="396">
        <f t="shared" si="1"/>
        <v>0</v>
      </c>
      <c r="J16" s="395"/>
      <c r="K16" s="395"/>
      <c r="L16" s="395"/>
    </row>
    <row r="17" spans="1:14" ht="12.75" customHeight="1">
      <c r="A17" s="391">
        <f t="shared" si="2"/>
        <v>10</v>
      </c>
      <c r="C17" s="508"/>
      <c r="D17" s="393"/>
      <c r="E17" s="394"/>
      <c r="F17" s="395"/>
      <c r="G17" s="395">
        <f>($F17 *0.0195)</f>
        <v>0</v>
      </c>
      <c r="H17" s="395">
        <f>($F17 *0.0195)</f>
        <v>0</v>
      </c>
      <c r="I17" s="396">
        <f t="shared" si="1"/>
        <v>0</v>
      </c>
      <c r="J17" s="395"/>
      <c r="K17" s="395"/>
      <c r="L17" s="395"/>
    </row>
    <row r="18" spans="1:14" ht="12.75" customHeight="1">
      <c r="A18" s="391">
        <f t="shared" si="2"/>
        <v>11</v>
      </c>
      <c r="C18" s="508"/>
      <c r="D18" s="393"/>
      <c r="E18" s="394"/>
      <c r="F18" s="395"/>
      <c r="G18" s="395">
        <f>($F18 *0.0226)</f>
        <v>0</v>
      </c>
      <c r="H18" s="395">
        <f>($F18 *0.0226)</f>
        <v>0</v>
      </c>
      <c r="I18" s="396">
        <f t="shared" si="1"/>
        <v>0</v>
      </c>
      <c r="J18" s="395"/>
      <c r="K18" s="395"/>
      <c r="L18" s="395"/>
    </row>
    <row r="19" spans="1:14" ht="12.75" customHeight="1">
      <c r="A19" s="391">
        <f t="shared" si="2"/>
        <v>12</v>
      </c>
      <c r="C19" s="508"/>
      <c r="D19" s="393"/>
      <c r="E19" s="394"/>
      <c r="F19" s="395"/>
      <c r="G19" s="395">
        <f>($F19 *0.0258)</f>
        <v>0</v>
      </c>
      <c r="H19" s="395">
        <f>($F19 *0.0258)</f>
        <v>0</v>
      </c>
      <c r="I19" s="396">
        <f t="shared" si="1"/>
        <v>0</v>
      </c>
      <c r="J19" s="395"/>
      <c r="K19" s="395"/>
      <c r="L19" s="395"/>
    </row>
    <row r="20" spans="1:14" ht="12.75" customHeight="1">
      <c r="A20" s="391">
        <f t="shared" si="2"/>
        <v>13</v>
      </c>
      <c r="C20" s="508"/>
      <c r="D20" s="392"/>
      <c r="E20" s="394"/>
      <c r="F20" s="397"/>
      <c r="G20" s="397">
        <f>($F20 *0.079)</f>
        <v>0</v>
      </c>
      <c r="H20" s="397">
        <f>($F20 *0.079)</f>
        <v>0</v>
      </c>
      <c r="I20" s="399">
        <f t="shared" si="1"/>
        <v>0</v>
      </c>
      <c r="J20" s="395"/>
      <c r="K20" s="395"/>
      <c r="L20" s="395"/>
    </row>
    <row r="21" spans="1:14">
      <c r="A21" s="391">
        <f t="shared" si="2"/>
        <v>14</v>
      </c>
      <c r="C21" s="275" t="s">
        <v>537</v>
      </c>
      <c r="D21" s="273"/>
      <c r="E21" s="274"/>
      <c r="F21" s="398">
        <f>SUM(F11:F20)</f>
        <v>0</v>
      </c>
      <c r="G21" s="398">
        <f>SUM(G11:G20)</f>
        <v>0</v>
      </c>
      <c r="H21" s="398">
        <f>SUM(H11:H20)</f>
        <v>0</v>
      </c>
      <c r="I21" s="398">
        <f>SUM(I11:I20)</f>
        <v>0</v>
      </c>
      <c r="J21" s="396"/>
      <c r="K21" s="396"/>
      <c r="L21" s="396"/>
    </row>
    <row r="22" spans="1:14">
      <c r="A22" s="391">
        <f t="shared" si="2"/>
        <v>15</v>
      </c>
      <c r="C22" s="186"/>
      <c r="D22" s="273"/>
      <c r="E22" s="274"/>
      <c r="F22" s="276"/>
      <c r="G22" s="277"/>
      <c r="H22" s="277"/>
      <c r="I22" s="277"/>
    </row>
    <row r="23" spans="1:14">
      <c r="A23" s="391">
        <f t="shared" si="2"/>
        <v>16</v>
      </c>
      <c r="C23" s="186"/>
      <c r="D23" s="273"/>
      <c r="E23" s="274"/>
      <c r="F23" s="276"/>
      <c r="G23" s="277"/>
      <c r="H23" s="277"/>
      <c r="I23" s="277"/>
    </row>
    <row r="24" spans="1:14">
      <c r="A24" s="391">
        <f t="shared" si="2"/>
        <v>17</v>
      </c>
      <c r="B24" s="265" t="s">
        <v>839</v>
      </c>
      <c r="C24" s="186"/>
      <c r="D24" s="273"/>
      <c r="E24" s="274"/>
      <c r="F24" s="276"/>
      <c r="G24" s="277"/>
      <c r="H24" s="277"/>
      <c r="I24" s="277"/>
    </row>
    <row r="25" spans="1:14">
      <c r="A25" s="391">
        <f t="shared" si="2"/>
        <v>18</v>
      </c>
      <c r="C25" s="186"/>
      <c r="D25" s="273"/>
      <c r="E25" s="274"/>
      <c r="F25" s="276"/>
      <c r="G25" s="277"/>
      <c r="H25" s="277"/>
      <c r="I25" s="277"/>
      <c r="J25" s="278"/>
      <c r="K25" s="278"/>
      <c r="L25" s="278"/>
      <c r="M25" s="278"/>
      <c r="N25" s="278"/>
    </row>
    <row r="26" spans="1:14" ht="38.25">
      <c r="A26" s="391">
        <f t="shared" si="2"/>
        <v>19</v>
      </c>
      <c r="C26" s="186"/>
      <c r="D26" s="273"/>
      <c r="E26" s="279" t="s">
        <v>43</v>
      </c>
      <c r="F26" s="280" t="s">
        <v>838</v>
      </c>
      <c r="G26" s="280" t="s">
        <v>160</v>
      </c>
      <c r="H26" s="280" t="s">
        <v>837</v>
      </c>
      <c r="I26" s="277"/>
      <c r="J26" s="278"/>
      <c r="K26" s="278"/>
      <c r="L26" s="278"/>
      <c r="M26" s="278"/>
      <c r="N26" s="278"/>
    </row>
    <row r="27" spans="1:14">
      <c r="A27" s="391">
        <f t="shared" si="2"/>
        <v>20</v>
      </c>
      <c r="C27" s="186"/>
      <c r="D27" s="273"/>
      <c r="E27" s="276"/>
      <c r="F27" s="471"/>
      <c r="G27" s="509"/>
      <c r="H27" s="471"/>
      <c r="I27" s="277"/>
      <c r="J27" s="278"/>
      <c r="K27" s="278"/>
      <c r="L27" s="278"/>
      <c r="M27" s="278"/>
      <c r="N27" s="278"/>
    </row>
    <row r="28" spans="1:14">
      <c r="A28" s="391">
        <f t="shared" si="2"/>
        <v>21</v>
      </c>
      <c r="C28" s="186" t="s">
        <v>537</v>
      </c>
      <c r="D28" s="273"/>
      <c r="E28" s="274"/>
      <c r="F28" s="281">
        <f>SUM(F27:F27)</f>
        <v>0</v>
      </c>
      <c r="G28" s="494">
        <f>SUM(G27:G27)</f>
        <v>0</v>
      </c>
      <c r="H28" s="472">
        <f>SUM(H27:H27)</f>
        <v>0</v>
      </c>
      <c r="I28" s="277"/>
      <c r="J28" s="278"/>
      <c r="K28" s="278"/>
      <c r="L28" s="278"/>
      <c r="M28" s="278"/>
      <c r="N28" s="278"/>
    </row>
    <row r="29" spans="1:14">
      <c r="A29" s="391">
        <f t="shared" si="2"/>
        <v>22</v>
      </c>
      <c r="C29" s="186"/>
      <c r="D29" s="273"/>
      <c r="E29" s="274"/>
      <c r="F29" s="282"/>
      <c r="G29" s="282"/>
      <c r="H29" s="283"/>
      <c r="I29" s="277"/>
      <c r="J29" s="278"/>
      <c r="K29" s="278"/>
      <c r="L29" s="278"/>
      <c r="M29" s="278"/>
      <c r="N29" s="278"/>
    </row>
    <row r="30" spans="1:14">
      <c r="A30" s="391">
        <f t="shared" si="2"/>
        <v>23</v>
      </c>
      <c r="C30" s="186"/>
      <c r="D30" s="273"/>
      <c r="E30" s="274"/>
      <c r="F30" s="282"/>
      <c r="G30" s="282"/>
      <c r="H30" s="283"/>
      <c r="I30" s="277"/>
      <c r="J30" s="278"/>
      <c r="K30" s="278"/>
      <c r="L30" s="278"/>
      <c r="M30" s="278"/>
      <c r="N30" s="278"/>
    </row>
    <row r="31" spans="1:14">
      <c r="A31" s="391">
        <f t="shared" si="2"/>
        <v>24</v>
      </c>
      <c r="C31" s="186"/>
      <c r="D31" s="273"/>
      <c r="E31" s="274"/>
      <c r="F31" s="276"/>
      <c r="G31" s="277"/>
      <c r="H31" s="277"/>
      <c r="I31" s="277"/>
      <c r="J31" s="278"/>
      <c r="K31" s="278"/>
      <c r="L31" s="278"/>
      <c r="M31" s="278"/>
      <c r="N31" s="278"/>
    </row>
    <row r="32" spans="1:14">
      <c r="A32" s="391">
        <f t="shared" si="2"/>
        <v>25</v>
      </c>
      <c r="B32" s="265" t="s">
        <v>511</v>
      </c>
      <c r="C32" s="186"/>
      <c r="D32" s="273"/>
      <c r="E32" s="274"/>
      <c r="F32" s="276"/>
      <c r="G32" s="277"/>
      <c r="H32" s="277"/>
      <c r="I32" s="277"/>
      <c r="J32" s="278"/>
      <c r="K32" s="278"/>
      <c r="L32" s="278"/>
      <c r="M32" s="278"/>
      <c r="N32" s="278"/>
    </row>
    <row r="33" spans="1:14">
      <c r="A33" s="391">
        <f t="shared" si="2"/>
        <v>26</v>
      </c>
      <c r="C33" s="186"/>
      <c r="D33" s="273"/>
      <c r="E33" s="274"/>
      <c r="F33" s="276"/>
      <c r="G33" s="277"/>
      <c r="H33" s="277"/>
      <c r="I33" s="277"/>
      <c r="J33" s="278"/>
      <c r="K33" s="278"/>
      <c r="L33" s="278"/>
      <c r="M33" s="278"/>
      <c r="N33" s="278"/>
    </row>
    <row r="34" spans="1:14" ht="13.5" thickBot="1">
      <c r="A34" s="391">
        <f t="shared" si="0"/>
        <v>27</v>
      </c>
      <c r="C34" s="284" t="s">
        <v>40</v>
      </c>
      <c r="D34" s="284" t="s">
        <v>43</v>
      </c>
      <c r="E34" s="285" t="s">
        <v>230</v>
      </c>
      <c r="F34" s="276"/>
      <c r="G34" s="277"/>
      <c r="H34" s="277"/>
      <c r="I34" s="277"/>
      <c r="J34" s="278"/>
      <c r="K34" s="278"/>
      <c r="L34" s="278"/>
      <c r="M34" s="278"/>
      <c r="N34" s="278"/>
    </row>
    <row r="35" spans="1:14">
      <c r="A35" s="391">
        <f t="shared" si="0"/>
        <v>28</v>
      </c>
      <c r="C35" s="186"/>
      <c r="D35" s="273"/>
      <c r="E35" s="510">
        <v>0</v>
      </c>
      <c r="F35" s="276"/>
      <c r="G35" s="277"/>
      <c r="H35" s="277"/>
      <c r="I35" s="277"/>
      <c r="J35" s="278"/>
      <c r="K35" s="278"/>
      <c r="L35" s="278"/>
      <c r="M35" s="278"/>
      <c r="N35" s="278"/>
    </row>
    <row r="36" spans="1:14">
      <c r="A36" s="391">
        <f t="shared" si="0"/>
        <v>29</v>
      </c>
      <c r="C36" s="186"/>
      <c r="D36" s="273"/>
      <c r="E36" s="274"/>
      <c r="F36" s="276"/>
      <c r="G36" s="277"/>
      <c r="H36" s="277"/>
      <c r="I36" s="277"/>
      <c r="J36" s="278"/>
      <c r="K36" s="278"/>
      <c r="L36" s="278"/>
      <c r="M36" s="278"/>
      <c r="N36" s="278"/>
    </row>
    <row r="37" spans="1:14">
      <c r="A37" s="391">
        <f t="shared" si="0"/>
        <v>30</v>
      </c>
      <c r="C37" s="286" t="s">
        <v>537</v>
      </c>
      <c r="D37" s="273"/>
      <c r="E37" s="287">
        <f>SUM(E35:E35)</f>
        <v>0</v>
      </c>
      <c r="F37" s="276"/>
      <c r="G37" s="277"/>
      <c r="H37" s="277"/>
      <c r="I37" s="277"/>
      <c r="J37" s="278"/>
      <c r="K37" s="278"/>
      <c r="L37" s="278"/>
      <c r="M37" s="278"/>
      <c r="N37" s="278"/>
    </row>
    <row r="38" spans="1:14">
      <c r="A38" s="391">
        <f t="shared" si="0"/>
        <v>31</v>
      </c>
      <c r="C38" s="286"/>
      <c r="D38" s="273"/>
      <c r="E38" s="288"/>
      <c r="F38" s="276"/>
      <c r="G38" s="277"/>
      <c r="H38" s="277"/>
      <c r="I38" s="277"/>
      <c r="J38" s="278"/>
      <c r="K38" s="278"/>
      <c r="L38" s="278"/>
      <c r="M38" s="278"/>
      <c r="N38" s="278"/>
    </row>
    <row r="39" spans="1:14">
      <c r="A39" s="391">
        <f t="shared" si="0"/>
        <v>32</v>
      </c>
      <c r="C39" s="286"/>
      <c r="D39" s="273"/>
      <c r="E39" s="288"/>
      <c r="F39" s="276"/>
      <c r="G39" s="277"/>
      <c r="H39" s="277"/>
      <c r="I39" s="277"/>
      <c r="J39" s="278"/>
      <c r="K39" s="278"/>
      <c r="L39" s="278"/>
      <c r="M39" s="278"/>
      <c r="N39" s="278"/>
    </row>
    <row r="40" spans="1:14">
      <c r="A40" s="391">
        <f t="shared" si="0"/>
        <v>33</v>
      </c>
      <c r="B40" s="265" t="s">
        <v>836</v>
      </c>
      <c r="C40" s="286"/>
      <c r="D40" s="273"/>
      <c r="E40" s="288"/>
      <c r="F40" s="276"/>
      <c r="G40" s="277"/>
      <c r="H40" s="277"/>
      <c r="I40" s="277"/>
      <c r="M40" s="278"/>
      <c r="N40" s="278"/>
    </row>
    <row r="41" spans="1:14">
      <c r="A41" s="391">
        <f t="shared" si="0"/>
        <v>34</v>
      </c>
      <c r="B41" s="265"/>
      <c r="C41" s="286"/>
      <c r="D41" s="273"/>
      <c r="E41" s="288"/>
      <c r="F41" s="276"/>
      <c r="G41" s="277"/>
      <c r="H41" s="277"/>
      <c r="I41" s="277"/>
      <c r="M41" s="278"/>
      <c r="N41" s="278"/>
    </row>
    <row r="42" spans="1:14">
      <c r="A42" s="391">
        <f t="shared" si="0"/>
        <v>35</v>
      </c>
      <c r="B42" s="265"/>
      <c r="C42" s="286"/>
      <c r="D42" s="273"/>
      <c r="E42" s="288"/>
      <c r="F42" s="276"/>
      <c r="G42" s="277"/>
      <c r="H42" s="277"/>
      <c r="I42" s="277"/>
      <c r="J42" s="278"/>
      <c r="K42" s="278"/>
      <c r="M42" s="290"/>
      <c r="N42" s="290"/>
    </row>
    <row r="43" spans="1:14">
      <c r="A43" s="391">
        <f t="shared" si="0"/>
        <v>36</v>
      </c>
      <c r="B43" s="265"/>
      <c r="C43" s="286"/>
      <c r="D43" s="273"/>
      <c r="E43" s="289">
        <f>H28+E37</f>
        <v>0</v>
      </c>
      <c r="F43" s="513" t="s">
        <v>27</v>
      </c>
      <c r="G43" s="277"/>
      <c r="H43" s="277"/>
      <c r="I43" s="277"/>
      <c r="J43" s="278"/>
      <c r="K43" s="278"/>
      <c r="L43" s="290"/>
      <c r="M43" s="290"/>
      <c r="N43" s="290"/>
    </row>
    <row r="44" spans="1:14">
      <c r="A44" s="391">
        <f t="shared" si="0"/>
        <v>37</v>
      </c>
      <c r="B44" s="265"/>
      <c r="C44" s="286"/>
      <c r="D44" s="273"/>
      <c r="E44" s="288"/>
      <c r="F44" s="276"/>
      <c r="G44" s="277"/>
      <c r="H44" s="277"/>
      <c r="I44" s="277"/>
      <c r="J44" s="278"/>
      <c r="K44" s="278"/>
      <c r="L44" s="290"/>
      <c r="M44" s="290"/>
      <c r="N44" s="290"/>
    </row>
    <row r="45" spans="1:14">
      <c r="A45" s="391">
        <f t="shared" si="0"/>
        <v>38</v>
      </c>
      <c r="C45" s="286"/>
      <c r="D45" s="273"/>
      <c r="E45" s="288"/>
      <c r="F45" s="276"/>
      <c r="G45" s="277"/>
      <c r="H45" s="277"/>
      <c r="I45" s="277"/>
      <c r="J45" s="278"/>
      <c r="K45" s="278"/>
      <c r="L45" s="278"/>
      <c r="M45" s="278"/>
      <c r="N45" s="278"/>
    </row>
    <row r="46" spans="1:14">
      <c r="A46" s="391">
        <f t="shared" si="0"/>
        <v>39</v>
      </c>
      <c r="B46" s="265" t="s">
        <v>1105</v>
      </c>
      <c r="C46" s="186"/>
      <c r="D46" s="273"/>
      <c r="E46" s="274"/>
      <c r="F46" s="276"/>
      <c r="G46" s="288"/>
      <c r="H46" s="277"/>
      <c r="I46" s="277"/>
      <c r="J46" s="278"/>
      <c r="K46" s="278"/>
      <c r="L46" s="278"/>
      <c r="M46" s="278"/>
      <c r="N46" s="278"/>
    </row>
    <row r="47" spans="1:14">
      <c r="A47" s="391">
        <f t="shared" si="0"/>
        <v>40</v>
      </c>
      <c r="C47" s="186"/>
      <c r="D47" s="273"/>
      <c r="E47" s="274"/>
      <c r="F47" s="276"/>
      <c r="G47" s="277"/>
      <c r="H47" s="277"/>
      <c r="I47" s="277"/>
      <c r="J47" s="278"/>
      <c r="K47" s="278"/>
      <c r="L47" s="278"/>
      <c r="M47" s="278"/>
      <c r="N47" s="278"/>
    </row>
    <row r="48" spans="1:14" ht="13.5" thickBot="1">
      <c r="A48" s="391">
        <f t="shared" si="0"/>
        <v>41</v>
      </c>
      <c r="C48" s="284" t="s">
        <v>40</v>
      </c>
      <c r="D48" s="284" t="s">
        <v>43</v>
      </c>
      <c r="E48" s="285" t="s">
        <v>230</v>
      </c>
      <c r="F48" s="276"/>
      <c r="G48" s="277"/>
      <c r="H48" s="277"/>
      <c r="I48" s="277"/>
      <c r="J48" s="278"/>
      <c r="K48" s="278"/>
      <c r="L48" s="278"/>
      <c r="M48" s="278"/>
      <c r="N48" s="278"/>
    </row>
    <row r="49" spans="1:14">
      <c r="A49" s="391">
        <f t="shared" si="0"/>
        <v>42</v>
      </c>
      <c r="C49" s="186"/>
      <c r="D49" s="273"/>
      <c r="E49" s="414"/>
      <c r="F49" s="276"/>
      <c r="G49" s="277"/>
      <c r="H49" s="277"/>
      <c r="I49" s="277"/>
      <c r="J49" s="278"/>
      <c r="K49" s="278"/>
      <c r="L49" s="278"/>
      <c r="M49" s="278"/>
      <c r="N49" s="278"/>
    </row>
    <row r="50" spans="1:14">
      <c r="A50" s="391">
        <f t="shared" si="0"/>
        <v>43</v>
      </c>
      <c r="C50" s="186"/>
      <c r="D50" s="273"/>
      <c r="E50" s="414"/>
      <c r="F50" s="276"/>
      <c r="G50" s="277"/>
      <c r="H50" s="277"/>
      <c r="I50" s="277"/>
      <c r="J50" s="278"/>
      <c r="K50" s="278"/>
      <c r="L50" s="278"/>
      <c r="M50" s="278"/>
      <c r="N50" s="278"/>
    </row>
    <row r="51" spans="1:14">
      <c r="A51" s="391">
        <f t="shared" si="0"/>
        <v>44</v>
      </c>
      <c r="C51" s="186"/>
      <c r="D51" s="273"/>
      <c r="E51" s="157"/>
      <c r="F51" s="276"/>
      <c r="G51" s="277"/>
      <c r="H51" s="277"/>
      <c r="I51" s="277"/>
      <c r="J51" s="278"/>
      <c r="K51" s="278"/>
      <c r="L51" s="278"/>
      <c r="M51" s="278"/>
      <c r="N51" s="278"/>
    </row>
    <row r="52" spans="1:14">
      <c r="A52" s="391">
        <f t="shared" si="0"/>
        <v>45</v>
      </c>
      <c r="C52" s="286" t="s">
        <v>537</v>
      </c>
      <c r="D52" s="273"/>
      <c r="E52" s="291">
        <f>SUM(E49:E50)</f>
        <v>0</v>
      </c>
      <c r="F52" s="276"/>
      <c r="G52" s="277"/>
      <c r="H52" s="277"/>
      <c r="I52" s="277"/>
      <c r="J52" s="278"/>
      <c r="K52" s="278"/>
      <c r="L52" s="278"/>
      <c r="M52" s="278"/>
      <c r="N52" s="278"/>
    </row>
    <row r="53" spans="1:14">
      <c r="A53" s="391">
        <f t="shared" si="0"/>
        <v>46</v>
      </c>
      <c r="C53" s="186"/>
      <c r="D53" s="273"/>
      <c r="E53" s="274"/>
      <c r="F53" s="276"/>
      <c r="G53" s="277"/>
      <c r="H53" s="277"/>
      <c r="I53" s="277"/>
      <c r="J53" s="278"/>
      <c r="K53" s="278"/>
      <c r="L53" s="278"/>
      <c r="M53" s="278"/>
      <c r="N53" s="278"/>
    </row>
    <row r="54" spans="1:14">
      <c r="A54" s="391">
        <f t="shared" si="0"/>
        <v>47</v>
      </c>
      <c r="C54" s="286" t="s">
        <v>537</v>
      </c>
      <c r="D54" s="273"/>
      <c r="E54" s="291">
        <f>SUM(E37,E52)</f>
        <v>0</v>
      </c>
      <c r="F54" s="292" t="s">
        <v>28</v>
      </c>
      <c r="G54" s="277"/>
      <c r="H54" s="277"/>
      <c r="I54" s="277"/>
      <c r="J54" s="278"/>
      <c r="K54" s="278"/>
      <c r="L54" s="278"/>
      <c r="M54" s="278"/>
      <c r="N54" s="278"/>
    </row>
    <row r="55" spans="1:14">
      <c r="A55" s="391">
        <f t="shared" si="0"/>
        <v>48</v>
      </c>
      <c r="C55" s="286"/>
      <c r="D55" s="273"/>
      <c r="E55" s="293"/>
      <c r="F55" s="276"/>
      <c r="G55" s="277"/>
      <c r="H55" s="277"/>
      <c r="I55" s="277"/>
      <c r="J55" s="278"/>
      <c r="K55" s="278"/>
      <c r="L55" s="278"/>
      <c r="M55" s="278"/>
      <c r="N55" s="278"/>
    </row>
    <row r="56" spans="1:14">
      <c r="A56" s="391">
        <f t="shared" si="0"/>
        <v>49</v>
      </c>
      <c r="C56" s="286"/>
      <c r="D56" s="273"/>
      <c r="E56" s="293"/>
      <c r="F56" s="276"/>
      <c r="G56" s="277"/>
      <c r="H56" s="277"/>
      <c r="I56" s="277"/>
      <c r="J56" s="278"/>
      <c r="K56" s="278"/>
      <c r="L56" s="278"/>
      <c r="M56" s="278"/>
      <c r="N56" s="278"/>
    </row>
    <row r="57" spans="1:14" ht="28.5" customHeight="1">
      <c r="A57" s="391">
        <f t="shared" si="0"/>
        <v>50</v>
      </c>
      <c r="C57" s="675" t="s">
        <v>1106</v>
      </c>
      <c r="D57" s="675"/>
      <c r="E57" s="675"/>
      <c r="F57" s="675"/>
      <c r="G57" s="675"/>
      <c r="H57" s="675"/>
      <c r="I57" s="675"/>
      <c r="J57" s="278"/>
      <c r="K57" s="278"/>
      <c r="L57" s="278"/>
      <c r="M57" s="278"/>
      <c r="N57" s="278"/>
    </row>
    <row r="58" spans="1:14">
      <c r="A58" s="391"/>
      <c r="C58" s="186"/>
      <c r="D58" s="273"/>
      <c r="E58" s="274"/>
      <c r="F58" s="276"/>
      <c r="G58" s="277"/>
      <c r="H58" s="277"/>
      <c r="I58" s="277"/>
      <c r="J58" s="278"/>
      <c r="K58" s="278"/>
      <c r="L58" s="278"/>
      <c r="M58" s="278"/>
      <c r="N58" s="278"/>
    </row>
    <row r="59" spans="1:14">
      <c r="C59" s="186"/>
      <c r="D59" s="274"/>
      <c r="E59" s="274"/>
      <c r="F59" s="276"/>
      <c r="G59" s="277"/>
      <c r="H59" s="277"/>
      <c r="I59" s="277"/>
      <c r="J59" s="278"/>
      <c r="K59" s="278"/>
      <c r="L59" s="278"/>
      <c r="M59" s="278"/>
      <c r="N59" s="278"/>
    </row>
    <row r="60" spans="1:14">
      <c r="C60" s="294"/>
      <c r="D60" s="274"/>
      <c r="E60" s="274"/>
      <c r="F60" s="276"/>
      <c r="G60" s="277"/>
      <c r="H60" s="277"/>
      <c r="I60" s="277"/>
      <c r="J60" s="278"/>
      <c r="K60" s="278"/>
      <c r="L60" s="278"/>
      <c r="M60" s="278"/>
      <c r="N60" s="278"/>
    </row>
    <row r="61" spans="1:14">
      <c r="C61" s="186"/>
      <c r="D61" s="274"/>
      <c r="E61" s="274"/>
      <c r="F61" s="276"/>
      <c r="G61" s="277"/>
      <c r="H61" s="277"/>
      <c r="I61" s="277"/>
      <c r="J61" s="278"/>
      <c r="K61" s="278"/>
      <c r="L61" s="278"/>
      <c r="M61" s="278"/>
      <c r="N61" s="278"/>
    </row>
    <row r="62" spans="1:14">
      <c r="C62" s="186"/>
      <c r="D62" s="274"/>
      <c r="E62" s="274"/>
      <c r="F62" s="276"/>
      <c r="G62" s="277"/>
      <c r="H62" s="277"/>
      <c r="I62" s="277"/>
      <c r="J62" s="278"/>
      <c r="K62" s="278"/>
      <c r="L62" s="278"/>
      <c r="M62" s="278"/>
      <c r="N62" s="278"/>
    </row>
    <row r="63" spans="1:14">
      <c r="C63" s="186"/>
      <c r="D63" s="274"/>
      <c r="E63" s="274"/>
      <c r="F63" s="276"/>
      <c r="G63" s="277"/>
      <c r="H63" s="277"/>
      <c r="I63" s="277"/>
      <c r="J63" s="278"/>
      <c r="K63" s="278"/>
      <c r="L63" s="278"/>
      <c r="M63" s="278"/>
      <c r="N63" s="278"/>
    </row>
    <row r="64" spans="1:14">
      <c r="C64" s="186"/>
      <c r="D64" s="274"/>
      <c r="E64" s="274"/>
      <c r="F64" s="276"/>
      <c r="G64" s="277"/>
      <c r="H64" s="277"/>
      <c r="I64" s="277"/>
      <c r="J64" s="278"/>
      <c r="K64" s="278"/>
      <c r="L64" s="278"/>
      <c r="M64" s="278"/>
      <c r="N64" s="278"/>
    </row>
    <row r="65" spans="1:14">
      <c r="C65" s="186"/>
      <c r="D65" s="274"/>
      <c r="E65" s="274"/>
      <c r="F65" s="276"/>
      <c r="G65" s="277"/>
      <c r="H65" s="277"/>
      <c r="I65" s="277"/>
      <c r="J65" s="278"/>
      <c r="K65" s="278"/>
      <c r="L65" s="278"/>
      <c r="M65" s="278"/>
      <c r="N65" s="278"/>
    </row>
    <row r="66" spans="1:14">
      <c r="C66" s="186"/>
      <c r="D66" s="274"/>
      <c r="E66" s="274"/>
      <c r="F66" s="276"/>
      <c r="G66" s="277"/>
      <c r="H66" s="277"/>
      <c r="I66" s="277"/>
      <c r="J66" s="278"/>
      <c r="K66" s="278"/>
      <c r="L66" s="278"/>
      <c r="M66" s="278"/>
      <c r="N66" s="278"/>
    </row>
    <row r="67" spans="1:14">
      <c r="C67" s="186"/>
      <c r="D67" s="274"/>
      <c r="E67" s="274"/>
      <c r="F67" s="276"/>
      <c r="G67" s="277"/>
      <c r="H67" s="277"/>
      <c r="I67" s="277"/>
      <c r="J67" s="278"/>
      <c r="K67" s="278"/>
      <c r="L67" s="278"/>
      <c r="M67" s="278"/>
      <c r="N67" s="278"/>
    </row>
    <row r="68" spans="1:14">
      <c r="C68" s="186"/>
      <c r="D68" s="274"/>
      <c r="E68" s="274"/>
      <c r="F68" s="276"/>
      <c r="G68" s="277"/>
      <c r="H68" s="277"/>
      <c r="I68" s="277"/>
      <c r="J68" s="278"/>
      <c r="K68" s="278"/>
      <c r="L68" s="278"/>
      <c r="M68" s="278"/>
      <c r="N68" s="278"/>
    </row>
    <row r="69" spans="1:14">
      <c r="C69" s="186"/>
      <c r="D69" s="274"/>
      <c r="E69" s="274"/>
      <c r="F69" s="276"/>
      <c r="G69" s="277"/>
      <c r="H69" s="277"/>
      <c r="I69" s="277"/>
      <c r="J69" s="278"/>
      <c r="K69" s="278"/>
      <c r="L69" s="278"/>
      <c r="M69" s="278"/>
      <c r="N69" s="278"/>
    </row>
    <row r="70" spans="1:14">
      <c r="C70" s="186"/>
      <c r="D70" s="274"/>
      <c r="E70" s="274"/>
      <c r="F70" s="276"/>
      <c r="G70" s="277"/>
      <c r="H70" s="277"/>
      <c r="I70" s="277"/>
      <c r="J70" s="278"/>
      <c r="K70" s="278"/>
      <c r="L70" s="278"/>
      <c r="M70" s="278"/>
      <c r="N70" s="278"/>
    </row>
    <row r="71" spans="1:14">
      <c r="C71" s="186"/>
      <c r="D71" s="274"/>
      <c r="E71" s="274"/>
      <c r="F71" s="276"/>
      <c r="G71" s="277"/>
      <c r="H71" s="277"/>
      <c r="I71" s="277"/>
      <c r="J71" s="278"/>
      <c r="K71" s="278"/>
      <c r="L71" s="278"/>
      <c r="M71" s="278"/>
      <c r="N71" s="278"/>
    </row>
    <row r="72" spans="1:14">
      <c r="C72" s="186"/>
      <c r="D72" s="274"/>
      <c r="E72" s="274"/>
      <c r="F72" s="276"/>
      <c r="G72" s="277"/>
      <c r="H72" s="277"/>
      <c r="I72" s="277"/>
      <c r="J72" s="278"/>
      <c r="K72" s="278"/>
      <c r="L72" s="278"/>
      <c r="M72" s="278"/>
      <c r="N72" s="278"/>
    </row>
    <row r="73" spans="1:14">
      <c r="D73" s="274"/>
      <c r="E73" s="274"/>
      <c r="F73" s="276"/>
      <c r="G73" s="277"/>
      <c r="H73" s="277"/>
      <c r="I73" s="277"/>
      <c r="J73" s="278"/>
      <c r="K73" s="278"/>
      <c r="L73" s="278"/>
      <c r="M73" s="278"/>
      <c r="N73" s="278"/>
    </row>
    <row r="74" spans="1:14">
      <c r="C74" s="186"/>
      <c r="D74" s="274"/>
      <c r="E74" s="274"/>
      <c r="F74" s="276"/>
      <c r="G74" s="277"/>
      <c r="H74" s="277"/>
      <c r="I74" s="277"/>
      <c r="J74" s="278"/>
      <c r="K74" s="278"/>
      <c r="L74" s="278"/>
      <c r="M74" s="278"/>
      <c r="N74" s="278"/>
    </row>
    <row r="75" spans="1:14">
      <c r="C75" s="186"/>
      <c r="D75" s="274"/>
      <c r="E75" s="274"/>
      <c r="F75" s="276"/>
      <c r="G75" s="277"/>
      <c r="H75" s="277"/>
      <c r="I75" s="277"/>
      <c r="J75" s="278"/>
      <c r="K75" s="278"/>
      <c r="L75" s="278"/>
      <c r="M75" s="278"/>
      <c r="N75" s="278"/>
    </row>
    <row r="76" spans="1:14">
      <c r="A76" s="263"/>
      <c r="C76" s="186"/>
      <c r="D76" s="274"/>
      <c r="E76" s="274"/>
      <c r="F76" s="276"/>
      <c r="G76" s="277"/>
      <c r="H76" s="277"/>
      <c r="I76" s="277"/>
      <c r="J76" s="278"/>
      <c r="K76" s="278"/>
      <c r="L76" s="278"/>
      <c r="M76" s="278"/>
      <c r="N76" s="278"/>
    </row>
    <row r="77" spans="1:14">
      <c r="A77" s="263"/>
      <c r="C77" s="186"/>
      <c r="D77" s="274"/>
      <c r="E77" s="274"/>
      <c r="F77" s="276"/>
      <c r="G77" s="277"/>
      <c r="H77" s="277"/>
      <c r="I77" s="277"/>
      <c r="J77" s="278"/>
      <c r="K77" s="278"/>
      <c r="L77" s="278"/>
      <c r="M77" s="278"/>
      <c r="N77" s="278"/>
    </row>
    <row r="78" spans="1:14">
      <c r="A78" s="263"/>
      <c r="C78" s="186"/>
      <c r="D78" s="274"/>
      <c r="E78" s="274"/>
      <c r="F78" s="276"/>
      <c r="G78" s="277"/>
      <c r="H78" s="277"/>
      <c r="I78" s="277"/>
      <c r="J78" s="278"/>
      <c r="K78" s="278"/>
      <c r="L78" s="278"/>
      <c r="M78" s="278"/>
      <c r="N78" s="278"/>
    </row>
    <row r="79" spans="1:14">
      <c r="A79" s="263"/>
      <c r="C79" s="186"/>
      <c r="D79" s="274"/>
      <c r="E79" s="274"/>
      <c r="F79" s="276"/>
      <c r="G79" s="277"/>
      <c r="H79" s="277"/>
      <c r="I79" s="277"/>
      <c r="J79" s="278"/>
      <c r="K79" s="278"/>
      <c r="L79" s="278"/>
      <c r="M79" s="278"/>
      <c r="N79" s="278"/>
    </row>
    <row r="80" spans="1:14">
      <c r="A80" s="263"/>
      <c r="C80" s="186"/>
      <c r="D80" s="274"/>
      <c r="E80" s="274"/>
      <c r="F80" s="276"/>
      <c r="G80" s="277"/>
      <c r="H80" s="277"/>
      <c r="I80" s="277"/>
      <c r="J80" s="278"/>
      <c r="K80" s="278"/>
      <c r="L80" s="278"/>
      <c r="M80" s="278"/>
      <c r="N80" s="278"/>
    </row>
    <row r="81" spans="1:14">
      <c r="A81" s="263"/>
      <c r="C81" s="186"/>
      <c r="D81" s="274"/>
      <c r="E81" s="274"/>
      <c r="F81" s="276"/>
      <c r="G81" s="277"/>
      <c r="H81" s="277"/>
      <c r="I81" s="277"/>
      <c r="J81" s="278"/>
      <c r="K81" s="278"/>
      <c r="L81" s="278"/>
      <c r="M81" s="278"/>
      <c r="N81" s="278"/>
    </row>
    <row r="82" spans="1:14">
      <c r="A82" s="263"/>
      <c r="C82" s="186"/>
      <c r="D82" s="274"/>
      <c r="E82" s="274"/>
      <c r="F82" s="276"/>
      <c r="G82" s="277"/>
      <c r="H82" s="277"/>
      <c r="I82" s="277"/>
      <c r="J82" s="278"/>
      <c r="K82" s="278"/>
      <c r="L82" s="278"/>
      <c r="M82" s="278"/>
      <c r="N82" s="278"/>
    </row>
    <row r="83" spans="1:14">
      <c r="A83" s="263"/>
      <c r="C83" s="186"/>
      <c r="D83" s="274"/>
      <c r="E83" s="274"/>
      <c r="F83" s="276"/>
      <c r="G83" s="277"/>
      <c r="H83" s="277"/>
      <c r="I83" s="277"/>
      <c r="J83" s="278"/>
      <c r="K83" s="278"/>
      <c r="L83" s="278"/>
      <c r="M83" s="278"/>
      <c r="N83" s="278"/>
    </row>
    <row r="84" spans="1:14">
      <c r="A84" s="263"/>
      <c r="C84" s="186"/>
      <c r="D84" s="274"/>
      <c r="E84" s="274"/>
      <c r="F84" s="276"/>
      <c r="G84" s="277"/>
      <c r="H84" s="277"/>
      <c r="I84" s="277"/>
      <c r="J84" s="278"/>
      <c r="K84" s="278"/>
      <c r="L84" s="278"/>
      <c r="M84" s="278"/>
      <c r="N84" s="278"/>
    </row>
    <row r="85" spans="1:14">
      <c r="A85" s="263"/>
      <c r="C85" s="186"/>
      <c r="D85" s="273"/>
      <c r="E85" s="274"/>
      <c r="F85" s="276"/>
      <c r="G85" s="277"/>
      <c r="H85" s="277"/>
      <c r="I85" s="277"/>
      <c r="J85" s="278"/>
      <c r="K85" s="278"/>
      <c r="L85" s="278"/>
      <c r="M85" s="278"/>
      <c r="N85" s="278"/>
    </row>
    <row r="86" spans="1:14">
      <c r="A86" s="263"/>
      <c r="C86" s="186"/>
      <c r="D86" s="273"/>
      <c r="E86" s="274"/>
      <c r="F86" s="276"/>
      <c r="G86" s="277"/>
      <c r="H86" s="277"/>
      <c r="I86" s="277"/>
      <c r="J86" s="278"/>
      <c r="K86" s="278"/>
      <c r="L86" s="278"/>
      <c r="M86" s="278"/>
      <c r="N86" s="278"/>
    </row>
    <row r="87" spans="1:14">
      <c r="A87" s="263"/>
      <c r="C87" s="186"/>
      <c r="D87" s="273"/>
      <c r="E87" s="274"/>
      <c r="F87" s="276"/>
      <c r="G87" s="277"/>
      <c r="H87" s="277"/>
      <c r="I87" s="277"/>
      <c r="J87" s="278"/>
      <c r="K87" s="278"/>
      <c r="L87" s="278"/>
      <c r="M87" s="278"/>
      <c r="N87" s="278"/>
    </row>
    <row r="88" spans="1:14">
      <c r="A88" s="263"/>
      <c r="C88" s="186"/>
      <c r="D88" s="273"/>
      <c r="E88" s="274"/>
      <c r="F88" s="276"/>
      <c r="G88" s="277"/>
      <c r="H88" s="277"/>
      <c r="I88" s="277"/>
      <c r="J88" s="278"/>
      <c r="K88" s="278"/>
      <c r="L88" s="278"/>
      <c r="M88" s="278"/>
      <c r="N88" s="278"/>
    </row>
    <row r="89" spans="1:14">
      <c r="A89" s="263"/>
      <c r="C89" s="186"/>
      <c r="D89" s="273"/>
      <c r="E89" s="274"/>
      <c r="F89" s="276"/>
      <c r="G89" s="277"/>
      <c r="H89" s="277"/>
      <c r="I89" s="277"/>
      <c r="J89" s="278"/>
      <c r="K89" s="278"/>
      <c r="L89" s="278"/>
      <c r="M89" s="278"/>
      <c r="N89" s="278"/>
    </row>
    <row r="90" spans="1:14">
      <c r="A90" s="263"/>
      <c r="C90" s="186"/>
      <c r="D90" s="273"/>
      <c r="E90" s="274"/>
      <c r="F90" s="276"/>
      <c r="G90" s="277"/>
      <c r="H90" s="277"/>
      <c r="I90" s="277"/>
      <c r="J90" s="278"/>
      <c r="K90" s="278"/>
      <c r="L90" s="278"/>
      <c r="M90" s="278"/>
      <c r="N90" s="278"/>
    </row>
    <row r="91" spans="1:14">
      <c r="A91" s="263"/>
      <c r="C91" s="186"/>
      <c r="D91" s="273"/>
      <c r="E91" s="274"/>
      <c r="F91" s="276"/>
      <c r="G91" s="277"/>
      <c r="H91" s="277"/>
      <c r="I91" s="277"/>
      <c r="J91" s="278"/>
      <c r="K91" s="278"/>
      <c r="L91" s="278"/>
      <c r="M91" s="278"/>
      <c r="N91" s="278"/>
    </row>
    <row r="92" spans="1:14">
      <c r="A92" s="263"/>
      <c r="C92" s="186"/>
      <c r="D92" s="273"/>
      <c r="E92" s="274"/>
      <c r="F92" s="276"/>
      <c r="G92" s="277"/>
      <c r="H92" s="277"/>
      <c r="I92" s="277"/>
      <c r="J92" s="278"/>
      <c r="K92" s="278"/>
      <c r="L92" s="278"/>
      <c r="M92" s="278"/>
      <c r="N92" s="278"/>
    </row>
    <row r="93" spans="1:14">
      <c r="A93" s="263"/>
      <c r="C93" s="186"/>
      <c r="D93" s="273"/>
      <c r="E93" s="274"/>
      <c r="F93" s="276"/>
      <c r="G93" s="277"/>
      <c r="H93" s="277"/>
      <c r="I93" s="277"/>
      <c r="J93" s="278"/>
      <c r="K93" s="278"/>
      <c r="L93" s="278"/>
      <c r="M93" s="278"/>
      <c r="N93" s="278"/>
    </row>
    <row r="94" spans="1:14">
      <c r="A94" s="263"/>
      <c r="C94" s="186"/>
      <c r="D94" s="273"/>
      <c r="E94" s="274"/>
      <c r="F94" s="276"/>
      <c r="G94" s="277"/>
      <c r="H94" s="277"/>
      <c r="I94" s="277"/>
      <c r="J94" s="278"/>
      <c r="K94" s="278"/>
      <c r="L94" s="278"/>
      <c r="M94" s="278"/>
      <c r="N94" s="278"/>
    </row>
    <row r="95" spans="1:14">
      <c r="A95" s="263"/>
      <c r="C95" s="186"/>
      <c r="D95" s="273"/>
      <c r="E95" s="274"/>
      <c r="F95" s="276"/>
      <c r="G95" s="277"/>
      <c r="H95" s="277"/>
      <c r="I95" s="277"/>
      <c r="J95" s="278"/>
      <c r="K95" s="278"/>
      <c r="L95" s="278"/>
      <c r="M95" s="278"/>
      <c r="N95" s="278"/>
    </row>
    <row r="96" spans="1:14">
      <c r="A96" s="263"/>
      <c r="C96" s="295"/>
      <c r="D96" s="273"/>
      <c r="E96" s="296"/>
      <c r="F96" s="276"/>
      <c r="G96" s="277"/>
      <c r="H96" s="277"/>
      <c r="I96" s="277"/>
      <c r="J96" s="278"/>
      <c r="K96" s="278"/>
      <c r="L96" s="278"/>
      <c r="M96" s="278"/>
      <c r="N96" s="278"/>
    </row>
    <row r="97" spans="1:14">
      <c r="A97" s="263"/>
      <c r="C97" s="295"/>
      <c r="D97" s="273"/>
      <c r="E97" s="296"/>
      <c r="F97" s="276"/>
      <c r="G97" s="277"/>
      <c r="H97" s="277"/>
      <c r="I97" s="277"/>
      <c r="J97" s="278"/>
      <c r="K97" s="278"/>
      <c r="L97" s="278"/>
      <c r="M97" s="278"/>
      <c r="N97" s="278"/>
    </row>
    <row r="98" spans="1:14">
      <c r="A98" s="263"/>
      <c r="C98" s="295"/>
      <c r="D98" s="273"/>
      <c r="E98" s="296"/>
      <c r="F98" s="276"/>
      <c r="G98" s="277"/>
      <c r="H98" s="277"/>
      <c r="I98" s="277"/>
      <c r="J98" s="278"/>
      <c r="K98" s="278"/>
      <c r="L98" s="278"/>
      <c r="M98" s="278"/>
      <c r="N98" s="278"/>
    </row>
    <row r="99" spans="1:14">
      <c r="A99" s="263"/>
      <c r="C99" s="295"/>
      <c r="D99" s="273"/>
      <c r="E99" s="296"/>
      <c r="F99" s="276"/>
      <c r="G99" s="277"/>
      <c r="H99" s="277"/>
      <c r="I99" s="277"/>
      <c r="J99" s="278"/>
      <c r="K99" s="278"/>
      <c r="L99" s="278"/>
      <c r="M99" s="278"/>
      <c r="N99" s="278"/>
    </row>
    <row r="100" spans="1:14">
      <c r="A100" s="263"/>
      <c r="C100" s="295"/>
      <c r="D100" s="273"/>
      <c r="E100" s="296"/>
      <c r="F100" s="276"/>
      <c r="G100" s="277"/>
      <c r="H100" s="277"/>
      <c r="I100" s="277"/>
      <c r="J100" s="278"/>
      <c r="K100" s="278"/>
      <c r="L100" s="278"/>
      <c r="M100" s="278"/>
      <c r="N100" s="278"/>
    </row>
    <row r="101" spans="1:14">
      <c r="A101" s="263"/>
      <c r="C101" s="295"/>
      <c r="D101" s="273"/>
      <c r="E101" s="296"/>
      <c r="F101" s="276"/>
      <c r="G101" s="277"/>
      <c r="H101" s="277"/>
      <c r="I101" s="277"/>
      <c r="J101" s="278"/>
      <c r="K101" s="278"/>
      <c r="L101" s="278"/>
      <c r="M101" s="278"/>
      <c r="N101" s="278"/>
    </row>
    <row r="102" spans="1:14">
      <c r="A102" s="263"/>
      <c r="C102" s="295"/>
      <c r="D102" s="273"/>
      <c r="E102" s="296"/>
      <c r="F102" s="276"/>
      <c r="G102" s="277"/>
      <c r="H102" s="277"/>
      <c r="I102" s="277"/>
      <c r="J102" s="278"/>
      <c r="K102" s="278"/>
      <c r="L102" s="278"/>
      <c r="M102" s="278"/>
      <c r="N102" s="278"/>
    </row>
    <row r="103" spans="1:14">
      <c r="A103" s="263"/>
      <c r="C103" s="295"/>
      <c r="D103" s="273"/>
      <c r="E103" s="296"/>
      <c r="F103" s="276"/>
      <c r="G103" s="277"/>
      <c r="H103" s="277"/>
      <c r="I103" s="277"/>
      <c r="J103" s="278"/>
      <c r="K103" s="278"/>
      <c r="L103" s="278"/>
      <c r="M103" s="278"/>
      <c r="N103" s="278"/>
    </row>
    <row r="104" spans="1:14">
      <c r="A104" s="263"/>
      <c r="C104" s="295"/>
      <c r="D104" s="273"/>
      <c r="E104" s="296"/>
      <c r="F104" s="276"/>
      <c r="G104" s="277"/>
      <c r="H104" s="277"/>
      <c r="I104" s="277"/>
      <c r="J104" s="278"/>
      <c r="K104" s="278"/>
      <c r="L104" s="278"/>
      <c r="M104" s="278"/>
      <c r="N104" s="278"/>
    </row>
    <row r="105" spans="1:14">
      <c r="C105" s="295"/>
      <c r="D105" s="273"/>
      <c r="E105" s="296"/>
      <c r="F105" s="276"/>
      <c r="G105" s="277"/>
      <c r="H105" s="277"/>
      <c r="I105" s="277"/>
      <c r="J105" s="278"/>
      <c r="K105" s="278"/>
      <c r="L105" s="278"/>
      <c r="M105" s="278"/>
      <c r="N105" s="278"/>
    </row>
    <row r="106" spans="1:14">
      <c r="C106" s="295"/>
      <c r="D106" s="273"/>
      <c r="E106" s="296"/>
      <c r="F106" s="276"/>
      <c r="G106" s="277"/>
      <c r="H106" s="277"/>
      <c r="I106" s="277"/>
      <c r="J106" s="278"/>
      <c r="K106" s="278"/>
      <c r="L106" s="278"/>
      <c r="M106" s="278"/>
      <c r="N106" s="278"/>
    </row>
    <row r="107" spans="1:14">
      <c r="C107" s="295"/>
      <c r="D107" s="273"/>
      <c r="E107" s="296"/>
      <c r="F107" s="276"/>
      <c r="G107" s="277"/>
      <c r="H107" s="277"/>
      <c r="I107" s="277"/>
      <c r="J107" s="278"/>
      <c r="K107" s="278"/>
      <c r="L107" s="278"/>
      <c r="M107" s="278"/>
      <c r="N107" s="278"/>
    </row>
    <row r="108" spans="1:14">
      <c r="C108" s="295"/>
      <c r="D108" s="297"/>
      <c r="E108" s="296"/>
      <c r="F108" s="296"/>
      <c r="G108" s="298"/>
      <c r="H108" s="298"/>
    </row>
    <row r="109" spans="1:14">
      <c r="C109" s="295"/>
      <c r="D109" s="297"/>
      <c r="E109" s="296"/>
      <c r="F109" s="296"/>
      <c r="G109" s="299"/>
      <c r="H109" s="299"/>
    </row>
  </sheetData>
  <sheetProtection formatCells="0"/>
  <mergeCells count="7">
    <mergeCell ref="C57:I57"/>
    <mergeCell ref="C7:G7"/>
    <mergeCell ref="A1:G1"/>
    <mergeCell ref="C6:G6"/>
    <mergeCell ref="A2:J2"/>
    <mergeCell ref="A3:J3"/>
    <mergeCell ref="A4:J4"/>
  </mergeCells>
  <phoneticPr fontId="0" type="noConversion"/>
  <printOptions horizontalCentered="1"/>
  <pageMargins left="0.75" right="0.75" top="1" bottom="1" header="0.5" footer="0.5"/>
  <pageSetup scale="65" orientation="portrait" r:id="rId1"/>
  <headerFooter alignWithMargins="0">
    <oddHeader>&amp;CIDAHO POWER COMPANY
Transmission Cost of Service Rate Development
12 Months Ended 12/31/2017</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H63"/>
  <sheetViews>
    <sheetView zoomScale="90" zoomScaleNormal="90" zoomScaleSheetLayoutView="100" workbookViewId="0">
      <selection sqref="A1:G1"/>
    </sheetView>
  </sheetViews>
  <sheetFormatPr defaultRowHeight="12.75"/>
  <cols>
    <col min="1" max="1" width="3.85546875" style="608" customWidth="1"/>
    <col min="2" max="2" width="38.28515625" style="608" customWidth="1"/>
    <col min="3" max="3" width="128.7109375" style="608" customWidth="1"/>
    <col min="4" max="4" width="2.28515625" style="196" customWidth="1"/>
    <col min="5" max="5" width="16.5703125" style="196" bestFit="1" customWidth="1"/>
    <col min="6" max="6" width="1.85546875" style="196" customWidth="1"/>
    <col min="7" max="7" width="13.7109375" style="608" customWidth="1"/>
    <col min="8" max="16384" width="9.140625" style="196"/>
  </cols>
  <sheetData>
    <row r="1" spans="1:7">
      <c r="A1" s="657" t="s">
        <v>576</v>
      </c>
      <c r="B1" s="657"/>
      <c r="C1" s="657"/>
      <c r="D1" s="657"/>
      <c r="E1" s="657"/>
      <c r="F1" s="657"/>
      <c r="G1" s="657"/>
    </row>
    <row r="2" spans="1:7">
      <c r="A2" s="657" t="s">
        <v>577</v>
      </c>
      <c r="B2" s="657"/>
      <c r="C2" s="657"/>
      <c r="D2" s="657"/>
      <c r="E2" s="657"/>
      <c r="F2" s="657"/>
      <c r="G2" s="657"/>
    </row>
    <row r="3" spans="1:7">
      <c r="A3" s="609"/>
      <c r="B3" s="609"/>
      <c r="C3" s="609"/>
      <c r="D3" s="609"/>
      <c r="E3" s="609"/>
      <c r="F3" s="609"/>
      <c r="G3" s="609"/>
    </row>
    <row r="4" spans="1:7">
      <c r="A4" s="609"/>
      <c r="B4" s="609"/>
      <c r="C4" s="609"/>
      <c r="D4" s="609"/>
      <c r="E4" s="609"/>
      <c r="F4" s="609"/>
      <c r="G4" s="609"/>
    </row>
    <row r="6" spans="1:7" s="64" customFormat="1" ht="38.25">
      <c r="A6" s="105"/>
      <c r="B6" s="678" t="s">
        <v>476</v>
      </c>
      <c r="C6" s="678"/>
      <c r="E6" s="618" t="s">
        <v>477</v>
      </c>
      <c r="F6" s="105"/>
      <c r="G6" s="618" t="s">
        <v>478</v>
      </c>
    </row>
    <row r="7" spans="1:7" ht="15">
      <c r="A7" s="389">
        <v>1</v>
      </c>
      <c r="B7" s="628" t="s">
        <v>1234</v>
      </c>
      <c r="C7" s="628" t="s">
        <v>1274</v>
      </c>
      <c r="D7" s="147"/>
      <c r="E7" s="629">
        <v>780769.68</v>
      </c>
      <c r="F7" s="148"/>
      <c r="G7" s="630" t="s">
        <v>1194</v>
      </c>
    </row>
    <row r="8" spans="1:7" ht="15">
      <c r="A8" s="389">
        <f t="shared" ref="A8:A47" si="0">A7+1</f>
        <v>2</v>
      </c>
      <c r="B8" s="628" t="s">
        <v>1235</v>
      </c>
      <c r="C8" s="628" t="s">
        <v>1275</v>
      </c>
      <c r="D8" s="147"/>
      <c r="E8" s="629">
        <v>412153.24</v>
      </c>
      <c r="F8" s="148"/>
      <c r="G8" s="630" t="s">
        <v>1195</v>
      </c>
    </row>
    <row r="9" spans="1:7" ht="15">
      <c r="A9" s="389">
        <f t="shared" si="0"/>
        <v>3</v>
      </c>
      <c r="B9" s="628" t="s">
        <v>1236</v>
      </c>
      <c r="C9" s="644" t="s">
        <v>1276</v>
      </c>
      <c r="D9" s="147"/>
      <c r="E9" s="629">
        <v>342237.04</v>
      </c>
      <c r="F9" s="148"/>
      <c r="G9" s="630" t="s">
        <v>1196</v>
      </c>
    </row>
    <row r="10" spans="1:7" ht="15">
      <c r="A10" s="389">
        <f t="shared" si="0"/>
        <v>4</v>
      </c>
      <c r="B10" s="628" t="s">
        <v>1237</v>
      </c>
      <c r="C10" s="628" t="s">
        <v>1277</v>
      </c>
      <c r="D10" s="147"/>
      <c r="E10" s="629">
        <v>330533.13</v>
      </c>
      <c r="F10" s="148"/>
      <c r="G10" s="630" t="s">
        <v>1197</v>
      </c>
    </row>
    <row r="11" spans="1:7" ht="15">
      <c r="A11" s="389">
        <f t="shared" si="0"/>
        <v>5</v>
      </c>
      <c r="B11" s="628" t="s">
        <v>1238</v>
      </c>
      <c r="C11" s="628" t="s">
        <v>1278</v>
      </c>
      <c r="D11" s="147"/>
      <c r="E11" s="629">
        <v>265015.89</v>
      </c>
      <c r="F11" s="148"/>
      <c r="G11" s="630" t="s">
        <v>1198</v>
      </c>
    </row>
    <row r="12" spans="1:7" ht="15">
      <c r="A12" s="389">
        <f t="shared" si="0"/>
        <v>6</v>
      </c>
      <c r="B12" s="628" t="s">
        <v>1239</v>
      </c>
      <c r="C12" s="628" t="s">
        <v>1279</v>
      </c>
      <c r="D12" s="147"/>
      <c r="E12" s="629">
        <v>504701.05</v>
      </c>
      <c r="F12" s="148"/>
      <c r="G12" s="630" t="s">
        <v>1199</v>
      </c>
    </row>
    <row r="13" spans="1:7" ht="15">
      <c r="A13" s="389">
        <f t="shared" si="0"/>
        <v>7</v>
      </c>
      <c r="B13" s="628" t="s">
        <v>1240</v>
      </c>
      <c r="C13" s="628" t="s">
        <v>1280</v>
      </c>
      <c r="D13" s="147"/>
      <c r="E13" s="629">
        <v>449318.69</v>
      </c>
      <c r="F13" s="148"/>
      <c r="G13" s="630" t="s">
        <v>1200</v>
      </c>
    </row>
    <row r="14" spans="1:7" ht="15">
      <c r="A14" s="389">
        <f t="shared" si="0"/>
        <v>8</v>
      </c>
      <c r="B14" s="628" t="s">
        <v>1241</v>
      </c>
      <c r="C14" s="628" t="s">
        <v>1281</v>
      </c>
      <c r="D14" s="147"/>
      <c r="E14" s="629">
        <v>253764.54</v>
      </c>
      <c r="F14" s="148"/>
      <c r="G14" s="630" t="s">
        <v>1201</v>
      </c>
    </row>
    <row r="15" spans="1:7" ht="15">
      <c r="A15" s="389">
        <f t="shared" si="0"/>
        <v>9</v>
      </c>
      <c r="B15" s="628" t="s">
        <v>1242</v>
      </c>
      <c r="C15" s="644" t="s">
        <v>1282</v>
      </c>
      <c r="D15" s="147"/>
      <c r="E15" s="629">
        <v>834139.83</v>
      </c>
      <c r="F15" s="148"/>
      <c r="G15" s="630" t="s">
        <v>1202</v>
      </c>
    </row>
    <row r="16" spans="1:7" ht="15">
      <c r="A16" s="389">
        <f t="shared" si="0"/>
        <v>10</v>
      </c>
      <c r="B16" s="628" t="s">
        <v>1243</v>
      </c>
      <c r="C16" s="628" t="s">
        <v>1283</v>
      </c>
      <c r="D16" s="147"/>
      <c r="E16" s="629">
        <v>462394.7</v>
      </c>
      <c r="F16" s="148"/>
      <c r="G16" s="630" t="s">
        <v>1203</v>
      </c>
    </row>
    <row r="17" spans="1:8" ht="15">
      <c r="A17" s="389">
        <f t="shared" si="0"/>
        <v>11</v>
      </c>
      <c r="B17" s="628" t="s">
        <v>1244</v>
      </c>
      <c r="C17" s="628" t="s">
        <v>1284</v>
      </c>
      <c r="D17" s="147"/>
      <c r="E17" s="629">
        <v>418813.37</v>
      </c>
      <c r="F17" s="148"/>
      <c r="G17" s="630" t="s">
        <v>1204</v>
      </c>
    </row>
    <row r="18" spans="1:8" ht="15">
      <c r="A18" s="389">
        <f t="shared" si="0"/>
        <v>12</v>
      </c>
      <c r="B18" s="628" t="s">
        <v>1245</v>
      </c>
      <c r="C18" s="644" t="s">
        <v>1285</v>
      </c>
      <c r="D18" s="147"/>
      <c r="E18" s="629">
        <v>318754.18</v>
      </c>
      <c r="F18" s="148"/>
      <c r="G18" s="630" t="s">
        <v>1205</v>
      </c>
    </row>
    <row r="19" spans="1:8" ht="15">
      <c r="A19" s="389">
        <f t="shared" si="0"/>
        <v>13</v>
      </c>
      <c r="B19" s="628" t="s">
        <v>1246</v>
      </c>
      <c r="C19" s="628" t="s">
        <v>1286</v>
      </c>
      <c r="D19" s="147"/>
      <c r="E19" s="629">
        <v>352082.66</v>
      </c>
      <c r="F19" s="148"/>
      <c r="G19" s="630" t="s">
        <v>1206</v>
      </c>
      <c r="H19" s="627">
        <v>-1</v>
      </c>
    </row>
    <row r="20" spans="1:8" ht="15">
      <c r="A20" s="389">
        <f t="shared" si="0"/>
        <v>14</v>
      </c>
      <c r="B20" s="628" t="s">
        <v>1247</v>
      </c>
      <c r="C20" s="628" t="s">
        <v>1274</v>
      </c>
      <c r="D20" s="147"/>
      <c r="E20" s="629">
        <v>291771.03999999998</v>
      </c>
      <c r="F20" s="148"/>
      <c r="G20" s="630" t="s">
        <v>1207</v>
      </c>
    </row>
    <row r="21" spans="1:8" ht="15">
      <c r="A21" s="389">
        <f t="shared" si="0"/>
        <v>15</v>
      </c>
      <c r="B21" s="628" t="s">
        <v>1248</v>
      </c>
      <c r="C21" s="628" t="s">
        <v>1287</v>
      </c>
      <c r="D21" s="147"/>
      <c r="E21" s="629">
        <v>322618.90999999997</v>
      </c>
      <c r="F21" s="148"/>
      <c r="G21" s="630" t="s">
        <v>1208</v>
      </c>
    </row>
    <row r="22" spans="1:8" ht="15">
      <c r="A22" s="389">
        <f t="shared" si="0"/>
        <v>16</v>
      </c>
      <c r="B22" s="628" t="s">
        <v>1249</v>
      </c>
      <c r="C22" s="644" t="s">
        <v>1288</v>
      </c>
      <c r="D22" s="147"/>
      <c r="E22" s="629">
        <v>1537555.62</v>
      </c>
      <c r="F22" s="148"/>
      <c r="G22" s="630" t="s">
        <v>1209</v>
      </c>
    </row>
    <row r="23" spans="1:8" ht="15">
      <c r="A23" s="389">
        <f t="shared" si="0"/>
        <v>17</v>
      </c>
      <c r="B23" s="628" t="s">
        <v>1250</v>
      </c>
      <c r="C23" s="644" t="s">
        <v>1289</v>
      </c>
      <c r="D23" s="147"/>
      <c r="E23" s="629">
        <v>354634.43</v>
      </c>
      <c r="F23" s="148"/>
      <c r="G23" s="630" t="s">
        <v>1210</v>
      </c>
    </row>
    <row r="24" spans="1:8" ht="15">
      <c r="A24" s="389">
        <f t="shared" si="0"/>
        <v>18</v>
      </c>
      <c r="B24" s="628" t="s">
        <v>1171</v>
      </c>
      <c r="C24" s="644" t="s">
        <v>1290</v>
      </c>
      <c r="D24" s="147"/>
      <c r="E24" s="629">
        <v>1295300.6000000001</v>
      </c>
      <c r="F24" s="148"/>
      <c r="G24" s="630" t="s">
        <v>1172</v>
      </c>
    </row>
    <row r="25" spans="1:8" ht="15">
      <c r="A25" s="389">
        <f t="shared" si="0"/>
        <v>19</v>
      </c>
      <c r="B25" s="628" t="s">
        <v>1251</v>
      </c>
      <c r="C25" s="628" t="s">
        <v>1291</v>
      </c>
      <c r="D25" s="147"/>
      <c r="E25" s="629">
        <v>462712.76</v>
      </c>
      <c r="F25" s="148"/>
      <c r="G25" s="630" t="s">
        <v>1211</v>
      </c>
    </row>
    <row r="26" spans="1:8" ht="15">
      <c r="A26" s="389">
        <f t="shared" si="0"/>
        <v>20</v>
      </c>
      <c r="B26" s="628" t="s">
        <v>1252</v>
      </c>
      <c r="C26" s="644" t="s">
        <v>1309</v>
      </c>
      <c r="D26" s="147"/>
      <c r="E26" s="629">
        <v>1959413.28</v>
      </c>
      <c r="F26" s="148"/>
      <c r="G26" s="630" t="s">
        <v>1212</v>
      </c>
    </row>
    <row r="27" spans="1:8" ht="15">
      <c r="A27" s="389">
        <f t="shared" si="0"/>
        <v>21</v>
      </c>
      <c r="B27" s="628" t="s">
        <v>1253</v>
      </c>
      <c r="C27" s="628" t="s">
        <v>1292</v>
      </c>
      <c r="D27" s="147"/>
      <c r="E27" s="629">
        <v>315856.08</v>
      </c>
      <c r="F27" s="148"/>
      <c r="G27" s="630" t="s">
        <v>1213</v>
      </c>
    </row>
    <row r="28" spans="1:8" ht="15">
      <c r="A28" s="389">
        <f t="shared" si="0"/>
        <v>22</v>
      </c>
      <c r="B28" s="628" t="s">
        <v>1254</v>
      </c>
      <c r="C28" s="628" t="s">
        <v>1293</v>
      </c>
      <c r="D28" s="147"/>
      <c r="E28" s="629">
        <v>539946.27</v>
      </c>
      <c r="F28" s="148"/>
      <c r="G28" s="630" t="s">
        <v>1214</v>
      </c>
    </row>
    <row r="29" spans="1:8" ht="15">
      <c r="A29" s="389">
        <f t="shared" si="0"/>
        <v>23</v>
      </c>
      <c r="B29" s="628" t="s">
        <v>1255</v>
      </c>
      <c r="C29" s="628" t="s">
        <v>1294</v>
      </c>
      <c r="D29" s="126"/>
      <c r="E29" s="629">
        <v>831968.84</v>
      </c>
      <c r="F29" s="71"/>
      <c r="G29" s="630" t="s">
        <v>1215</v>
      </c>
    </row>
    <row r="30" spans="1:8" ht="15">
      <c r="A30" s="389">
        <f t="shared" si="0"/>
        <v>24</v>
      </c>
      <c r="B30" s="628" t="s">
        <v>1256</v>
      </c>
      <c r="C30" s="628" t="s">
        <v>1295</v>
      </c>
      <c r="D30" s="126"/>
      <c r="E30" s="629">
        <v>350762.92</v>
      </c>
      <c r="F30" s="127"/>
      <c r="G30" s="630" t="s">
        <v>1216</v>
      </c>
    </row>
    <row r="31" spans="1:8" ht="15">
      <c r="A31" s="389">
        <f t="shared" si="0"/>
        <v>25</v>
      </c>
      <c r="B31" s="628" t="s">
        <v>1257</v>
      </c>
      <c r="C31" s="628" t="s">
        <v>1296</v>
      </c>
      <c r="D31" s="126"/>
      <c r="E31" s="629">
        <v>573620.25</v>
      </c>
      <c r="F31" s="71"/>
      <c r="G31" s="630" t="s">
        <v>1217</v>
      </c>
    </row>
    <row r="32" spans="1:8" ht="15">
      <c r="A32" s="389">
        <f t="shared" si="0"/>
        <v>26</v>
      </c>
      <c r="B32" s="628" t="s">
        <v>1258</v>
      </c>
      <c r="C32" s="644" t="s">
        <v>1297</v>
      </c>
      <c r="D32" s="128"/>
      <c r="E32" s="629">
        <v>384373.63</v>
      </c>
      <c r="F32" s="128"/>
      <c r="G32" s="630" t="s">
        <v>1218</v>
      </c>
    </row>
    <row r="33" spans="1:7" ht="15">
      <c r="A33" s="389">
        <f t="shared" si="0"/>
        <v>27</v>
      </c>
      <c r="B33" s="628" t="s">
        <v>1259</v>
      </c>
      <c r="C33" s="628" t="s">
        <v>1310</v>
      </c>
      <c r="E33" s="629">
        <v>3042986.95</v>
      </c>
      <c r="G33" s="630" t="s">
        <v>1219</v>
      </c>
    </row>
    <row r="34" spans="1:7" ht="15">
      <c r="A34" s="389">
        <f t="shared" si="0"/>
        <v>28</v>
      </c>
      <c r="B34" s="628" t="s">
        <v>1260</v>
      </c>
      <c r="C34" s="644" t="s">
        <v>1298</v>
      </c>
      <c r="E34" s="629">
        <v>1780980.82</v>
      </c>
      <c r="G34" s="630" t="s">
        <v>1220</v>
      </c>
    </row>
    <row r="35" spans="1:7" ht="15">
      <c r="A35" s="389">
        <f t="shared" si="0"/>
        <v>29</v>
      </c>
      <c r="B35" s="529" t="s">
        <v>1261</v>
      </c>
      <c r="C35" s="529" t="s">
        <v>1299</v>
      </c>
      <c r="E35" s="645">
        <v>1008643.57</v>
      </c>
      <c r="G35" s="528" t="s">
        <v>1221</v>
      </c>
    </row>
    <row r="36" spans="1:7" ht="15">
      <c r="A36" s="389">
        <f t="shared" si="0"/>
        <v>30</v>
      </c>
      <c r="B36" s="529" t="s">
        <v>1262</v>
      </c>
      <c r="C36" s="529" t="s">
        <v>1300</v>
      </c>
      <c r="E36" s="645">
        <v>1109458.97</v>
      </c>
      <c r="G36" s="528" t="s">
        <v>1222</v>
      </c>
    </row>
    <row r="37" spans="1:7" ht="15">
      <c r="A37" s="389">
        <f t="shared" si="0"/>
        <v>31</v>
      </c>
      <c r="B37" s="529" t="s">
        <v>1263</v>
      </c>
      <c r="C37" s="529" t="s">
        <v>1297</v>
      </c>
      <c r="E37" s="645">
        <v>302219.57</v>
      </c>
      <c r="G37" s="528" t="s">
        <v>1223</v>
      </c>
    </row>
    <row r="38" spans="1:7" ht="15">
      <c r="A38" s="389">
        <f t="shared" si="0"/>
        <v>32</v>
      </c>
      <c r="B38" s="529" t="s">
        <v>1264</v>
      </c>
      <c r="C38" s="529" t="s">
        <v>1301</v>
      </c>
      <c r="E38" s="645">
        <v>885465.13</v>
      </c>
      <c r="G38" s="528" t="s">
        <v>1224</v>
      </c>
    </row>
    <row r="39" spans="1:7" ht="15">
      <c r="A39" s="389">
        <f t="shared" si="0"/>
        <v>33</v>
      </c>
      <c r="B39" s="529" t="s">
        <v>1265</v>
      </c>
      <c r="C39" s="529" t="s">
        <v>1302</v>
      </c>
      <c r="E39" s="645">
        <v>388489.62</v>
      </c>
      <c r="G39" s="528" t="s">
        <v>1225</v>
      </c>
    </row>
    <row r="40" spans="1:7" ht="15">
      <c r="A40" s="389">
        <f t="shared" si="0"/>
        <v>34</v>
      </c>
      <c r="B40" s="529" t="s">
        <v>1266</v>
      </c>
      <c r="C40" s="529" t="s">
        <v>1303</v>
      </c>
      <c r="E40" s="645">
        <v>381141.24</v>
      </c>
      <c r="G40" s="528" t="s">
        <v>1226</v>
      </c>
    </row>
    <row r="41" spans="1:7" ht="15">
      <c r="A41" s="389">
        <f t="shared" si="0"/>
        <v>35</v>
      </c>
      <c r="B41" s="529" t="s">
        <v>1267</v>
      </c>
      <c r="C41" s="529" t="s">
        <v>1304</v>
      </c>
      <c r="E41" s="645">
        <v>391375.11</v>
      </c>
      <c r="G41" s="528" t="s">
        <v>1227</v>
      </c>
    </row>
    <row r="42" spans="1:7" ht="15">
      <c r="A42" s="389">
        <f t="shared" si="0"/>
        <v>36</v>
      </c>
      <c r="B42" s="529" t="s">
        <v>1268</v>
      </c>
      <c r="C42" s="529" t="s">
        <v>1305</v>
      </c>
      <c r="E42" s="645">
        <v>287049.34000000003</v>
      </c>
      <c r="G42" s="528" t="s">
        <v>1228</v>
      </c>
    </row>
    <row r="43" spans="1:7" ht="15">
      <c r="A43" s="389">
        <f t="shared" si="0"/>
        <v>37</v>
      </c>
      <c r="B43" s="529" t="s">
        <v>1269</v>
      </c>
      <c r="C43" s="529" t="s">
        <v>1306</v>
      </c>
      <c r="E43" s="645">
        <v>271391.7</v>
      </c>
      <c r="G43" s="528" t="s">
        <v>1229</v>
      </c>
    </row>
    <row r="44" spans="1:7" ht="15">
      <c r="A44" s="389">
        <f t="shared" si="0"/>
        <v>38</v>
      </c>
      <c r="B44" s="529" t="s">
        <v>1270</v>
      </c>
      <c r="C44" s="529" t="s">
        <v>1307</v>
      </c>
      <c r="E44" s="645">
        <v>908749.89</v>
      </c>
      <c r="G44" s="528" t="s">
        <v>1230</v>
      </c>
    </row>
    <row r="45" spans="1:7" ht="15">
      <c r="A45" s="389">
        <f t="shared" si="0"/>
        <v>39</v>
      </c>
      <c r="B45" s="529" t="s">
        <v>1271</v>
      </c>
      <c r="C45" s="529" t="s">
        <v>1175</v>
      </c>
      <c r="E45" s="645">
        <v>9128934.9000000004</v>
      </c>
      <c r="G45" s="528" t="s">
        <v>1231</v>
      </c>
    </row>
    <row r="46" spans="1:7" ht="15">
      <c r="A46" s="389">
        <f t="shared" si="0"/>
        <v>40</v>
      </c>
      <c r="B46" s="529" t="s">
        <v>1272</v>
      </c>
      <c r="C46" s="529" t="s">
        <v>1302</v>
      </c>
      <c r="E46" s="645">
        <v>626904.03</v>
      </c>
      <c r="G46" s="528" t="s">
        <v>1232</v>
      </c>
    </row>
    <row r="47" spans="1:7" ht="15">
      <c r="A47" s="389">
        <f t="shared" si="0"/>
        <v>41</v>
      </c>
      <c r="B47" s="529" t="s">
        <v>1273</v>
      </c>
      <c r="C47" s="529" t="s">
        <v>1308</v>
      </c>
      <c r="E47" s="645">
        <v>615037.47</v>
      </c>
      <c r="G47" s="528" t="s">
        <v>1233</v>
      </c>
    </row>
    <row r="48" spans="1:7" ht="15">
      <c r="A48" s="389"/>
      <c r="B48" s="529"/>
      <c r="C48" s="529"/>
      <c r="E48" s="645"/>
      <c r="G48" s="528"/>
    </row>
    <row r="49" spans="1:8" ht="15">
      <c r="A49" s="389"/>
      <c r="B49" s="529"/>
      <c r="C49" s="529"/>
      <c r="E49" s="645"/>
      <c r="G49" s="528"/>
    </row>
    <row r="50" spans="1:8" ht="30" customHeight="1">
      <c r="A50" s="679" t="s">
        <v>1352</v>
      </c>
      <c r="B50" s="679"/>
      <c r="C50" s="679"/>
      <c r="D50" s="679"/>
      <c r="E50" s="679"/>
      <c r="F50" s="679"/>
      <c r="G50" s="679"/>
      <c r="H50" s="679"/>
    </row>
    <row r="51" spans="1:8" ht="15">
      <c r="A51" s="389"/>
      <c r="B51" s="529"/>
      <c r="C51" s="529"/>
      <c r="E51" s="645"/>
      <c r="G51" s="528"/>
    </row>
    <row r="52" spans="1:8" ht="15">
      <c r="A52" s="389"/>
      <c r="B52" s="529"/>
      <c r="C52" s="529"/>
      <c r="E52" s="645"/>
      <c r="G52" s="528"/>
    </row>
    <row r="53" spans="1:8" ht="15">
      <c r="A53" s="389"/>
      <c r="B53" s="529"/>
      <c r="C53" s="529"/>
      <c r="E53" s="645"/>
      <c r="G53" s="528"/>
    </row>
    <row r="54" spans="1:8" ht="15">
      <c r="A54" s="389"/>
      <c r="B54" s="529"/>
      <c r="C54" s="529"/>
      <c r="E54" s="645"/>
      <c r="G54" s="528"/>
    </row>
    <row r="55" spans="1:8" ht="15">
      <c r="A55" s="389"/>
      <c r="B55" s="529"/>
      <c r="C55" s="529"/>
      <c r="E55" s="645"/>
      <c r="G55" s="528"/>
    </row>
    <row r="56" spans="1:8" ht="15">
      <c r="A56" s="389"/>
      <c r="B56" s="529"/>
      <c r="C56" s="529"/>
      <c r="E56" s="645"/>
      <c r="G56" s="528"/>
    </row>
    <row r="57" spans="1:8" ht="15">
      <c r="A57" s="389"/>
      <c r="B57" s="529"/>
      <c r="C57" s="529"/>
      <c r="E57" s="645"/>
      <c r="G57" s="528"/>
    </row>
    <row r="58" spans="1:8" ht="15">
      <c r="A58" s="389"/>
      <c r="B58" s="529"/>
      <c r="C58" s="529"/>
      <c r="E58" s="645"/>
      <c r="G58" s="528"/>
    </row>
    <row r="59" spans="1:8" ht="15">
      <c r="A59" s="389"/>
      <c r="B59" s="529"/>
      <c r="C59" s="529"/>
      <c r="E59" s="645"/>
      <c r="G59" s="528"/>
    </row>
    <row r="60" spans="1:8" ht="15">
      <c r="A60" s="389"/>
      <c r="B60" s="529"/>
      <c r="C60" s="529"/>
      <c r="E60" s="645"/>
      <c r="G60" s="528"/>
    </row>
    <row r="61" spans="1:8" ht="15">
      <c r="A61" s="389"/>
      <c r="B61" s="529"/>
      <c r="C61" s="530"/>
      <c r="E61" s="645"/>
      <c r="G61" s="528"/>
    </row>
    <row r="62" spans="1:8" ht="15">
      <c r="A62" s="389"/>
      <c r="B62" s="529"/>
      <c r="C62" s="530"/>
      <c r="E62" s="645"/>
      <c r="G62" s="528"/>
    </row>
    <row r="63" spans="1:8" ht="15">
      <c r="A63" s="389"/>
      <c r="B63" s="529"/>
      <c r="E63" s="645"/>
      <c r="G63" s="528"/>
    </row>
  </sheetData>
  <mergeCells count="4">
    <mergeCell ref="A1:G1"/>
    <mergeCell ref="A2:G2"/>
    <mergeCell ref="B6:C6"/>
    <mergeCell ref="A50:H50"/>
  </mergeCells>
  <phoneticPr fontId="18" type="noConversion"/>
  <printOptions horizontalCentered="1"/>
  <pageMargins left="0.75" right="0.75" top="1" bottom="1" header="0.5" footer="0.5"/>
  <pageSetup scale="44" orientation="portrait" r:id="rId1"/>
  <headerFooter alignWithMargins="0">
    <oddHeader>&amp;CIDAHO POWER COMPANY
Transmission Cost of Service Rate Development
12 Months Ended 12/31/2017</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T23"/>
  <sheetViews>
    <sheetView zoomScaleNormal="100" zoomScaleSheetLayoutView="100" workbookViewId="0">
      <selection sqref="A1:T1"/>
    </sheetView>
  </sheetViews>
  <sheetFormatPr defaultRowHeight="12.75"/>
  <cols>
    <col min="1" max="9" width="9.85546875" style="196" customWidth="1"/>
    <col min="10" max="16384" width="9.140625" style="196"/>
  </cols>
  <sheetData>
    <row r="1" spans="1:20">
      <c r="A1" s="657" t="s">
        <v>574</v>
      </c>
      <c r="B1" s="657"/>
      <c r="C1" s="657"/>
      <c r="D1" s="657"/>
      <c r="E1" s="657"/>
      <c r="F1" s="657"/>
      <c r="G1" s="657"/>
      <c r="H1" s="657"/>
      <c r="I1" s="657"/>
      <c r="J1" s="657"/>
      <c r="K1" s="657"/>
      <c r="L1" s="657"/>
      <c r="M1" s="657"/>
      <c r="N1" s="657"/>
      <c r="O1" s="657"/>
      <c r="P1" s="657"/>
      <c r="Q1" s="657"/>
      <c r="R1" s="657"/>
      <c r="S1" s="657"/>
      <c r="T1" s="657"/>
    </row>
    <row r="2" spans="1:20">
      <c r="A2" s="657" t="s">
        <v>1317</v>
      </c>
      <c r="B2" s="657"/>
      <c r="C2" s="657"/>
      <c r="D2" s="657"/>
      <c r="E2" s="657"/>
      <c r="F2" s="657"/>
      <c r="G2" s="657"/>
      <c r="H2" s="657"/>
      <c r="I2" s="657"/>
      <c r="J2" s="657"/>
      <c r="K2" s="657"/>
      <c r="L2" s="657"/>
      <c r="M2" s="657"/>
      <c r="N2" s="657"/>
      <c r="O2" s="657"/>
      <c r="P2" s="657"/>
      <c r="Q2" s="657"/>
      <c r="R2" s="657"/>
      <c r="S2" s="657"/>
      <c r="T2" s="657"/>
    </row>
    <row r="3" spans="1:20">
      <c r="A3" s="657" t="s">
        <v>575</v>
      </c>
      <c r="B3" s="657"/>
      <c r="C3" s="657"/>
      <c r="D3" s="657"/>
      <c r="E3" s="657"/>
      <c r="F3" s="657"/>
      <c r="G3" s="657"/>
      <c r="H3" s="657"/>
      <c r="I3" s="657"/>
      <c r="J3" s="657"/>
      <c r="K3" s="657"/>
      <c r="L3" s="657"/>
      <c r="M3" s="657"/>
      <c r="N3" s="657"/>
      <c r="O3" s="657"/>
      <c r="P3" s="657"/>
      <c r="Q3" s="657"/>
      <c r="R3" s="657"/>
      <c r="S3" s="657"/>
      <c r="T3" s="657"/>
    </row>
    <row r="6" spans="1:20">
      <c r="B6" s="682"/>
      <c r="C6" s="682"/>
      <c r="D6" s="682"/>
      <c r="E6" s="682"/>
      <c r="F6" s="682"/>
      <c r="G6" s="682"/>
      <c r="H6" s="682"/>
    </row>
    <row r="7" spans="1:20">
      <c r="B7" s="681"/>
      <c r="C7" s="681"/>
      <c r="D7" s="681"/>
      <c r="E7" s="681"/>
      <c r="F7" s="681"/>
      <c r="G7" s="681"/>
      <c r="H7" s="681"/>
    </row>
    <row r="8" spans="1:20">
      <c r="B8" s="603" t="s">
        <v>1323</v>
      </c>
      <c r="C8" s="620"/>
      <c r="D8" s="620"/>
      <c r="E8" s="620"/>
      <c r="F8" s="620"/>
      <c r="G8" s="620"/>
      <c r="H8" s="620"/>
      <c r="K8" s="2">
        <v>2017</v>
      </c>
    </row>
    <row r="9" spans="1:20" ht="84" customHeight="1">
      <c r="A9" s="685">
        <v>1</v>
      </c>
      <c r="B9" s="686" t="s">
        <v>1318</v>
      </c>
      <c r="C9" s="686"/>
      <c r="D9" s="686"/>
      <c r="E9" s="686"/>
      <c r="F9" s="686"/>
      <c r="G9" s="686"/>
      <c r="H9" s="686"/>
      <c r="I9" s="686"/>
      <c r="K9" s="683" t="s">
        <v>1346</v>
      </c>
      <c r="L9" s="683"/>
      <c r="M9" s="683"/>
      <c r="N9" s="683"/>
      <c r="O9" s="683"/>
      <c r="P9" s="683"/>
      <c r="Q9" s="683"/>
      <c r="R9" s="683"/>
      <c r="S9" s="683"/>
      <c r="T9" s="683"/>
    </row>
    <row r="10" spans="1:20" ht="68.25" customHeight="1">
      <c r="A10" s="685"/>
      <c r="B10" s="686"/>
      <c r="C10" s="686"/>
      <c r="D10" s="686"/>
      <c r="E10" s="686"/>
      <c r="F10" s="686"/>
      <c r="G10" s="686"/>
      <c r="H10" s="686"/>
      <c r="I10" s="686"/>
      <c r="K10" s="683" t="s">
        <v>1347</v>
      </c>
      <c r="L10" s="683"/>
      <c r="M10" s="683"/>
      <c r="N10" s="683"/>
      <c r="O10" s="683"/>
      <c r="P10" s="683"/>
      <c r="Q10" s="683"/>
      <c r="R10" s="683"/>
      <c r="S10" s="683"/>
      <c r="T10" s="683"/>
    </row>
    <row r="11" spans="1:20" ht="14.25" customHeight="1">
      <c r="A11" s="685"/>
      <c r="B11" s="686"/>
      <c r="C11" s="686"/>
      <c r="D11" s="686"/>
      <c r="E11" s="686"/>
      <c r="F11" s="686"/>
      <c r="G11" s="686"/>
      <c r="H11" s="686"/>
      <c r="I11" s="686"/>
      <c r="K11" s="196" t="s">
        <v>1348</v>
      </c>
    </row>
    <row r="12" spans="1:20" ht="81.75" customHeight="1">
      <c r="A12" s="685">
        <f>A9+1</f>
        <v>2</v>
      </c>
      <c r="B12" s="680" t="s">
        <v>1319</v>
      </c>
      <c r="C12" s="680"/>
      <c r="D12" s="680"/>
      <c r="E12" s="680"/>
      <c r="F12" s="680"/>
      <c r="G12" s="680"/>
      <c r="H12" s="680"/>
      <c r="I12" s="680"/>
      <c r="K12" s="680" t="s">
        <v>1345</v>
      </c>
      <c r="L12" s="680"/>
      <c r="M12" s="680"/>
      <c r="N12" s="680"/>
      <c r="O12" s="680"/>
      <c r="P12" s="680"/>
      <c r="Q12" s="680"/>
      <c r="R12" s="680"/>
      <c r="S12" s="680"/>
      <c r="T12" s="680"/>
    </row>
    <row r="13" spans="1:20" ht="80.25" customHeight="1">
      <c r="A13" s="685"/>
      <c r="B13" s="680"/>
      <c r="C13" s="680"/>
      <c r="D13" s="680"/>
      <c r="E13" s="680"/>
      <c r="F13" s="680"/>
      <c r="G13" s="680"/>
      <c r="H13" s="680"/>
      <c r="I13" s="680"/>
      <c r="K13" s="680" t="s">
        <v>1349</v>
      </c>
      <c r="L13" s="680"/>
      <c r="M13" s="680"/>
      <c r="N13" s="680"/>
      <c r="O13" s="680"/>
      <c r="P13" s="680"/>
      <c r="Q13" s="680"/>
      <c r="R13" s="680"/>
      <c r="S13" s="680"/>
      <c r="T13" s="680"/>
    </row>
    <row r="14" spans="1:20" ht="42" customHeight="1">
      <c r="A14" s="605">
        <f>A12+1</f>
        <v>3</v>
      </c>
      <c r="B14" s="680" t="s">
        <v>1320</v>
      </c>
      <c r="C14" s="680"/>
      <c r="D14" s="680"/>
      <c r="E14" s="680"/>
      <c r="F14" s="680"/>
      <c r="G14" s="680"/>
      <c r="H14" s="680"/>
      <c r="I14" s="680"/>
      <c r="K14" s="604" t="s">
        <v>1329</v>
      </c>
      <c r="L14" s="604"/>
      <c r="M14" s="604"/>
      <c r="N14" s="604"/>
      <c r="O14" s="604"/>
      <c r="P14" s="604"/>
      <c r="Q14" s="604"/>
      <c r="R14" s="604"/>
      <c r="S14" s="604"/>
      <c r="T14" s="604"/>
    </row>
    <row r="15" spans="1:20" ht="29.25" customHeight="1">
      <c r="A15" s="605">
        <f t="shared" ref="A15:A17" si="0">A14+1</f>
        <v>4</v>
      </c>
      <c r="B15" s="619" t="s">
        <v>1321</v>
      </c>
      <c r="C15" s="619"/>
      <c r="D15" s="619"/>
      <c r="E15" s="619"/>
      <c r="F15" s="619"/>
      <c r="G15" s="619"/>
      <c r="H15" s="619"/>
      <c r="I15" s="619"/>
      <c r="K15" s="625" t="s">
        <v>1329</v>
      </c>
      <c r="L15" s="625"/>
      <c r="M15" s="625"/>
      <c r="N15" s="625"/>
      <c r="O15" s="625"/>
      <c r="P15" s="625"/>
      <c r="Q15" s="625"/>
      <c r="R15" s="625"/>
      <c r="S15" s="625"/>
      <c r="T15" s="625"/>
    </row>
    <row r="16" spans="1:20" ht="29.25" customHeight="1">
      <c r="A16" s="605">
        <f>A15+1</f>
        <v>5</v>
      </c>
      <c r="B16" s="604" t="s">
        <v>1322</v>
      </c>
      <c r="C16" s="604"/>
      <c r="D16" s="604"/>
      <c r="E16" s="604"/>
      <c r="F16" s="604"/>
      <c r="G16" s="604"/>
      <c r="H16" s="604"/>
      <c r="I16" s="604"/>
      <c r="K16" s="604" t="s">
        <v>1329</v>
      </c>
      <c r="L16" s="604"/>
      <c r="M16" s="604"/>
      <c r="N16" s="604"/>
      <c r="O16" s="604"/>
      <c r="P16" s="604"/>
      <c r="Q16" s="604"/>
      <c r="R16" s="604"/>
      <c r="S16" s="604"/>
      <c r="T16" s="604"/>
    </row>
    <row r="17" spans="1:20" ht="39.75" customHeight="1">
      <c r="A17" s="605">
        <f t="shared" si="0"/>
        <v>6</v>
      </c>
      <c r="B17" s="680" t="s">
        <v>1328</v>
      </c>
      <c r="C17" s="680"/>
      <c r="D17" s="680"/>
      <c r="E17" s="680"/>
      <c r="F17" s="680"/>
      <c r="G17" s="680"/>
      <c r="H17" s="680"/>
      <c r="I17" s="680"/>
      <c r="K17" s="604" t="s">
        <v>1329</v>
      </c>
      <c r="L17" s="604"/>
      <c r="M17" s="604"/>
      <c r="N17" s="604"/>
      <c r="O17" s="604"/>
      <c r="P17" s="604"/>
      <c r="Q17" s="604"/>
      <c r="R17" s="604"/>
      <c r="S17" s="604"/>
      <c r="T17" s="604"/>
    </row>
    <row r="18" spans="1:20">
      <c r="A18" s="605"/>
      <c r="K18" s="604"/>
      <c r="L18" s="604"/>
      <c r="M18" s="604"/>
      <c r="N18" s="604"/>
      <c r="O18" s="604"/>
      <c r="P18" s="604"/>
      <c r="Q18" s="604"/>
      <c r="R18" s="604"/>
      <c r="S18" s="604"/>
      <c r="T18" s="604"/>
    </row>
    <row r="19" spans="1:20">
      <c r="A19" s="605"/>
      <c r="B19" s="28" t="s">
        <v>1324</v>
      </c>
      <c r="K19" s="604"/>
      <c r="L19" s="604"/>
      <c r="M19" s="604"/>
      <c r="N19" s="604"/>
      <c r="O19" s="604"/>
      <c r="P19" s="604"/>
      <c r="Q19" s="604"/>
      <c r="R19" s="604"/>
      <c r="S19" s="604"/>
      <c r="T19" s="604"/>
    </row>
    <row r="20" spans="1:20">
      <c r="A20" s="605">
        <f>A17+1</f>
        <v>7</v>
      </c>
      <c r="B20" s="196" t="s">
        <v>1325</v>
      </c>
      <c r="K20" s="604" t="s">
        <v>1329</v>
      </c>
      <c r="L20" s="604"/>
      <c r="M20" s="604"/>
      <c r="N20" s="604"/>
      <c r="O20" s="604"/>
      <c r="P20" s="604"/>
      <c r="Q20" s="604"/>
      <c r="R20" s="604"/>
      <c r="S20" s="604"/>
      <c r="T20" s="604"/>
    </row>
    <row r="21" spans="1:20">
      <c r="A21" s="605"/>
      <c r="K21" s="604"/>
      <c r="L21" s="604"/>
      <c r="M21" s="604"/>
      <c r="N21" s="604"/>
      <c r="O21" s="604"/>
      <c r="P21" s="604"/>
      <c r="Q21" s="604"/>
      <c r="R21" s="604"/>
      <c r="S21" s="604"/>
      <c r="T21" s="604"/>
    </row>
    <row r="22" spans="1:20">
      <c r="A22" s="605"/>
      <c r="B22" s="28" t="s">
        <v>1326</v>
      </c>
      <c r="K22" s="604"/>
      <c r="L22" s="604"/>
      <c r="M22" s="604"/>
      <c r="N22" s="604"/>
      <c r="O22" s="604"/>
      <c r="P22" s="604"/>
      <c r="Q22" s="604"/>
      <c r="R22" s="604"/>
      <c r="S22" s="604"/>
      <c r="T22" s="604"/>
    </row>
    <row r="23" spans="1:20" ht="26.25" customHeight="1">
      <c r="A23" s="605">
        <f>A20+1</f>
        <v>8</v>
      </c>
      <c r="B23" s="684" t="s">
        <v>1327</v>
      </c>
      <c r="C23" s="684"/>
      <c r="D23" s="684"/>
      <c r="E23" s="684"/>
      <c r="F23" s="684"/>
      <c r="G23" s="684"/>
      <c r="H23" s="684"/>
      <c r="I23" s="684"/>
      <c r="K23" s="604" t="s">
        <v>1329</v>
      </c>
      <c r="L23" s="604"/>
      <c r="M23" s="604"/>
      <c r="N23" s="604"/>
      <c r="O23" s="604"/>
      <c r="P23" s="604"/>
      <c r="Q23" s="604"/>
      <c r="R23" s="604"/>
      <c r="S23" s="604"/>
      <c r="T23" s="604"/>
    </row>
  </sheetData>
  <mergeCells count="16">
    <mergeCell ref="A1:T1"/>
    <mergeCell ref="A2:T2"/>
    <mergeCell ref="A3:T3"/>
    <mergeCell ref="K13:T13"/>
    <mergeCell ref="K10:T10"/>
    <mergeCell ref="A9:A11"/>
    <mergeCell ref="B9:I11"/>
    <mergeCell ref="K12:T12"/>
    <mergeCell ref="A12:A13"/>
    <mergeCell ref="B12:I13"/>
    <mergeCell ref="B14:I14"/>
    <mergeCell ref="B7:H7"/>
    <mergeCell ref="B6:H6"/>
    <mergeCell ref="K9:T9"/>
    <mergeCell ref="B23:I23"/>
    <mergeCell ref="B17:I17"/>
  </mergeCells>
  <phoneticPr fontId="18" type="noConversion"/>
  <printOptions horizontalCentered="1"/>
  <pageMargins left="0.75" right="0.75" top="1" bottom="1" header="0.5" footer="0.5"/>
  <pageSetup scale="65" orientation="landscape" r:id="rId1"/>
  <headerFooter alignWithMargins="0">
    <oddHeader>&amp;CIDAHO POWER COMPANY
Transmission Cost of Service Rate Development
12 Months Ended 12/31/2017</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113"/>
  <sheetViews>
    <sheetView zoomScaleNormal="100" zoomScaleSheetLayoutView="100" workbookViewId="0">
      <selection sqref="A1:F1"/>
    </sheetView>
  </sheetViews>
  <sheetFormatPr defaultRowHeight="12.75"/>
  <cols>
    <col min="1" max="1" width="5.140625" style="612" customWidth="1"/>
    <col min="2" max="2" width="4.140625" style="152" customWidth="1"/>
    <col min="3" max="3" width="4" style="152" customWidth="1"/>
    <col min="4" max="4" width="57.85546875" style="152" bestFit="1" customWidth="1"/>
    <col min="5" max="5" width="19.7109375" style="152" bestFit="1" customWidth="1"/>
    <col min="6" max="6" width="16.7109375" style="158" customWidth="1"/>
    <col min="7" max="7" width="10.85546875" style="152" bestFit="1" customWidth="1"/>
    <col min="8" max="16384" width="9.140625" style="152"/>
  </cols>
  <sheetData>
    <row r="1" spans="1:7" ht="15" customHeight="1">
      <c r="A1" s="666" t="s">
        <v>368</v>
      </c>
      <c r="B1" s="666"/>
      <c r="C1" s="666"/>
      <c r="D1" s="666"/>
      <c r="E1" s="666"/>
      <c r="F1" s="666"/>
    </row>
    <row r="2" spans="1:7" ht="15.75" customHeight="1">
      <c r="A2" s="666" t="s">
        <v>245</v>
      </c>
      <c r="B2" s="666"/>
      <c r="C2" s="666"/>
      <c r="D2" s="666"/>
      <c r="E2" s="666"/>
      <c r="F2" s="666"/>
    </row>
    <row r="4" spans="1:7">
      <c r="A4" s="152" t="s">
        <v>246</v>
      </c>
    </row>
    <row r="5" spans="1:7">
      <c r="A5" s="152"/>
      <c r="B5" s="300" t="s">
        <v>1313</v>
      </c>
    </row>
    <row r="6" spans="1:7">
      <c r="B6" s="300" t="s">
        <v>1314</v>
      </c>
    </row>
    <row r="7" spans="1:7">
      <c r="B7" s="300" t="s">
        <v>247</v>
      </c>
    </row>
    <row r="8" spans="1:7">
      <c r="F8" s="154"/>
    </row>
    <row r="9" spans="1:7">
      <c r="A9" s="612">
        <v>1</v>
      </c>
      <c r="B9" s="156" t="s">
        <v>245</v>
      </c>
      <c r="F9" s="154"/>
    </row>
    <row r="10" spans="1:7">
      <c r="A10" s="612">
        <f t="shared" ref="A10:A41" si="0">A9+1</f>
        <v>2</v>
      </c>
      <c r="F10" s="154"/>
    </row>
    <row r="11" spans="1:7">
      <c r="A11" s="612">
        <f t="shared" si="0"/>
        <v>3</v>
      </c>
      <c r="D11" s="152" t="s">
        <v>1311</v>
      </c>
      <c r="F11" s="301">
        <f>109252.78+981778.07+405582.12</f>
        <v>1496612.9699999997</v>
      </c>
    </row>
    <row r="12" spans="1:7">
      <c r="A12" s="612">
        <f t="shared" si="0"/>
        <v>4</v>
      </c>
      <c r="D12" s="152" t="s">
        <v>1312</v>
      </c>
      <c r="F12" s="643">
        <f>-1418384</f>
        <v>-1418384</v>
      </c>
      <c r="G12" s="162"/>
    </row>
    <row r="13" spans="1:7">
      <c r="A13" s="612">
        <f t="shared" si="0"/>
        <v>5</v>
      </c>
      <c r="D13" s="152" t="s">
        <v>248</v>
      </c>
      <c r="F13" s="301">
        <f>F11+F12</f>
        <v>78228.969999999739</v>
      </c>
    </row>
    <row r="14" spans="1:7">
      <c r="A14" s="612">
        <f t="shared" si="0"/>
        <v>6</v>
      </c>
      <c r="F14" s="302"/>
    </row>
    <row r="15" spans="1:7">
      <c r="A15" s="612">
        <f t="shared" si="0"/>
        <v>7</v>
      </c>
      <c r="C15" s="303" t="s">
        <v>249</v>
      </c>
      <c r="F15" s="302"/>
    </row>
    <row r="16" spans="1:7" ht="15">
      <c r="A16" s="612">
        <f t="shared" si="0"/>
        <v>8</v>
      </c>
      <c r="D16" s="152" t="s">
        <v>516</v>
      </c>
      <c r="E16" s="157" t="s">
        <v>315</v>
      </c>
      <c r="F16" s="304">
        <f>'Schedule 3'!F27</f>
        <v>0.12484523</v>
      </c>
    </row>
    <row r="17" spans="1:6" ht="15" customHeight="1">
      <c r="A17" s="612">
        <f t="shared" si="0"/>
        <v>9</v>
      </c>
      <c r="D17" s="152" t="s">
        <v>250</v>
      </c>
      <c r="E17" s="157" t="s">
        <v>251</v>
      </c>
      <c r="F17" s="301">
        <f>F13*F16</f>
        <v>9766.513752313067</v>
      </c>
    </row>
    <row r="18" spans="1:6">
      <c r="A18" s="612">
        <f t="shared" si="0"/>
        <v>10</v>
      </c>
      <c r="E18" s="158"/>
    </row>
    <row r="19" spans="1:6">
      <c r="A19" s="612">
        <f t="shared" si="0"/>
        <v>11</v>
      </c>
      <c r="C19" s="303" t="s">
        <v>252</v>
      </c>
      <c r="E19" s="158"/>
      <c r="F19" s="302"/>
    </row>
    <row r="20" spans="1:6" ht="15">
      <c r="A20" s="612">
        <f t="shared" si="0"/>
        <v>12</v>
      </c>
      <c r="D20" s="152" t="s">
        <v>386</v>
      </c>
      <c r="E20" s="157" t="s">
        <v>233</v>
      </c>
      <c r="F20" s="305">
        <v>0.125</v>
      </c>
    </row>
    <row r="21" spans="1:6">
      <c r="A21" s="612">
        <f t="shared" si="0"/>
        <v>13</v>
      </c>
      <c r="D21" s="152" t="s">
        <v>253</v>
      </c>
      <c r="E21" s="157" t="s">
        <v>254</v>
      </c>
      <c r="F21" s="301">
        <f>F17*F20</f>
        <v>1220.8142190391334</v>
      </c>
    </row>
    <row r="22" spans="1:6">
      <c r="A22" s="612">
        <f t="shared" si="0"/>
        <v>14</v>
      </c>
      <c r="E22" s="158"/>
      <c r="F22" s="301"/>
    </row>
    <row r="23" spans="1:6">
      <c r="A23" s="612">
        <f t="shared" si="0"/>
        <v>15</v>
      </c>
      <c r="C23" s="303" t="s">
        <v>255</v>
      </c>
      <c r="E23" s="158"/>
      <c r="F23" s="302"/>
    </row>
    <row r="24" spans="1:6">
      <c r="A24" s="612">
        <f t="shared" si="0"/>
        <v>16</v>
      </c>
      <c r="D24" s="152" t="s">
        <v>236</v>
      </c>
      <c r="E24" s="157" t="s">
        <v>239</v>
      </c>
      <c r="F24" s="306">
        <f>'Schedule 6'!I20</f>
        <v>8.0438298677257006E-2</v>
      </c>
    </row>
    <row r="25" spans="1:6" ht="15">
      <c r="A25" s="612">
        <f t="shared" si="0"/>
        <v>17</v>
      </c>
      <c r="D25" s="152" t="s">
        <v>472</v>
      </c>
      <c r="E25" s="157" t="s">
        <v>239</v>
      </c>
      <c r="F25" s="307">
        <f>'Schedule 6'!I34</f>
        <v>3.6929999999999998E-2</v>
      </c>
    </row>
    <row r="26" spans="1:6">
      <c r="A26" s="612">
        <f t="shared" si="0"/>
        <v>18</v>
      </c>
      <c r="D26" s="152" t="s">
        <v>256</v>
      </c>
      <c r="E26" s="157" t="s">
        <v>257</v>
      </c>
      <c r="F26" s="308">
        <f>SUM(F24:F25)</f>
        <v>0.11736829867725701</v>
      </c>
    </row>
    <row r="27" spans="1:6">
      <c r="A27" s="612">
        <f t="shared" si="0"/>
        <v>19</v>
      </c>
      <c r="E27" s="158"/>
      <c r="F27" s="308"/>
    </row>
    <row r="28" spans="1:6">
      <c r="A28" s="612">
        <f t="shared" si="0"/>
        <v>20</v>
      </c>
      <c r="D28" s="152" t="s">
        <v>258</v>
      </c>
      <c r="E28" s="157" t="s">
        <v>259</v>
      </c>
      <c r="F28" s="301">
        <f>F21*(F26)</f>
        <v>143.28488788962727</v>
      </c>
    </row>
    <row r="29" spans="1:6">
      <c r="A29" s="612">
        <f t="shared" si="0"/>
        <v>21</v>
      </c>
      <c r="E29" s="158"/>
    </row>
    <row r="30" spans="1:6">
      <c r="A30" s="612">
        <f t="shared" si="0"/>
        <v>22</v>
      </c>
      <c r="C30" s="152" t="s">
        <v>260</v>
      </c>
      <c r="E30" s="157" t="s">
        <v>261</v>
      </c>
      <c r="F30" s="309">
        <f>F28+F17</f>
        <v>9909.7986402026945</v>
      </c>
    </row>
    <row r="31" spans="1:6">
      <c r="A31" s="612">
        <f t="shared" si="0"/>
        <v>23</v>
      </c>
      <c r="F31" s="160"/>
    </row>
    <row r="32" spans="1:6">
      <c r="A32" s="612">
        <f t="shared" si="0"/>
        <v>24</v>
      </c>
      <c r="F32" s="160"/>
    </row>
    <row r="33" spans="1:6">
      <c r="A33" s="612">
        <f t="shared" si="0"/>
        <v>25</v>
      </c>
      <c r="F33" s="160"/>
    </row>
    <row r="34" spans="1:6">
      <c r="A34" s="612">
        <f t="shared" si="0"/>
        <v>26</v>
      </c>
      <c r="F34" s="160"/>
    </row>
    <row r="35" spans="1:6">
      <c r="A35" s="612">
        <f t="shared" si="0"/>
        <v>27</v>
      </c>
      <c r="F35" s="160"/>
    </row>
    <row r="36" spans="1:6">
      <c r="A36" s="612">
        <f t="shared" si="0"/>
        <v>28</v>
      </c>
      <c r="F36" s="613"/>
    </row>
    <row r="37" spans="1:6">
      <c r="A37" s="612">
        <f t="shared" si="0"/>
        <v>29</v>
      </c>
      <c r="B37" s="156" t="s">
        <v>262</v>
      </c>
      <c r="F37" s="302"/>
    </row>
    <row r="38" spans="1:6">
      <c r="A38" s="612">
        <f t="shared" si="0"/>
        <v>30</v>
      </c>
      <c r="B38" s="156"/>
      <c r="F38" s="302"/>
    </row>
    <row r="39" spans="1:6">
      <c r="A39" s="612">
        <f t="shared" si="0"/>
        <v>31</v>
      </c>
      <c r="C39" s="303" t="s">
        <v>1315</v>
      </c>
      <c r="F39" s="302"/>
    </row>
    <row r="40" spans="1:6">
      <c r="A40" s="612">
        <f t="shared" si="0"/>
        <v>32</v>
      </c>
      <c r="B40" s="156"/>
      <c r="D40" s="177" t="s">
        <v>271</v>
      </c>
      <c r="E40" s="178" t="s">
        <v>114</v>
      </c>
      <c r="F40" s="310">
        <f>'Rate Calculation'!E51</f>
        <v>123140918.73938945</v>
      </c>
    </row>
    <row r="41" spans="1:6">
      <c r="A41" s="612">
        <f t="shared" si="0"/>
        <v>33</v>
      </c>
      <c r="E41" s="158"/>
      <c r="F41" s="302"/>
    </row>
    <row r="42" spans="1:6">
      <c r="A42" s="612">
        <f t="shared" ref="A42:A58" si="1">A41+1</f>
        <v>34</v>
      </c>
      <c r="D42" s="177" t="s">
        <v>517</v>
      </c>
      <c r="E42" s="178" t="s">
        <v>304</v>
      </c>
      <c r="F42" s="310">
        <f>'Schedule 5'!G24</f>
        <v>3939.5833333333335</v>
      </c>
    </row>
    <row r="43" spans="1:6">
      <c r="A43" s="612">
        <f t="shared" si="1"/>
        <v>35</v>
      </c>
      <c r="E43" s="158"/>
      <c r="F43" s="311"/>
    </row>
    <row r="44" spans="1:6">
      <c r="A44" s="612">
        <f t="shared" si="1"/>
        <v>36</v>
      </c>
      <c r="D44" s="177" t="s">
        <v>305</v>
      </c>
      <c r="E44" s="157" t="s">
        <v>263</v>
      </c>
      <c r="F44" s="312">
        <f>ROUND(F40/(F42*1000), 2)</f>
        <v>31.26</v>
      </c>
    </row>
    <row r="45" spans="1:6">
      <c r="A45" s="612">
        <f t="shared" si="1"/>
        <v>37</v>
      </c>
      <c r="D45" s="177" t="s">
        <v>306</v>
      </c>
      <c r="E45" s="178" t="s">
        <v>264</v>
      </c>
      <c r="F45" s="302">
        <f>ROUND(F44/12, 4)</f>
        <v>2.605</v>
      </c>
    </row>
    <row r="46" spans="1:6">
      <c r="A46" s="612">
        <f t="shared" si="1"/>
        <v>38</v>
      </c>
      <c r="E46" s="158"/>
    </row>
    <row r="47" spans="1:6">
      <c r="A47" s="612">
        <f t="shared" si="1"/>
        <v>39</v>
      </c>
      <c r="E47" s="158"/>
    </row>
    <row r="48" spans="1:6">
      <c r="A48" s="612">
        <f t="shared" si="1"/>
        <v>40</v>
      </c>
      <c r="C48" s="303" t="s">
        <v>1170</v>
      </c>
      <c r="E48" s="158"/>
      <c r="F48" s="302"/>
    </row>
    <row r="49" spans="1:6">
      <c r="A49" s="612">
        <f t="shared" si="1"/>
        <v>41</v>
      </c>
      <c r="B49" s="156"/>
      <c r="D49" s="177" t="s">
        <v>271</v>
      </c>
      <c r="E49" s="178" t="s">
        <v>265</v>
      </c>
      <c r="F49" s="310">
        <f>F40-F30</f>
        <v>123131008.94074924</v>
      </c>
    </row>
    <row r="50" spans="1:6">
      <c r="A50" s="612">
        <f t="shared" si="1"/>
        <v>42</v>
      </c>
      <c r="E50" s="158"/>
      <c r="F50" s="302"/>
    </row>
    <row r="51" spans="1:6">
      <c r="A51" s="612">
        <f t="shared" si="1"/>
        <v>43</v>
      </c>
      <c r="D51" s="177" t="s">
        <v>517</v>
      </c>
      <c r="E51" s="178" t="s">
        <v>304</v>
      </c>
      <c r="F51" s="310">
        <f>'Schedule 5'!G24</f>
        <v>3939.5833333333335</v>
      </c>
    </row>
    <row r="52" spans="1:6">
      <c r="A52" s="612">
        <f t="shared" si="1"/>
        <v>44</v>
      </c>
      <c r="E52" s="158"/>
      <c r="F52" s="311"/>
    </row>
    <row r="53" spans="1:6">
      <c r="A53" s="612">
        <f t="shared" si="1"/>
        <v>45</v>
      </c>
      <c r="D53" s="177" t="s">
        <v>305</v>
      </c>
      <c r="E53" s="157" t="s">
        <v>266</v>
      </c>
      <c r="F53" s="312">
        <f>ROUND(F49/(F51*1000), 2)</f>
        <v>31.25</v>
      </c>
    </row>
    <row r="54" spans="1:6">
      <c r="A54" s="612">
        <f t="shared" si="1"/>
        <v>46</v>
      </c>
      <c r="D54" s="177" t="s">
        <v>306</v>
      </c>
      <c r="E54" s="178" t="s">
        <v>267</v>
      </c>
      <c r="F54" s="313">
        <f>ROUND(F53/12, 4)</f>
        <v>2.6042000000000001</v>
      </c>
    </row>
    <row r="55" spans="1:6">
      <c r="A55" s="612">
        <f t="shared" si="1"/>
        <v>47</v>
      </c>
      <c r="B55" s="156"/>
    </row>
    <row r="56" spans="1:6">
      <c r="A56" s="612">
        <f t="shared" si="1"/>
        <v>48</v>
      </c>
      <c r="B56" s="156"/>
    </row>
    <row r="57" spans="1:6">
      <c r="A57" s="612">
        <f t="shared" si="1"/>
        <v>49</v>
      </c>
      <c r="D57" s="156" t="s">
        <v>1316</v>
      </c>
      <c r="E57" s="178" t="s">
        <v>512</v>
      </c>
      <c r="F57" s="154">
        <f>F45-F54</f>
        <v>7.9999999999991189E-4</v>
      </c>
    </row>
    <row r="58" spans="1:6">
      <c r="A58" s="612">
        <f t="shared" si="1"/>
        <v>50</v>
      </c>
      <c r="D58" s="156" t="s">
        <v>268</v>
      </c>
      <c r="E58" s="156"/>
      <c r="F58" s="154" t="str">
        <f>IF(F57&gt;0.049999999, "YES", "NO")</f>
        <v>NO</v>
      </c>
    </row>
    <row r="62" spans="1:6">
      <c r="B62" s="156"/>
    </row>
    <row r="69" spans="2:6">
      <c r="F69" s="160"/>
    </row>
    <row r="70" spans="2:6">
      <c r="F70" s="160"/>
    </row>
    <row r="72" spans="2:6">
      <c r="F72" s="152"/>
    </row>
    <row r="73" spans="2:6">
      <c r="B73" s="156"/>
      <c r="F73" s="152"/>
    </row>
    <row r="76" spans="2:6">
      <c r="F76" s="160"/>
    </row>
    <row r="77" spans="2:6">
      <c r="F77" s="160"/>
    </row>
    <row r="80" spans="2:6">
      <c r="B80" s="156"/>
    </row>
    <row r="86" spans="2:2">
      <c r="B86" s="156"/>
    </row>
    <row r="87" spans="2:2">
      <c r="B87" s="156"/>
    </row>
    <row r="102" spans="2:2">
      <c r="B102" s="156"/>
    </row>
    <row r="108" spans="2:2">
      <c r="B108" s="156"/>
    </row>
    <row r="113" spans="2:2">
      <c r="B113" s="156"/>
    </row>
  </sheetData>
  <sheetProtection formatCells="0"/>
  <mergeCells count="2">
    <mergeCell ref="A1:F1"/>
    <mergeCell ref="A2:F2"/>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12/31/2017</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8"/>
  <sheetViews>
    <sheetView zoomScaleNormal="100" zoomScaleSheetLayoutView="100" workbookViewId="0"/>
  </sheetViews>
  <sheetFormatPr defaultRowHeight="12.75"/>
  <cols>
    <col min="1" max="1" width="1.7109375" style="196" customWidth="1"/>
    <col min="2" max="2" width="27.42578125" style="196" customWidth="1"/>
    <col min="3" max="3" width="3.140625" style="196" customWidth="1"/>
    <col min="4" max="4" width="73.5703125" style="196" bestFit="1" customWidth="1"/>
    <col min="5" max="5" width="2.28515625" style="196" customWidth="1"/>
    <col min="6" max="6" width="6.5703125" style="196" customWidth="1"/>
    <col min="7" max="7" width="12" style="196" customWidth="1"/>
    <col min="8" max="16384" width="9.140625" style="196"/>
  </cols>
  <sheetData>
    <row r="1" spans="1:7">
      <c r="D1" s="26"/>
    </row>
    <row r="2" spans="1:7">
      <c r="D2" s="609"/>
    </row>
    <row r="3" spans="1:7">
      <c r="A3" s="656" t="s">
        <v>47</v>
      </c>
      <c r="B3" s="656"/>
      <c r="C3" s="656"/>
      <c r="D3" s="656"/>
      <c r="E3" s="656"/>
      <c r="F3" s="656"/>
      <c r="G3" s="656"/>
    </row>
    <row r="4" spans="1:7">
      <c r="A4" s="608"/>
      <c r="B4" s="608"/>
      <c r="C4" s="608"/>
      <c r="D4" s="609"/>
    </row>
    <row r="5" spans="1:7">
      <c r="A5" s="608"/>
      <c r="B5" s="608"/>
      <c r="C5" s="608"/>
      <c r="D5" s="27"/>
    </row>
    <row r="6" spans="1:7">
      <c r="D6" s="26"/>
      <c r="F6" s="656" t="s">
        <v>730</v>
      </c>
      <c r="G6" s="656"/>
    </row>
    <row r="7" spans="1:7" s="608" customFormat="1">
      <c r="B7" s="51" t="s">
        <v>728</v>
      </c>
      <c r="D7" s="51" t="s">
        <v>729</v>
      </c>
      <c r="F7" s="655" t="s">
        <v>321</v>
      </c>
      <c r="G7" s="655"/>
    </row>
    <row r="8" spans="1:7" ht="25.5">
      <c r="A8" s="608"/>
      <c r="B8" s="72" t="s">
        <v>46</v>
      </c>
      <c r="D8" s="151" t="s">
        <v>1354</v>
      </c>
    </row>
    <row r="9" spans="1:7">
      <c r="A9" s="608"/>
      <c r="B9" s="196" t="s">
        <v>47</v>
      </c>
      <c r="D9" s="196" t="s">
        <v>47</v>
      </c>
    </row>
    <row r="10" spans="1:7">
      <c r="A10" s="608"/>
      <c r="B10" s="196" t="s">
        <v>48</v>
      </c>
      <c r="D10" s="196" t="s">
        <v>724</v>
      </c>
      <c r="F10" s="196" t="s">
        <v>741</v>
      </c>
      <c r="G10" s="196" t="s">
        <v>727</v>
      </c>
    </row>
    <row r="11" spans="1:7">
      <c r="A11" s="608"/>
      <c r="B11" s="196" t="s">
        <v>722</v>
      </c>
      <c r="D11" s="196" t="s">
        <v>705</v>
      </c>
      <c r="F11" s="196" t="s">
        <v>741</v>
      </c>
      <c r="G11" s="196" t="s">
        <v>727</v>
      </c>
    </row>
    <row r="12" spans="1:7">
      <c r="A12" s="608"/>
      <c r="B12" s="196" t="s">
        <v>723</v>
      </c>
      <c r="D12" s="196" t="s">
        <v>725</v>
      </c>
      <c r="F12" s="196" t="s">
        <v>741</v>
      </c>
      <c r="G12" s="196" t="s">
        <v>727</v>
      </c>
    </row>
    <row r="13" spans="1:7">
      <c r="A13" s="608"/>
      <c r="B13" s="196" t="s">
        <v>714</v>
      </c>
      <c r="D13" s="196" t="s">
        <v>302</v>
      </c>
      <c r="F13" s="196" t="s">
        <v>741</v>
      </c>
      <c r="G13" s="196" t="s">
        <v>727</v>
      </c>
    </row>
    <row r="14" spans="1:7">
      <c r="A14" s="608"/>
      <c r="B14" s="196" t="s">
        <v>114</v>
      </c>
      <c r="D14" s="196" t="s">
        <v>322</v>
      </c>
      <c r="G14" s="196" t="s">
        <v>727</v>
      </c>
    </row>
    <row r="15" spans="1:7">
      <c r="A15" s="608"/>
      <c r="B15" s="196" t="s">
        <v>233</v>
      </c>
      <c r="D15" s="196" t="s">
        <v>312</v>
      </c>
      <c r="G15" s="196" t="s">
        <v>727</v>
      </c>
    </row>
    <row r="16" spans="1:7">
      <c r="A16" s="608"/>
      <c r="B16" s="196" t="s">
        <v>243</v>
      </c>
      <c r="D16" s="196" t="s">
        <v>387</v>
      </c>
      <c r="G16" s="196" t="s">
        <v>727</v>
      </c>
    </row>
    <row r="17" spans="1:7">
      <c r="A17" s="608"/>
      <c r="B17" s="196" t="s">
        <v>315</v>
      </c>
      <c r="D17" s="196" t="s">
        <v>396</v>
      </c>
      <c r="G17" s="196" t="s">
        <v>727</v>
      </c>
    </row>
    <row r="18" spans="1:7">
      <c r="A18" s="608"/>
      <c r="B18" s="196" t="s">
        <v>303</v>
      </c>
      <c r="D18" s="196" t="s">
        <v>302</v>
      </c>
      <c r="G18" s="196" t="s">
        <v>727</v>
      </c>
    </row>
    <row r="19" spans="1:7">
      <c r="A19" s="608"/>
      <c r="B19" s="196" t="s">
        <v>304</v>
      </c>
      <c r="D19" s="196" t="s">
        <v>968</v>
      </c>
      <c r="F19" s="196" t="s">
        <v>742</v>
      </c>
      <c r="G19" s="196" t="s">
        <v>727</v>
      </c>
    </row>
    <row r="20" spans="1:7">
      <c r="A20" s="608"/>
      <c r="B20" s="196" t="s">
        <v>239</v>
      </c>
      <c r="D20" s="196" t="s">
        <v>51</v>
      </c>
      <c r="G20" s="196" t="s">
        <v>727</v>
      </c>
    </row>
    <row r="21" spans="1:7">
      <c r="A21" s="608"/>
      <c r="B21" s="196" t="s">
        <v>181</v>
      </c>
      <c r="D21" s="196" t="s">
        <v>54</v>
      </c>
      <c r="F21" s="196" t="s">
        <v>743</v>
      </c>
      <c r="G21" s="196" t="s">
        <v>727</v>
      </c>
    </row>
    <row r="22" spans="1:7" ht="25.5">
      <c r="A22" s="608"/>
      <c r="B22" s="72" t="s">
        <v>569</v>
      </c>
      <c r="D22" s="64" t="s">
        <v>750</v>
      </c>
      <c r="F22" s="72" t="s">
        <v>752</v>
      </c>
      <c r="G22" s="72" t="s">
        <v>727</v>
      </c>
    </row>
    <row r="23" spans="1:7">
      <c r="A23" s="608"/>
      <c r="B23" s="196" t="s">
        <v>44</v>
      </c>
      <c r="D23" s="196" t="s">
        <v>753</v>
      </c>
      <c r="F23" s="196" t="s">
        <v>751</v>
      </c>
      <c r="G23" s="196" t="s">
        <v>727</v>
      </c>
    </row>
    <row r="24" spans="1:7">
      <c r="A24" s="608"/>
      <c r="B24" s="197" t="s">
        <v>690</v>
      </c>
      <c r="D24" s="196" t="s">
        <v>691</v>
      </c>
      <c r="F24" s="196" t="s">
        <v>692</v>
      </c>
    </row>
    <row r="25" spans="1:7" ht="25.5">
      <c r="A25" s="608"/>
      <c r="B25" s="73" t="s">
        <v>693</v>
      </c>
      <c r="D25" s="64" t="s">
        <v>890</v>
      </c>
      <c r="F25" s="72" t="s">
        <v>694</v>
      </c>
    </row>
    <row r="26" spans="1:7">
      <c r="A26" s="608"/>
      <c r="B26" s="196" t="s">
        <v>244</v>
      </c>
      <c r="D26" s="196" t="s">
        <v>245</v>
      </c>
      <c r="F26" s="196" t="s">
        <v>269</v>
      </c>
    </row>
    <row r="27" spans="1:7">
      <c r="A27" s="608"/>
      <c r="B27" s="196" t="s">
        <v>702</v>
      </c>
      <c r="D27" s="64" t="s">
        <v>395</v>
      </c>
      <c r="F27" s="196" t="s">
        <v>703</v>
      </c>
    </row>
    <row r="28" spans="1:7">
      <c r="A28" s="608"/>
      <c r="B28" s="73"/>
      <c r="D28" s="64"/>
      <c r="F28" s="72"/>
    </row>
    <row r="29" spans="1:7">
      <c r="A29" s="608"/>
      <c r="B29" s="73" t="s">
        <v>479</v>
      </c>
      <c r="D29" s="64" t="s">
        <v>480</v>
      </c>
      <c r="F29" s="72"/>
    </row>
    <row r="30" spans="1:7">
      <c r="A30" s="608"/>
      <c r="B30" s="196" t="s">
        <v>190</v>
      </c>
      <c r="D30" s="196" t="s">
        <v>214</v>
      </c>
      <c r="G30" s="196" t="s">
        <v>727</v>
      </c>
    </row>
    <row r="31" spans="1:7">
      <c r="A31" s="608"/>
      <c r="B31" s="196" t="s">
        <v>78</v>
      </c>
      <c r="D31" s="196" t="s">
        <v>582</v>
      </c>
      <c r="F31" s="196" t="s">
        <v>743</v>
      </c>
      <c r="G31" s="196" t="s">
        <v>727</v>
      </c>
    </row>
    <row r="32" spans="1:7">
      <c r="A32" s="608"/>
      <c r="B32" s="196" t="s">
        <v>79</v>
      </c>
      <c r="D32" s="196" t="s">
        <v>627</v>
      </c>
      <c r="G32" s="196" t="s">
        <v>727</v>
      </c>
    </row>
    <row r="33" spans="1:7">
      <c r="A33" s="608"/>
      <c r="B33" s="196" t="s">
        <v>80</v>
      </c>
      <c r="D33" s="196" t="s">
        <v>49</v>
      </c>
      <c r="F33" s="196" t="s">
        <v>744</v>
      </c>
      <c r="G33" s="196" t="s">
        <v>727</v>
      </c>
    </row>
    <row r="34" spans="1:7">
      <c r="A34" s="608"/>
      <c r="B34" s="196" t="s">
        <v>323</v>
      </c>
      <c r="D34" s="196" t="s">
        <v>324</v>
      </c>
      <c r="F34" s="196" t="s">
        <v>744</v>
      </c>
      <c r="G34" s="196" t="s">
        <v>727</v>
      </c>
    </row>
    <row r="35" spans="1:7">
      <c r="A35" s="608"/>
      <c r="B35" s="196" t="s">
        <v>1056</v>
      </c>
      <c r="D35" s="196" t="s">
        <v>912</v>
      </c>
      <c r="F35" s="196" t="s">
        <v>743</v>
      </c>
    </row>
    <row r="36" spans="1:7">
      <c r="A36" s="608"/>
      <c r="B36" s="196" t="s">
        <v>81</v>
      </c>
      <c r="D36" s="196" t="s">
        <v>87</v>
      </c>
      <c r="F36" s="196" t="s">
        <v>745</v>
      </c>
      <c r="G36" s="196" t="s">
        <v>727</v>
      </c>
    </row>
    <row r="37" spans="1:7">
      <c r="A37" s="608"/>
      <c r="B37" s="196" t="s">
        <v>82</v>
      </c>
      <c r="D37" s="196" t="s">
        <v>88</v>
      </c>
      <c r="F37" s="196" t="s">
        <v>745</v>
      </c>
      <c r="G37" s="196" t="s">
        <v>727</v>
      </c>
    </row>
    <row r="38" spans="1:7">
      <c r="A38" s="608"/>
      <c r="B38" s="196" t="s">
        <v>83</v>
      </c>
      <c r="D38" s="196" t="s">
        <v>588</v>
      </c>
      <c r="F38" s="196" t="s">
        <v>745</v>
      </c>
      <c r="G38" s="196" t="s">
        <v>727</v>
      </c>
    </row>
    <row r="39" spans="1:7">
      <c r="A39" s="608"/>
      <c r="B39" s="196" t="s">
        <v>84</v>
      </c>
      <c r="D39" s="196" t="s">
        <v>89</v>
      </c>
      <c r="F39" s="196" t="s">
        <v>745</v>
      </c>
      <c r="G39" s="196" t="s">
        <v>727</v>
      </c>
    </row>
    <row r="40" spans="1:7">
      <c r="A40" s="608"/>
      <c r="B40" s="196" t="s">
        <v>85</v>
      </c>
      <c r="D40" s="196" t="s">
        <v>967</v>
      </c>
      <c r="G40" s="196" t="s">
        <v>727</v>
      </c>
    </row>
    <row r="41" spans="1:7" ht="25.5">
      <c r="A41" s="608"/>
      <c r="B41" s="72" t="s">
        <v>86</v>
      </c>
      <c r="D41" s="64" t="s">
        <v>97</v>
      </c>
      <c r="F41" s="72" t="s">
        <v>746</v>
      </c>
      <c r="G41" s="72" t="s">
        <v>727</v>
      </c>
    </row>
    <row r="42" spans="1:7" ht="25.5">
      <c r="A42" s="608"/>
      <c r="B42" s="72" t="s">
        <v>95</v>
      </c>
      <c r="D42" s="64" t="s">
        <v>96</v>
      </c>
      <c r="F42" s="72" t="s">
        <v>746</v>
      </c>
      <c r="G42" s="72" t="s">
        <v>727</v>
      </c>
    </row>
    <row r="43" spans="1:7">
      <c r="A43" s="608"/>
      <c r="B43" s="196" t="s">
        <v>50</v>
      </c>
      <c r="D43" s="196" t="s">
        <v>969</v>
      </c>
      <c r="F43" s="196" t="s">
        <v>742</v>
      </c>
      <c r="G43" s="196" t="s">
        <v>727</v>
      </c>
    </row>
    <row r="44" spans="1:7">
      <c r="A44" s="608"/>
      <c r="B44" s="196" t="s">
        <v>52</v>
      </c>
      <c r="D44" s="196" t="s">
        <v>53</v>
      </c>
      <c r="F44" s="196" t="s">
        <v>747</v>
      </c>
      <c r="G44" s="196" t="s">
        <v>727</v>
      </c>
    </row>
    <row r="45" spans="1:7">
      <c r="A45" s="608"/>
      <c r="B45" s="196" t="s">
        <v>105</v>
      </c>
      <c r="D45" s="196" t="s">
        <v>104</v>
      </c>
      <c r="F45" s="196" t="s">
        <v>749</v>
      </c>
      <c r="G45" s="196" t="s">
        <v>727</v>
      </c>
    </row>
    <row r="46" spans="1:7">
      <c r="A46" s="608"/>
      <c r="B46" s="196" t="s">
        <v>108</v>
      </c>
      <c r="D46" s="196" t="s">
        <v>109</v>
      </c>
      <c r="F46" s="196" t="s">
        <v>748</v>
      </c>
      <c r="G46" s="196" t="s">
        <v>727</v>
      </c>
    </row>
    <row r="47" spans="1:7">
      <c r="B47" s="196" t="s">
        <v>826</v>
      </c>
      <c r="D47" s="196" t="s">
        <v>54</v>
      </c>
      <c r="F47" s="196" t="s">
        <v>743</v>
      </c>
      <c r="G47" s="196" t="s">
        <v>727</v>
      </c>
    </row>
    <row r="48" spans="1:7" ht="25.5">
      <c r="B48" s="72" t="s">
        <v>12</v>
      </c>
      <c r="D48" s="64" t="s">
        <v>750</v>
      </c>
      <c r="F48" s="72" t="s">
        <v>752</v>
      </c>
      <c r="G48" s="72" t="s">
        <v>727</v>
      </c>
    </row>
  </sheetData>
  <mergeCells count="3">
    <mergeCell ref="F7:G7"/>
    <mergeCell ref="F6:G6"/>
    <mergeCell ref="A3:G3"/>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12/31/2017</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23"/>
  <sheetViews>
    <sheetView zoomScaleNormal="100" zoomScaleSheetLayoutView="100" workbookViewId="0">
      <selection sqref="A1:B1"/>
    </sheetView>
  </sheetViews>
  <sheetFormatPr defaultRowHeight="12.75"/>
  <cols>
    <col min="1" max="1" width="4.7109375" style="608" customWidth="1"/>
    <col min="2" max="2" width="73.42578125" style="196" customWidth="1"/>
    <col min="3" max="16384" width="9.140625" style="196"/>
  </cols>
  <sheetData>
    <row r="1" spans="1:2">
      <c r="A1" s="657" t="s">
        <v>701</v>
      </c>
      <c r="B1" s="657"/>
    </row>
    <row r="2" spans="1:2">
      <c r="A2" s="657" t="s">
        <v>394</v>
      </c>
      <c r="B2" s="657"/>
    </row>
    <row r="3" spans="1:2">
      <c r="B3" s="608"/>
    </row>
    <row r="5" spans="1:2">
      <c r="B5" s="64"/>
    </row>
    <row r="6" spans="1:2">
      <c r="A6" s="133"/>
      <c r="B6" s="64"/>
    </row>
    <row r="15" spans="1:2">
      <c r="B15" s="197"/>
    </row>
    <row r="16" spans="1:2">
      <c r="A16" s="133"/>
      <c r="B16" s="64"/>
    </row>
    <row r="23" spans="1:1">
      <c r="A23" s="141"/>
    </row>
  </sheetData>
  <mergeCells count="2">
    <mergeCell ref="A1:B1"/>
    <mergeCell ref="A2:B2"/>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12/31/2017</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8:I8"/>
  <sheetViews>
    <sheetView zoomScaleNormal="100" zoomScaleSheetLayoutView="100" workbookViewId="0"/>
  </sheetViews>
  <sheetFormatPr defaultRowHeight="12.75"/>
  <cols>
    <col min="1" max="16384" width="9.140625" style="196"/>
  </cols>
  <sheetData>
    <row r="8" spans="1:9">
      <c r="A8" s="657" t="s">
        <v>481</v>
      </c>
      <c r="B8" s="657"/>
      <c r="C8" s="657"/>
      <c r="D8" s="657"/>
      <c r="E8" s="657"/>
      <c r="F8" s="657"/>
      <c r="G8" s="657"/>
      <c r="H8" s="657"/>
      <c r="I8" s="657"/>
    </row>
  </sheetData>
  <mergeCells count="1">
    <mergeCell ref="A8:I8"/>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12/31/2017</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F92"/>
  <sheetViews>
    <sheetView zoomScaleNormal="100" zoomScaleSheetLayoutView="100" workbookViewId="0">
      <selection activeCell="F7" sqref="F7"/>
    </sheetView>
  </sheetViews>
  <sheetFormatPr defaultRowHeight="12.75"/>
  <cols>
    <col min="1" max="1" width="5.140625" style="612" customWidth="1"/>
    <col min="2" max="2" width="4.140625" style="152" customWidth="1"/>
    <col min="3" max="3" width="4" style="152" customWidth="1"/>
    <col min="4" max="4" width="40.42578125" style="152" customWidth="1"/>
    <col min="5" max="5" width="25.140625" style="158" bestFit="1" customWidth="1"/>
    <col min="6" max="6" width="17.85546875" style="157" customWidth="1"/>
    <col min="7" max="16384" width="9.140625" style="152"/>
  </cols>
  <sheetData>
    <row r="1" spans="1:6" ht="15" customHeight="1">
      <c r="A1" s="666" t="s">
        <v>359</v>
      </c>
      <c r="B1" s="666"/>
      <c r="C1" s="666"/>
      <c r="D1" s="666"/>
      <c r="E1" s="666"/>
      <c r="F1" s="666"/>
    </row>
    <row r="2" spans="1:6">
      <c r="A2" s="666" t="s">
        <v>214</v>
      </c>
      <c r="B2" s="666"/>
      <c r="C2" s="666"/>
      <c r="D2" s="666"/>
      <c r="E2" s="666"/>
      <c r="F2" s="666"/>
    </row>
    <row r="4" spans="1:6">
      <c r="E4" s="154" t="s">
        <v>229</v>
      </c>
      <c r="F4" s="155" t="s">
        <v>230</v>
      </c>
    </row>
    <row r="5" spans="1:6">
      <c r="A5" s="612">
        <v>1</v>
      </c>
      <c r="B5" s="156" t="s">
        <v>313</v>
      </c>
      <c r="E5" s="154"/>
    </row>
    <row r="6" spans="1:6">
      <c r="A6" s="612">
        <f>A5+1</f>
        <v>2</v>
      </c>
      <c r="E6" s="154"/>
    </row>
    <row r="7" spans="1:6">
      <c r="A7" s="612">
        <f>A6+1</f>
        <v>3</v>
      </c>
      <c r="D7" s="152" t="s">
        <v>460</v>
      </c>
      <c r="E7" s="158" t="s">
        <v>465</v>
      </c>
      <c r="F7" s="157">
        <v>272026950</v>
      </c>
    </row>
    <row r="8" spans="1:6" ht="15">
      <c r="A8" s="612">
        <f>A7+1</f>
        <v>4</v>
      </c>
      <c r="D8" s="152" t="s">
        <v>966</v>
      </c>
      <c r="E8" s="158" t="s">
        <v>947</v>
      </c>
      <c r="F8" s="642">
        <v>-98743759</v>
      </c>
    </row>
    <row r="9" spans="1:6">
      <c r="A9" s="612">
        <f>A8+1</f>
        <v>5</v>
      </c>
    </row>
    <row r="10" spans="1:6">
      <c r="A10" s="612">
        <f>A9+1</f>
        <v>6</v>
      </c>
      <c r="D10" s="152" t="s">
        <v>191</v>
      </c>
      <c r="F10" s="157">
        <f>SUM(F7:F9)</f>
        <v>173283191</v>
      </c>
    </row>
    <row r="13" spans="1:6">
      <c r="A13" s="152"/>
      <c r="E13" s="152"/>
      <c r="F13" s="152"/>
    </row>
    <row r="14" spans="1:6" ht="15" customHeight="1">
      <c r="A14" s="152"/>
      <c r="D14" s="302"/>
      <c r="E14" s="152"/>
      <c r="F14" s="152"/>
    </row>
    <row r="21" spans="2:6">
      <c r="B21" s="156"/>
    </row>
    <row r="24" spans="2:6">
      <c r="E24" s="160"/>
      <c r="F24" s="159"/>
    </row>
    <row r="28" spans="2:6">
      <c r="B28" s="156"/>
    </row>
    <row r="29" spans="2:6">
      <c r="B29" s="156"/>
    </row>
    <row r="31" spans="2:6">
      <c r="F31" s="159"/>
    </row>
    <row r="35" spans="2:6">
      <c r="B35" s="156"/>
    </row>
    <row r="42" spans="2:6">
      <c r="E42" s="160"/>
      <c r="F42" s="159"/>
    </row>
    <row r="43" spans="2:6">
      <c r="E43" s="160"/>
    </row>
    <row r="45" spans="2:6">
      <c r="E45" s="152"/>
      <c r="F45" s="152"/>
    </row>
    <row r="46" spans="2:6">
      <c r="B46" s="156"/>
      <c r="E46" s="152"/>
      <c r="F46" s="152"/>
    </row>
    <row r="48" spans="2:6">
      <c r="F48" s="162"/>
    </row>
    <row r="49" spans="2:6">
      <c r="E49" s="160"/>
    </row>
    <row r="50" spans="2:6">
      <c r="E50" s="160"/>
    </row>
    <row r="53" spans="2:6">
      <c r="B53" s="156"/>
    </row>
    <row r="56" spans="2:6">
      <c r="F56" s="159"/>
    </row>
    <row r="59" spans="2:6">
      <c r="B59" s="156"/>
    </row>
    <row r="60" spans="2:6">
      <c r="B60" s="156"/>
    </row>
    <row r="65" spans="2:6">
      <c r="F65" s="159"/>
    </row>
    <row r="71" spans="2:6">
      <c r="F71" s="161"/>
    </row>
    <row r="75" spans="2:6">
      <c r="B75" s="156"/>
    </row>
    <row r="78" spans="2:6">
      <c r="F78" s="159"/>
    </row>
    <row r="81" spans="2:6">
      <c r="B81" s="156"/>
    </row>
    <row r="83" spans="2:6">
      <c r="F83" s="159"/>
    </row>
    <row r="86" spans="2:6">
      <c r="B86" s="156"/>
    </row>
    <row r="89" spans="2:6">
      <c r="F89" s="159"/>
    </row>
    <row r="92" spans="2:6">
      <c r="F92" s="159"/>
    </row>
  </sheetData>
  <sheetProtection formatCells="0"/>
  <mergeCells count="2">
    <mergeCell ref="A1:F1"/>
    <mergeCell ref="A2:F2"/>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12/31/2017</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G64"/>
  <sheetViews>
    <sheetView zoomScaleNormal="100" zoomScaleSheetLayoutView="100" workbookViewId="0">
      <selection sqref="A1:E1"/>
    </sheetView>
  </sheetViews>
  <sheetFormatPr defaultRowHeight="12.75"/>
  <cols>
    <col min="1" max="1" width="9.28515625" style="152" bestFit="1" customWidth="1"/>
    <col min="2" max="2" width="2.7109375" style="152" customWidth="1"/>
    <col min="3" max="3" width="56.42578125" style="177" customWidth="1"/>
    <col min="4" max="4" width="4.42578125" style="177" customWidth="1"/>
    <col min="5" max="5" width="13.28515625" style="176" customWidth="1"/>
    <col min="6" max="6" width="9.140625" style="152"/>
    <col min="7" max="7" width="11.28515625" style="152" bestFit="1" customWidth="1"/>
    <col min="8" max="16384" width="9.140625" style="152"/>
  </cols>
  <sheetData>
    <row r="1" spans="1:5">
      <c r="A1" s="666" t="s">
        <v>581</v>
      </c>
      <c r="B1" s="666"/>
      <c r="C1" s="666"/>
      <c r="D1" s="666"/>
      <c r="E1" s="666"/>
    </row>
    <row r="2" spans="1:5">
      <c r="A2" s="666" t="s">
        <v>582</v>
      </c>
      <c r="B2" s="666"/>
      <c r="C2" s="666"/>
      <c r="D2" s="666"/>
      <c r="E2" s="666"/>
    </row>
    <row r="4" spans="1:5">
      <c r="A4" s="612">
        <v>1</v>
      </c>
      <c r="B4" s="170" t="s">
        <v>583</v>
      </c>
      <c r="C4" s="171"/>
      <c r="D4" s="171"/>
      <c r="E4" s="172"/>
    </row>
    <row r="5" spans="1:5">
      <c r="A5" s="612">
        <f>A4+1</f>
        <v>2</v>
      </c>
      <c r="C5" s="173" t="s">
        <v>584</v>
      </c>
      <c r="D5" s="173"/>
      <c r="E5" s="127">
        <v>0</v>
      </c>
    </row>
    <row r="6" spans="1:5">
      <c r="A6" s="612">
        <f t="shared" ref="A6:A64" si="0">A5+1</f>
        <v>3</v>
      </c>
      <c r="C6" s="173" t="s">
        <v>585</v>
      </c>
      <c r="D6" s="173"/>
      <c r="E6" s="127">
        <v>11.42</v>
      </c>
    </row>
    <row r="7" spans="1:5">
      <c r="A7" s="612">
        <f t="shared" si="0"/>
        <v>4</v>
      </c>
      <c r="C7" s="173" t="s">
        <v>586</v>
      </c>
      <c r="D7" s="173"/>
      <c r="E7" s="127">
        <v>4973.7699999999986</v>
      </c>
    </row>
    <row r="8" spans="1:5">
      <c r="A8" s="612">
        <f t="shared" si="0"/>
        <v>5</v>
      </c>
      <c r="C8" s="173" t="s">
        <v>587</v>
      </c>
      <c r="D8" s="173"/>
      <c r="E8" s="127">
        <v>215.15999999999997</v>
      </c>
    </row>
    <row r="9" spans="1:5">
      <c r="A9" s="612">
        <f t="shared" si="0"/>
        <v>6</v>
      </c>
      <c r="C9" s="173" t="s">
        <v>591</v>
      </c>
      <c r="D9" s="173"/>
      <c r="E9" s="127">
        <v>0</v>
      </c>
    </row>
    <row r="10" spans="1:5">
      <c r="A10" s="612">
        <f t="shared" si="0"/>
        <v>7</v>
      </c>
      <c r="C10" s="173" t="s">
        <v>592</v>
      </c>
      <c r="D10" s="173"/>
      <c r="E10" s="127">
        <v>2161.7599999999998</v>
      </c>
    </row>
    <row r="11" spans="1:5">
      <c r="A11" s="612">
        <f t="shared" si="0"/>
        <v>8</v>
      </c>
      <c r="C11" s="173" t="s">
        <v>593</v>
      </c>
      <c r="D11" s="173"/>
      <c r="E11" s="127">
        <v>3212.7099999999991</v>
      </c>
    </row>
    <row r="12" spans="1:5">
      <c r="A12" s="612">
        <f t="shared" si="0"/>
        <v>9</v>
      </c>
      <c r="C12" s="173" t="s">
        <v>594</v>
      </c>
      <c r="D12" s="173"/>
      <c r="E12" s="127">
        <v>4264.119999999999</v>
      </c>
    </row>
    <row r="13" spans="1:5">
      <c r="A13" s="612">
        <f t="shared" si="0"/>
        <v>10</v>
      </c>
      <c r="C13" s="173" t="s">
        <v>595</v>
      </c>
      <c r="D13" s="173"/>
      <c r="E13" s="127">
        <v>1971.2199999999998</v>
      </c>
    </row>
    <row r="14" spans="1:5">
      <c r="A14" s="612">
        <f t="shared" si="0"/>
        <v>11</v>
      </c>
      <c r="C14" s="173" t="s">
        <v>596</v>
      </c>
      <c r="D14" s="173"/>
      <c r="E14" s="127">
        <v>34.86</v>
      </c>
    </row>
    <row r="15" spans="1:5">
      <c r="A15" s="612">
        <f t="shared" si="0"/>
        <v>12</v>
      </c>
      <c r="C15" s="173" t="s">
        <v>597</v>
      </c>
      <c r="D15" s="173"/>
      <c r="E15" s="127">
        <v>3900.2299999999996</v>
      </c>
    </row>
    <row r="16" spans="1:5">
      <c r="A16" s="612">
        <f t="shared" si="0"/>
        <v>13</v>
      </c>
      <c r="C16" s="173" t="s">
        <v>598</v>
      </c>
      <c r="D16" s="173"/>
      <c r="E16" s="127">
        <v>4781.1799999999985</v>
      </c>
    </row>
    <row r="17" spans="1:5">
      <c r="A17" s="612">
        <f t="shared" si="0"/>
        <v>14</v>
      </c>
      <c r="C17" s="173" t="s">
        <v>599</v>
      </c>
      <c r="D17" s="173"/>
      <c r="E17" s="127">
        <v>362.34999999999997</v>
      </c>
    </row>
    <row r="18" spans="1:5">
      <c r="A18" s="612">
        <f t="shared" si="0"/>
        <v>15</v>
      </c>
      <c r="C18" s="173" t="s">
        <v>600</v>
      </c>
      <c r="D18" s="173"/>
      <c r="E18" s="127">
        <v>0</v>
      </c>
    </row>
    <row r="19" spans="1:5">
      <c r="A19" s="612">
        <f t="shared" si="0"/>
        <v>16</v>
      </c>
      <c r="C19" s="173" t="s">
        <v>601</v>
      </c>
      <c r="D19" s="173"/>
      <c r="E19" s="127">
        <v>0</v>
      </c>
    </row>
    <row r="20" spans="1:5">
      <c r="A20" s="612">
        <f t="shared" si="0"/>
        <v>17</v>
      </c>
      <c r="C20" s="173" t="s">
        <v>602</v>
      </c>
      <c r="D20" s="173"/>
      <c r="E20" s="127">
        <v>0</v>
      </c>
    </row>
    <row r="21" spans="1:5">
      <c r="A21" s="612">
        <f t="shared" si="0"/>
        <v>18</v>
      </c>
      <c r="C21" s="173" t="s">
        <v>603</v>
      </c>
      <c r="D21" s="173"/>
      <c r="E21" s="127">
        <v>0</v>
      </c>
    </row>
    <row r="22" spans="1:5">
      <c r="A22" s="612">
        <f t="shared" si="0"/>
        <v>19</v>
      </c>
      <c r="C22" s="173" t="s">
        <v>604</v>
      </c>
      <c r="D22" s="173"/>
      <c r="E22" s="127">
        <v>0</v>
      </c>
    </row>
    <row r="23" spans="1:5">
      <c r="A23" s="612">
        <f t="shared" si="0"/>
        <v>20</v>
      </c>
      <c r="C23" s="173" t="s">
        <v>605</v>
      </c>
      <c r="D23" s="173"/>
      <c r="E23" s="127">
        <v>0</v>
      </c>
    </row>
    <row r="24" spans="1:5">
      <c r="A24" s="612">
        <f t="shared" si="0"/>
        <v>21</v>
      </c>
      <c r="C24" s="173" t="s">
        <v>797</v>
      </c>
      <c r="D24" s="173"/>
      <c r="E24" s="127">
        <v>0</v>
      </c>
    </row>
    <row r="25" spans="1:5">
      <c r="A25" s="612">
        <f t="shared" si="0"/>
        <v>22</v>
      </c>
      <c r="C25" s="173" t="s">
        <v>1012</v>
      </c>
      <c r="D25" s="173"/>
      <c r="E25" s="127">
        <v>0</v>
      </c>
    </row>
    <row r="26" spans="1:5">
      <c r="A26" s="612">
        <f t="shared" si="0"/>
        <v>23</v>
      </c>
      <c r="C26" s="173" t="s">
        <v>606</v>
      </c>
      <c r="D26" s="173"/>
      <c r="E26" s="127">
        <v>476.31</v>
      </c>
    </row>
    <row r="27" spans="1:5">
      <c r="A27" s="612">
        <f t="shared" si="0"/>
        <v>24</v>
      </c>
      <c r="C27" s="173" t="s">
        <v>607</v>
      </c>
      <c r="D27" s="173"/>
      <c r="E27" s="127">
        <v>0</v>
      </c>
    </row>
    <row r="28" spans="1:5">
      <c r="A28" s="612">
        <f t="shared" si="0"/>
        <v>25</v>
      </c>
      <c r="C28" s="173" t="s">
        <v>608</v>
      </c>
      <c r="D28" s="173"/>
      <c r="E28" s="127">
        <v>1939.46</v>
      </c>
    </row>
    <row r="29" spans="1:5">
      <c r="A29" s="612">
        <f t="shared" si="0"/>
        <v>26</v>
      </c>
      <c r="C29" s="173" t="s">
        <v>609</v>
      </c>
      <c r="D29" s="173"/>
      <c r="E29" s="127">
        <v>1423.3</v>
      </c>
    </row>
    <row r="30" spans="1:5">
      <c r="A30" s="612">
        <f t="shared" si="0"/>
        <v>27</v>
      </c>
      <c r="C30" s="173" t="s">
        <v>610</v>
      </c>
      <c r="D30" s="173"/>
      <c r="E30" s="127">
        <v>0</v>
      </c>
    </row>
    <row r="31" spans="1:5">
      <c r="A31" s="612">
        <f t="shared" si="0"/>
        <v>28</v>
      </c>
      <c r="C31" s="173" t="s">
        <v>611</v>
      </c>
      <c r="D31" s="173"/>
      <c r="E31" s="127">
        <v>5195.9299999999994</v>
      </c>
    </row>
    <row r="32" spans="1:5">
      <c r="A32" s="612">
        <f t="shared" si="0"/>
        <v>29</v>
      </c>
      <c r="C32" s="173" t="s">
        <v>612</v>
      </c>
      <c r="D32" s="173"/>
      <c r="E32" s="127">
        <v>0</v>
      </c>
    </row>
    <row r="33" spans="1:5">
      <c r="A33" s="612">
        <f t="shared" si="0"/>
        <v>30</v>
      </c>
      <c r="C33" s="173" t="s">
        <v>613</v>
      </c>
      <c r="D33" s="173"/>
      <c r="E33" s="127">
        <v>22442.800000000003</v>
      </c>
    </row>
    <row r="34" spans="1:5">
      <c r="A34" s="612">
        <f t="shared" si="0"/>
        <v>31</v>
      </c>
      <c r="C34" s="173" t="s">
        <v>614</v>
      </c>
      <c r="D34" s="173"/>
      <c r="E34" s="127">
        <v>0</v>
      </c>
    </row>
    <row r="35" spans="1:5">
      <c r="A35" s="612">
        <f t="shared" si="0"/>
        <v>32</v>
      </c>
      <c r="C35" s="173" t="s">
        <v>615</v>
      </c>
      <c r="D35" s="173"/>
      <c r="E35" s="127">
        <v>0</v>
      </c>
    </row>
    <row r="36" spans="1:5">
      <c r="A36" s="612">
        <f t="shared" si="0"/>
        <v>33</v>
      </c>
      <c r="C36" s="173" t="s">
        <v>616</v>
      </c>
      <c r="D36" s="173"/>
      <c r="E36" s="127">
        <v>880.27</v>
      </c>
    </row>
    <row r="37" spans="1:5">
      <c r="A37" s="612">
        <f t="shared" si="0"/>
        <v>34</v>
      </c>
      <c r="C37" s="173" t="s">
        <v>617</v>
      </c>
      <c r="D37" s="173"/>
      <c r="E37" s="127">
        <v>42045.140000000029</v>
      </c>
    </row>
    <row r="38" spans="1:5">
      <c r="A38" s="612">
        <f t="shared" si="0"/>
        <v>35</v>
      </c>
      <c r="C38" s="173" t="s">
        <v>618</v>
      </c>
      <c r="D38" s="173"/>
      <c r="E38" s="127">
        <v>0</v>
      </c>
    </row>
    <row r="39" spans="1:5">
      <c r="A39" s="612">
        <f t="shared" si="0"/>
        <v>36</v>
      </c>
      <c r="C39" s="173" t="s">
        <v>619</v>
      </c>
      <c r="D39" s="173"/>
      <c r="E39" s="127">
        <v>0</v>
      </c>
    </row>
    <row r="40" spans="1:5">
      <c r="A40" s="612">
        <f t="shared" si="0"/>
        <v>37</v>
      </c>
      <c r="C40" s="173" t="s">
        <v>620</v>
      </c>
      <c r="D40" s="173"/>
      <c r="E40" s="127">
        <v>0</v>
      </c>
    </row>
    <row r="41" spans="1:5">
      <c r="A41" s="612">
        <f t="shared" si="0"/>
        <v>38</v>
      </c>
      <c r="C41" s="173" t="s">
        <v>621</v>
      </c>
      <c r="D41" s="173"/>
      <c r="E41" s="127">
        <v>0</v>
      </c>
    </row>
    <row r="42" spans="1:5">
      <c r="A42" s="612">
        <f t="shared" si="0"/>
        <v>39</v>
      </c>
      <c r="C42" s="173" t="s">
        <v>622</v>
      </c>
      <c r="D42" s="173"/>
      <c r="E42" s="127">
        <v>751.77</v>
      </c>
    </row>
    <row r="43" spans="1:5">
      <c r="A43" s="612">
        <f t="shared" si="0"/>
        <v>40</v>
      </c>
      <c r="C43" s="173" t="s">
        <v>623</v>
      </c>
      <c r="D43" s="173"/>
      <c r="E43" s="127">
        <v>0</v>
      </c>
    </row>
    <row r="44" spans="1:5">
      <c r="A44" s="612">
        <f t="shared" si="0"/>
        <v>41</v>
      </c>
      <c r="C44" s="173" t="s">
        <v>624</v>
      </c>
      <c r="D44" s="173"/>
      <c r="E44" s="127">
        <v>0</v>
      </c>
    </row>
    <row r="45" spans="1:5">
      <c r="A45" s="612">
        <f t="shared" si="0"/>
        <v>42</v>
      </c>
      <c r="C45" s="173" t="s">
        <v>798</v>
      </c>
      <c r="D45" s="173"/>
      <c r="E45" s="127">
        <v>0</v>
      </c>
    </row>
    <row r="46" spans="1:5">
      <c r="A46" s="612">
        <f t="shared" si="0"/>
        <v>43</v>
      </c>
      <c r="C46" s="152" t="s">
        <v>1021</v>
      </c>
      <c r="D46" s="173"/>
      <c r="E46" s="127">
        <v>522.77</v>
      </c>
    </row>
    <row r="47" spans="1:5">
      <c r="A47" s="612">
        <f t="shared" si="0"/>
        <v>44</v>
      </c>
      <c r="C47" s="173" t="s">
        <v>1013</v>
      </c>
      <c r="D47" s="173"/>
      <c r="E47" s="127">
        <v>202.68</v>
      </c>
    </row>
    <row r="48" spans="1:5">
      <c r="A48" s="612">
        <f t="shared" si="0"/>
        <v>45</v>
      </c>
      <c r="C48" s="175" t="s">
        <v>625</v>
      </c>
      <c r="D48" s="175"/>
      <c r="E48" s="523">
        <f>SUM(E5:E47)</f>
        <v>101769.21000000002</v>
      </c>
    </row>
    <row r="49" spans="1:7">
      <c r="A49" s="612">
        <f t="shared" si="0"/>
        <v>46</v>
      </c>
    </row>
    <row r="50" spans="1:7">
      <c r="A50" s="612">
        <f t="shared" si="0"/>
        <v>47</v>
      </c>
      <c r="B50" s="170" t="s">
        <v>886</v>
      </c>
      <c r="C50" s="173"/>
    </row>
    <row r="51" spans="1:7">
      <c r="A51" s="612">
        <f t="shared" si="0"/>
        <v>48</v>
      </c>
      <c r="C51" s="152" t="s">
        <v>917</v>
      </c>
      <c r="D51" s="152"/>
      <c r="E51" s="640">
        <f>(242.43+4990.5)</f>
        <v>5232.93</v>
      </c>
    </row>
    <row r="52" spans="1:7">
      <c r="A52" s="612">
        <f t="shared" si="0"/>
        <v>49</v>
      </c>
      <c r="C52" s="177" t="s">
        <v>918</v>
      </c>
      <c r="E52" s="176">
        <f>(0+8755.9+25394.01)*$E$63</f>
        <v>3414.991</v>
      </c>
    </row>
    <row r="53" spans="1:7">
      <c r="A53" s="612">
        <f t="shared" si="0"/>
        <v>50</v>
      </c>
      <c r="C53" s="177" t="s">
        <v>919</v>
      </c>
      <c r="E53" s="176">
        <v>2003.87</v>
      </c>
    </row>
    <row r="54" spans="1:7">
      <c r="A54" s="612">
        <f t="shared" si="0"/>
        <v>51</v>
      </c>
      <c r="C54" s="177" t="s">
        <v>920</v>
      </c>
      <c r="E54" s="176">
        <v>27153.06</v>
      </c>
    </row>
    <row r="55" spans="1:7">
      <c r="A55" s="612">
        <f t="shared" si="0"/>
        <v>52</v>
      </c>
      <c r="C55" s="177" t="s">
        <v>921</v>
      </c>
      <c r="E55" s="176">
        <v>3013.68</v>
      </c>
    </row>
    <row r="56" spans="1:7">
      <c r="A56" s="612">
        <f t="shared" si="0"/>
        <v>53</v>
      </c>
      <c r="C56" s="177" t="s">
        <v>922</v>
      </c>
      <c r="E56" s="176">
        <v>1124.8599999999999</v>
      </c>
    </row>
    <row r="57" spans="1:7">
      <c r="A57" s="612">
        <f t="shared" si="0"/>
        <v>54</v>
      </c>
      <c r="C57" s="177" t="s">
        <v>923</v>
      </c>
      <c r="E57" s="641">
        <v>3896.07</v>
      </c>
    </row>
    <row r="58" spans="1:7">
      <c r="A58" s="612">
        <f t="shared" si="0"/>
        <v>55</v>
      </c>
      <c r="C58" s="178" t="s">
        <v>625</v>
      </c>
      <c r="E58" s="176">
        <f>SUM(E51:E57)</f>
        <v>45839.461000000003</v>
      </c>
      <c r="G58" s="502"/>
    </row>
    <row r="59" spans="1:7">
      <c r="A59" s="612">
        <f t="shared" si="0"/>
        <v>56</v>
      </c>
      <c r="B59" s="156"/>
    </row>
    <row r="60" spans="1:7">
      <c r="A60" s="612">
        <f t="shared" si="0"/>
        <v>57</v>
      </c>
      <c r="B60" s="156" t="s">
        <v>442</v>
      </c>
      <c r="E60" s="574">
        <f>E48+E58</f>
        <v>147608.67100000003</v>
      </c>
    </row>
    <row r="61" spans="1:7">
      <c r="A61" s="612">
        <f t="shared" si="0"/>
        <v>58</v>
      </c>
    </row>
    <row r="62" spans="1:7">
      <c r="A62" s="612">
        <f t="shared" si="0"/>
        <v>59</v>
      </c>
      <c r="B62" s="177" t="s">
        <v>936</v>
      </c>
      <c r="C62" s="152" t="s">
        <v>938</v>
      </c>
      <c r="E62" s="179">
        <v>0.5</v>
      </c>
    </row>
    <row r="63" spans="1:7">
      <c r="A63" s="612">
        <f t="shared" si="0"/>
        <v>60</v>
      </c>
      <c r="C63" s="177" t="s">
        <v>939</v>
      </c>
      <c r="E63" s="179">
        <v>0.1</v>
      </c>
    </row>
    <row r="64" spans="1:7">
      <c r="A64" s="612">
        <f t="shared" si="0"/>
        <v>61</v>
      </c>
      <c r="C64" s="180" t="s">
        <v>937</v>
      </c>
      <c r="E64" s="179">
        <v>0.33333332999999998</v>
      </c>
    </row>
  </sheetData>
  <sheetProtection formatCells="0"/>
  <mergeCells count="2">
    <mergeCell ref="A1:E1"/>
    <mergeCell ref="A2:E2"/>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12/31/2017</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J59"/>
  <sheetViews>
    <sheetView zoomScaleNormal="100" zoomScaleSheetLayoutView="100" workbookViewId="0">
      <selection sqref="A1:G1"/>
    </sheetView>
  </sheetViews>
  <sheetFormatPr defaultRowHeight="12.75"/>
  <cols>
    <col min="1" max="1" width="9.140625" style="196"/>
    <col min="2" max="2" width="2.7109375" style="608" customWidth="1"/>
    <col min="3" max="3" width="31.42578125" style="21" bestFit="1" customWidth="1"/>
    <col min="4" max="4" width="4.42578125" style="21" customWidth="1"/>
    <col min="5" max="5" width="13.28515625" style="65" customWidth="1"/>
    <col min="6" max="6" width="13.28515625" style="196" bestFit="1" customWidth="1"/>
    <col min="7" max="7" width="14.140625" style="196" customWidth="1"/>
    <col min="8" max="9" width="9.140625" style="196"/>
    <col min="10" max="10" width="10.28515625" style="196" bestFit="1" customWidth="1"/>
    <col min="11" max="16384" width="9.140625" style="196"/>
  </cols>
  <sheetData>
    <row r="1" spans="1:7">
      <c r="A1" s="657" t="s">
        <v>626</v>
      </c>
      <c r="B1" s="657"/>
      <c r="C1" s="657"/>
      <c r="D1" s="657"/>
      <c r="E1" s="657"/>
      <c r="F1" s="657"/>
      <c r="G1" s="657"/>
    </row>
    <row r="2" spans="1:7">
      <c r="A2" s="657" t="s">
        <v>627</v>
      </c>
      <c r="B2" s="657"/>
      <c r="C2" s="657"/>
      <c r="D2" s="657"/>
      <c r="E2" s="657"/>
      <c r="F2" s="657"/>
      <c r="G2" s="657"/>
    </row>
    <row r="4" spans="1:7">
      <c r="A4" s="608"/>
      <c r="B4" s="2"/>
      <c r="C4" s="66"/>
      <c r="D4" s="66"/>
      <c r="E4" s="67"/>
    </row>
    <row r="5" spans="1:7">
      <c r="A5" s="608"/>
      <c r="C5" s="68"/>
      <c r="D5" s="68"/>
    </row>
    <row r="6" spans="1:7">
      <c r="A6" s="608"/>
      <c r="C6" s="68"/>
      <c r="D6" s="68"/>
    </row>
    <row r="7" spans="1:7">
      <c r="A7" s="608"/>
      <c r="B7" s="608">
        <v>1</v>
      </c>
      <c r="C7" s="68" t="s">
        <v>628</v>
      </c>
      <c r="D7" s="68"/>
      <c r="E7" s="65" t="s">
        <v>243</v>
      </c>
      <c r="F7" s="16">
        <f>'Schedule 2'!F74</f>
        <v>25278818</v>
      </c>
    </row>
    <row r="8" spans="1:7">
      <c r="A8" s="608"/>
      <c r="B8" s="608">
        <f>B7+1</f>
        <v>2</v>
      </c>
      <c r="C8" s="68" t="s">
        <v>629</v>
      </c>
      <c r="D8" s="68"/>
      <c r="E8" s="65" t="s">
        <v>315</v>
      </c>
      <c r="F8" s="196">
        <f>'Schedule 3'!F16</f>
        <v>8.9530999999999996E-4</v>
      </c>
    </row>
    <row r="9" spans="1:7">
      <c r="A9" s="608"/>
      <c r="B9" s="608">
        <f>B8+1</f>
        <v>3</v>
      </c>
      <c r="C9" s="68" t="s">
        <v>630</v>
      </c>
      <c r="D9" s="68"/>
      <c r="E9" s="65" t="s">
        <v>631</v>
      </c>
      <c r="F9" s="84">
        <f>ROUND(F7 * F8,0)</f>
        <v>22632</v>
      </c>
    </row>
    <row r="10" spans="1:7">
      <c r="A10" s="608"/>
      <c r="C10" s="68"/>
      <c r="D10" s="68"/>
    </row>
    <row r="11" spans="1:7">
      <c r="A11" s="608"/>
      <c r="C11" s="68"/>
      <c r="D11" s="68"/>
    </row>
    <row r="12" spans="1:7">
      <c r="A12" s="608"/>
      <c r="C12" s="68"/>
      <c r="D12" s="68"/>
    </row>
    <row r="13" spans="1:7">
      <c r="A13" s="608"/>
      <c r="C13" s="68"/>
      <c r="D13" s="68"/>
    </row>
    <row r="14" spans="1:7">
      <c r="A14" s="608"/>
      <c r="C14" s="68"/>
      <c r="D14" s="68"/>
    </row>
    <row r="15" spans="1:7">
      <c r="A15" s="608"/>
      <c r="C15" s="68"/>
      <c r="D15" s="68"/>
    </row>
    <row r="16" spans="1:7">
      <c r="A16" s="608"/>
      <c r="C16" s="68"/>
      <c r="D16" s="68"/>
    </row>
    <row r="17" spans="1:4">
      <c r="A17" s="608"/>
      <c r="C17" s="68"/>
      <c r="D17" s="68"/>
    </row>
    <row r="18" spans="1:4">
      <c r="A18" s="608"/>
      <c r="C18" s="68"/>
      <c r="D18" s="68"/>
    </row>
    <row r="19" spans="1:4">
      <c r="A19" s="608"/>
      <c r="C19" s="68"/>
      <c r="D19" s="68"/>
    </row>
    <row r="20" spans="1:4">
      <c r="A20" s="608"/>
      <c r="C20" s="68"/>
      <c r="D20" s="68"/>
    </row>
    <row r="21" spans="1:4">
      <c r="A21" s="608"/>
      <c r="C21" s="68"/>
      <c r="D21" s="68"/>
    </row>
    <row r="22" spans="1:4">
      <c r="A22" s="608"/>
      <c r="C22" s="68"/>
      <c r="D22" s="68"/>
    </row>
    <row r="23" spans="1:4">
      <c r="A23" s="608"/>
      <c r="C23" s="68"/>
      <c r="D23" s="68"/>
    </row>
    <row r="24" spans="1:4">
      <c r="A24" s="608"/>
      <c r="C24" s="68"/>
      <c r="D24" s="68"/>
    </row>
    <row r="25" spans="1:4">
      <c r="A25" s="608"/>
      <c r="C25" s="68"/>
      <c r="D25" s="68"/>
    </row>
    <row r="26" spans="1:4">
      <c r="A26" s="608"/>
      <c r="C26" s="68"/>
      <c r="D26" s="68"/>
    </row>
    <row r="27" spans="1:4">
      <c r="A27" s="608"/>
      <c r="C27" s="68"/>
      <c r="D27" s="68"/>
    </row>
    <row r="28" spans="1:4">
      <c r="A28" s="608"/>
      <c r="C28" s="68"/>
      <c r="D28" s="68"/>
    </row>
    <row r="29" spans="1:4">
      <c r="A29" s="608"/>
      <c r="C29" s="68"/>
      <c r="D29" s="68"/>
    </row>
    <row r="30" spans="1:4">
      <c r="A30" s="608"/>
      <c r="C30" s="68"/>
      <c r="D30" s="68"/>
    </row>
    <row r="31" spans="1:4">
      <c r="A31" s="608"/>
      <c r="C31" s="68"/>
      <c r="D31" s="68"/>
    </row>
    <row r="32" spans="1:4">
      <c r="A32" s="608"/>
      <c r="C32" s="68"/>
      <c r="D32" s="68"/>
    </row>
    <row r="33" spans="1:10">
      <c r="A33" s="608"/>
      <c r="C33" s="68"/>
      <c r="D33" s="68"/>
    </row>
    <row r="34" spans="1:10">
      <c r="A34" s="608"/>
      <c r="C34" s="68"/>
      <c r="D34" s="68"/>
    </row>
    <row r="35" spans="1:10">
      <c r="A35" s="608"/>
      <c r="C35" s="68"/>
      <c r="D35" s="68"/>
    </row>
    <row r="36" spans="1:10">
      <c r="A36" s="608"/>
      <c r="C36" s="68"/>
      <c r="D36" s="68"/>
    </row>
    <row r="37" spans="1:10">
      <c r="A37" s="608"/>
      <c r="C37" s="68"/>
      <c r="D37" s="68"/>
    </row>
    <row r="38" spans="1:10">
      <c r="A38" s="608"/>
      <c r="C38" s="68"/>
      <c r="D38" s="68"/>
    </row>
    <row r="39" spans="1:10">
      <c r="A39" s="608"/>
      <c r="C39" s="68"/>
      <c r="D39" s="68"/>
    </row>
    <row r="40" spans="1:10">
      <c r="A40" s="608"/>
      <c r="C40" s="68"/>
      <c r="D40" s="68"/>
    </row>
    <row r="41" spans="1:10">
      <c r="A41" s="608"/>
      <c r="C41" s="68"/>
      <c r="D41" s="68"/>
    </row>
    <row r="42" spans="1:10">
      <c r="A42" s="608"/>
      <c r="C42" s="68"/>
      <c r="D42" s="68"/>
    </row>
    <row r="43" spans="1:10">
      <c r="A43" s="608"/>
      <c r="C43" s="68"/>
      <c r="D43" s="68"/>
    </row>
    <row r="44" spans="1:10">
      <c r="A44" s="608"/>
      <c r="C44" s="68"/>
      <c r="D44" s="68"/>
    </row>
    <row r="45" spans="1:10">
      <c r="A45" s="608"/>
      <c r="C45" s="69"/>
      <c r="D45" s="69"/>
    </row>
    <row r="46" spans="1:10">
      <c r="A46" s="608"/>
    </row>
    <row r="47" spans="1:10">
      <c r="A47" s="608"/>
      <c r="B47" s="2"/>
      <c r="C47" s="68"/>
    </row>
    <row r="48" spans="1:10">
      <c r="A48" s="608"/>
      <c r="C48" s="196"/>
      <c r="D48" s="196"/>
      <c r="F48" s="102"/>
      <c r="G48" s="608"/>
      <c r="J48" s="103"/>
    </row>
    <row r="49" spans="1:10">
      <c r="A49" s="608"/>
      <c r="C49" s="196"/>
      <c r="D49" s="196"/>
      <c r="F49" s="102"/>
      <c r="G49" s="608"/>
      <c r="J49" s="103"/>
    </row>
    <row r="50" spans="1:10">
      <c r="A50" s="608"/>
      <c r="C50" s="196"/>
      <c r="D50" s="196"/>
      <c r="F50" s="102"/>
      <c r="G50" s="608"/>
      <c r="J50" s="103"/>
    </row>
    <row r="51" spans="1:10">
      <c r="A51" s="608"/>
    </row>
    <row r="52" spans="1:10">
      <c r="A52" s="608"/>
    </row>
    <row r="53" spans="1:10">
      <c r="A53" s="608"/>
    </row>
    <row r="54" spans="1:10">
      <c r="A54" s="608"/>
    </row>
    <row r="55" spans="1:10">
      <c r="A55" s="608"/>
    </row>
    <row r="56" spans="1:10">
      <c r="A56" s="608"/>
    </row>
    <row r="57" spans="1:10">
      <c r="A57" s="608"/>
      <c r="C57" s="25"/>
    </row>
    <row r="58" spans="1:10">
      <c r="A58" s="608"/>
      <c r="B58" s="609"/>
    </row>
    <row r="59" spans="1:10">
      <c r="A59" s="608"/>
      <c r="B59" s="609"/>
    </row>
  </sheetData>
  <mergeCells count="2">
    <mergeCell ref="A1:G1"/>
    <mergeCell ref="A2:G2"/>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12/31/2017</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G26"/>
  <sheetViews>
    <sheetView zoomScaleNormal="100" zoomScaleSheetLayoutView="148" workbookViewId="0">
      <selection sqref="A1:E1"/>
    </sheetView>
  </sheetViews>
  <sheetFormatPr defaultRowHeight="12.75"/>
  <cols>
    <col min="1" max="1" width="3" style="196" bestFit="1" customWidth="1"/>
    <col min="2" max="2" width="30.85546875" style="196" bestFit="1" customWidth="1"/>
    <col min="3" max="3" width="26.5703125" style="196" bestFit="1" customWidth="1"/>
    <col min="4" max="4" width="2.140625" style="196" customWidth="1"/>
    <col min="5" max="5" width="22.42578125" style="196" bestFit="1" customWidth="1"/>
    <col min="6" max="16384" width="9.140625" style="196"/>
  </cols>
  <sheetData>
    <row r="1" spans="1:7">
      <c r="A1" s="657" t="s">
        <v>369</v>
      </c>
      <c r="B1" s="657"/>
      <c r="C1" s="657"/>
      <c r="D1" s="657"/>
      <c r="E1" s="657"/>
      <c r="F1" s="140"/>
      <c r="G1" s="140"/>
    </row>
    <row r="2" spans="1:7">
      <c r="A2" s="657" t="s">
        <v>49</v>
      </c>
      <c r="B2" s="657"/>
      <c r="C2" s="657"/>
      <c r="D2" s="657"/>
      <c r="E2" s="657"/>
      <c r="F2" s="140"/>
      <c r="G2" s="140"/>
    </row>
    <row r="3" spans="1:7">
      <c r="A3" s="608"/>
      <c r="B3" s="608"/>
      <c r="C3" s="608"/>
      <c r="D3" s="608"/>
      <c r="E3" s="608"/>
      <c r="F3" s="608"/>
    </row>
    <row r="4" spans="1:7">
      <c r="A4" s="656" t="s">
        <v>90</v>
      </c>
      <c r="B4" s="656"/>
      <c r="C4" s="656"/>
      <c r="D4" s="656"/>
      <c r="E4" s="656"/>
      <c r="F4" s="608"/>
    </row>
    <row r="5" spans="1:7">
      <c r="A5" s="656" t="s">
        <v>91</v>
      </c>
      <c r="B5" s="656"/>
      <c r="C5" s="656"/>
      <c r="D5" s="656"/>
      <c r="E5" s="656"/>
    </row>
    <row r="6" spans="1:7">
      <c r="A6" s="656" t="s">
        <v>92</v>
      </c>
      <c r="B6" s="656"/>
      <c r="C6" s="656"/>
      <c r="D6" s="656"/>
      <c r="E6" s="656"/>
    </row>
    <row r="7" spans="1:7">
      <c r="A7" s="608"/>
      <c r="B7" s="608"/>
      <c r="C7" s="608"/>
      <c r="D7" s="608"/>
      <c r="E7" s="608"/>
    </row>
    <row r="8" spans="1:7">
      <c r="A8" s="608"/>
      <c r="B8" s="608"/>
      <c r="C8" s="608"/>
      <c r="D8" s="608"/>
      <c r="E8" s="608"/>
    </row>
    <row r="9" spans="1:7">
      <c r="B9" s="608"/>
      <c r="C9" s="611"/>
      <c r="D9" s="611"/>
      <c r="E9" s="611"/>
    </row>
    <row r="10" spans="1:7">
      <c r="C10" s="98"/>
      <c r="D10" s="98"/>
      <c r="E10" s="98"/>
    </row>
    <row r="11" spans="1:7">
      <c r="B11" s="141" t="s">
        <v>519</v>
      </c>
      <c r="C11" s="3">
        <f>'Schedule 2 Workpaper page 4'!E20</f>
        <v>6038617.5899999999</v>
      </c>
      <c r="D11" s="98"/>
      <c r="E11" s="98"/>
    </row>
    <row r="12" spans="1:7">
      <c r="B12" s="141"/>
      <c r="C12" s="98"/>
      <c r="D12" s="98"/>
      <c r="E12" s="98"/>
    </row>
    <row r="13" spans="1:7">
      <c r="B13" s="141" t="s">
        <v>316</v>
      </c>
      <c r="C13" s="3">
        <f>'Schedule 2 Workpaper page 4'!E24</f>
        <v>1985814.35</v>
      </c>
      <c r="D13" s="98"/>
      <c r="E13" s="98"/>
    </row>
    <row r="14" spans="1:7">
      <c r="C14" s="98"/>
      <c r="D14" s="98"/>
      <c r="E14" s="98"/>
    </row>
    <row r="15" spans="1:7">
      <c r="C15" s="98"/>
      <c r="D15" s="98"/>
      <c r="E15" s="98"/>
    </row>
    <row r="16" spans="1:7">
      <c r="C16" s="98"/>
      <c r="D16" s="98"/>
      <c r="E16" s="98"/>
    </row>
    <row r="17" spans="3:5">
      <c r="C17" s="98"/>
      <c r="D17" s="98"/>
      <c r="E17" s="98"/>
    </row>
    <row r="18" spans="3:5">
      <c r="C18" s="98"/>
      <c r="D18" s="98"/>
      <c r="E18" s="99"/>
    </row>
    <row r="19" spans="3:5">
      <c r="C19" s="98"/>
      <c r="D19" s="98"/>
      <c r="E19" s="98"/>
    </row>
    <row r="20" spans="3:5">
      <c r="C20" s="98"/>
      <c r="D20" s="98"/>
      <c r="E20" s="98"/>
    </row>
    <row r="21" spans="3:5">
      <c r="C21" s="100"/>
      <c r="D21" s="100"/>
      <c r="E21" s="100"/>
    </row>
    <row r="22" spans="3:5">
      <c r="C22" s="100"/>
      <c r="D22" s="100"/>
      <c r="E22" s="100"/>
    </row>
    <row r="23" spans="3:5">
      <c r="C23" s="100"/>
      <c r="D23" s="100"/>
      <c r="E23" s="100"/>
    </row>
    <row r="24" spans="3:5">
      <c r="C24" s="100"/>
      <c r="D24" s="100"/>
      <c r="E24" s="101"/>
    </row>
    <row r="25" spans="3:5">
      <c r="C25" s="100"/>
      <c r="D25" s="100"/>
      <c r="E25" s="101"/>
    </row>
    <row r="26" spans="3:5">
      <c r="C26" s="140"/>
      <c r="D26" s="140"/>
      <c r="E26" s="140"/>
    </row>
  </sheetData>
  <mergeCells count="5">
    <mergeCell ref="A5:E5"/>
    <mergeCell ref="A6:E6"/>
    <mergeCell ref="A1:E1"/>
    <mergeCell ref="A2:E2"/>
    <mergeCell ref="A4:E4"/>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12/31/2017</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H178"/>
  <sheetViews>
    <sheetView zoomScaleNormal="100" zoomScaleSheetLayoutView="100" workbookViewId="0"/>
  </sheetViews>
  <sheetFormatPr defaultColWidth="12.5703125" defaultRowHeight="12.75"/>
  <cols>
    <col min="1" max="1" width="0.85546875" style="152" customWidth="1"/>
    <col min="2" max="2" width="15.85546875" style="152" customWidth="1"/>
    <col min="3" max="3" width="10.5703125" style="152" customWidth="1"/>
    <col min="4" max="5" width="20.28515625" style="152" customWidth="1"/>
    <col min="6" max="6" width="17" style="152" customWidth="1"/>
    <col min="7" max="7" width="10.5703125" style="152" customWidth="1"/>
    <col min="8" max="8" width="15.7109375" style="152" customWidth="1"/>
    <col min="9" max="9" width="15.85546875" style="152" customWidth="1"/>
    <col min="10" max="16384" width="12.5703125" style="152"/>
  </cols>
  <sheetData>
    <row r="1" spans="1:8">
      <c r="A1" s="86"/>
      <c r="B1" s="687" t="s">
        <v>370</v>
      </c>
      <c r="C1" s="687"/>
      <c r="D1" s="687"/>
      <c r="E1" s="687"/>
      <c r="F1" s="687"/>
      <c r="G1" s="687"/>
      <c r="H1" s="687"/>
    </row>
    <row r="2" spans="1:8">
      <c r="A2" s="86"/>
      <c r="B2" s="687" t="s">
        <v>91</v>
      </c>
      <c r="C2" s="687"/>
      <c r="D2" s="687"/>
      <c r="E2" s="687"/>
      <c r="F2" s="687"/>
      <c r="G2" s="687"/>
      <c r="H2" s="687"/>
    </row>
    <row r="3" spans="1:8">
      <c r="A3" s="124"/>
      <c r="B3" s="86"/>
      <c r="C3" s="86"/>
      <c r="D3" s="86"/>
      <c r="E3" s="86"/>
      <c r="F3" s="86"/>
      <c r="G3" s="86"/>
      <c r="H3" s="86"/>
    </row>
    <row r="4" spans="1:8">
      <c r="A4" s="687" t="s">
        <v>526</v>
      </c>
      <c r="B4" s="687"/>
      <c r="C4" s="687"/>
      <c r="D4" s="687"/>
      <c r="E4" s="687"/>
      <c r="F4" s="687"/>
      <c r="G4" s="687"/>
      <c r="H4" s="687"/>
    </row>
    <row r="5" spans="1:8">
      <c r="A5" s="687" t="s">
        <v>91</v>
      </c>
      <c r="B5" s="687"/>
      <c r="C5" s="687"/>
      <c r="D5" s="687"/>
      <c r="E5" s="687"/>
      <c r="F5" s="687"/>
      <c r="G5" s="687"/>
      <c r="H5" s="687"/>
    </row>
    <row r="6" spans="1:8">
      <c r="A6" s="687" t="s">
        <v>116</v>
      </c>
      <c r="B6" s="687"/>
      <c r="C6" s="687"/>
      <c r="D6" s="687"/>
      <c r="E6" s="687"/>
      <c r="F6" s="687"/>
      <c r="G6" s="687"/>
      <c r="H6" s="687"/>
    </row>
    <row r="7" spans="1:8">
      <c r="A7" s="86"/>
      <c r="B7" s="86"/>
      <c r="C7" s="86"/>
      <c r="D7" s="86"/>
      <c r="E7" s="86"/>
      <c r="F7" s="86"/>
      <c r="G7" s="86"/>
      <c r="H7" s="86"/>
    </row>
    <row r="8" spans="1:8">
      <c r="A8" s="86"/>
      <c r="C8" s="125" t="s">
        <v>117</v>
      </c>
      <c r="D8" s="86"/>
      <c r="E8" s="86"/>
      <c r="F8" s="86"/>
      <c r="G8" s="86"/>
      <c r="H8" s="86"/>
    </row>
    <row r="9" spans="1:8">
      <c r="A9" s="86"/>
      <c r="C9" s="87" t="s">
        <v>118</v>
      </c>
      <c r="D9" s="86"/>
      <c r="E9" s="86">
        <f>E160</f>
        <v>1418919.83</v>
      </c>
      <c r="F9" s="86"/>
      <c r="G9" s="86"/>
      <c r="H9" s="86"/>
    </row>
    <row r="10" spans="1:8">
      <c r="A10" s="86"/>
      <c r="C10" s="86"/>
      <c r="D10" s="86"/>
      <c r="E10" s="86"/>
      <c r="F10" s="86"/>
      <c r="G10" s="86"/>
      <c r="H10" s="86"/>
    </row>
    <row r="11" spans="1:8">
      <c r="A11" s="86"/>
      <c r="C11" s="87" t="s">
        <v>119</v>
      </c>
      <c r="D11" s="86"/>
      <c r="E11" s="86">
        <f>E87</f>
        <v>887781.37</v>
      </c>
      <c r="F11" s="86"/>
      <c r="G11" s="86"/>
      <c r="H11" s="86"/>
    </row>
    <row r="12" spans="1:8">
      <c r="A12" s="86"/>
      <c r="C12" s="86"/>
      <c r="D12" s="86"/>
      <c r="E12" s="86"/>
      <c r="F12" s="86"/>
      <c r="G12" s="86"/>
      <c r="H12" s="86"/>
    </row>
    <row r="13" spans="1:8">
      <c r="A13" s="86"/>
      <c r="C13" s="87" t="s">
        <v>120</v>
      </c>
      <c r="D13" s="86"/>
      <c r="E13" s="88">
        <f>E111</f>
        <v>170552.21</v>
      </c>
      <c r="F13" s="86"/>
      <c r="G13" s="86"/>
      <c r="H13" s="86"/>
    </row>
    <row r="14" spans="1:8">
      <c r="A14" s="86"/>
      <c r="C14" s="86"/>
      <c r="D14" s="86"/>
      <c r="E14" s="86"/>
      <c r="F14" s="86"/>
      <c r="G14" s="86"/>
      <c r="H14" s="86"/>
    </row>
    <row r="15" spans="1:8">
      <c r="A15" s="86"/>
      <c r="C15" s="87" t="s">
        <v>121</v>
      </c>
      <c r="D15" s="86"/>
      <c r="E15" s="86"/>
      <c r="F15" s="86">
        <f>SUM(E9:E13)</f>
        <v>2477253.41</v>
      </c>
      <c r="G15" s="86" t="str">
        <f>IF(F15=F16,"","Error")</f>
        <v/>
      </c>
      <c r="H15" s="86"/>
    </row>
    <row r="16" spans="1:8">
      <c r="A16" s="86"/>
      <c r="C16" s="86"/>
      <c r="D16" s="86"/>
      <c r="E16" s="86"/>
      <c r="F16" s="181">
        <f>F39+F64+F89+F113+F162</f>
        <v>2477253.41</v>
      </c>
      <c r="G16" s="86"/>
      <c r="H16" s="86"/>
    </row>
    <row r="17" spans="1:8">
      <c r="A17" s="86"/>
      <c r="C17" s="125" t="s">
        <v>122</v>
      </c>
      <c r="D17" s="86"/>
      <c r="E17" s="86"/>
      <c r="F17" s="86"/>
      <c r="G17" s="86"/>
      <c r="H17" s="86"/>
    </row>
    <row r="18" spans="1:8">
      <c r="A18" s="86"/>
      <c r="C18" s="87" t="s">
        <v>123</v>
      </c>
      <c r="D18" s="86"/>
      <c r="E18" s="86">
        <f>E43+E68+E92+E117+E141+E165</f>
        <v>7673756.9000000004</v>
      </c>
      <c r="F18" s="86"/>
      <c r="G18" s="86"/>
      <c r="H18" s="86"/>
    </row>
    <row r="19" spans="1:8">
      <c r="A19" s="86"/>
      <c r="C19" s="86"/>
      <c r="D19" s="86"/>
      <c r="E19" s="86"/>
      <c r="F19" s="86"/>
      <c r="G19" s="86"/>
      <c r="H19" s="86"/>
    </row>
    <row r="20" spans="1:8">
      <c r="A20" s="86"/>
      <c r="C20" s="87" t="s">
        <v>124</v>
      </c>
      <c r="D20" s="86"/>
      <c r="E20" s="86">
        <f>E45+E70+E94+E119+E143+E167</f>
        <v>6038617.5899999999</v>
      </c>
      <c r="F20" s="86"/>
      <c r="G20" s="86"/>
      <c r="H20" s="86"/>
    </row>
    <row r="21" spans="1:8">
      <c r="A21" s="86"/>
      <c r="C21" s="86"/>
      <c r="D21" s="86"/>
      <c r="E21" s="86"/>
      <c r="F21" s="86"/>
      <c r="G21" s="86"/>
      <c r="H21" s="86"/>
    </row>
    <row r="22" spans="1:8">
      <c r="A22" s="86"/>
      <c r="C22" s="87" t="s">
        <v>125</v>
      </c>
      <c r="D22" s="86"/>
      <c r="E22" s="86">
        <f>E47+E72+E96+E121+E145+E169</f>
        <v>10178146.18</v>
      </c>
      <c r="F22" s="86"/>
      <c r="G22" s="86"/>
      <c r="H22" s="86"/>
    </row>
    <row r="23" spans="1:8">
      <c r="A23" s="86"/>
      <c r="C23" s="86"/>
      <c r="D23" s="86"/>
      <c r="E23" s="86"/>
      <c r="F23" s="86"/>
      <c r="G23" s="86"/>
      <c r="H23" s="86"/>
    </row>
    <row r="24" spans="1:8">
      <c r="A24" s="86"/>
      <c r="C24" s="87" t="s">
        <v>126</v>
      </c>
      <c r="D24" s="86"/>
      <c r="E24" s="86">
        <f>E49+E74+E98+E123+E147+E171</f>
        <v>1985814.35</v>
      </c>
      <c r="F24" s="86"/>
      <c r="G24" s="86"/>
      <c r="H24" s="86"/>
    </row>
    <row r="25" spans="1:8">
      <c r="A25" s="86"/>
      <c r="C25" s="86"/>
      <c r="D25" s="86"/>
      <c r="E25" s="86"/>
      <c r="F25" s="86"/>
      <c r="G25" s="86"/>
      <c r="H25" s="86"/>
    </row>
    <row r="26" spans="1:8">
      <c r="A26" s="86"/>
      <c r="C26" s="87" t="s">
        <v>127</v>
      </c>
      <c r="D26" s="86"/>
      <c r="E26" s="86"/>
      <c r="F26" s="88">
        <f>ROUND(SUM(E18:E24),2)</f>
        <v>25876335.02</v>
      </c>
      <c r="G26" s="86" t="str">
        <f>IF(F26=F27,"","Error")</f>
        <v/>
      </c>
      <c r="H26" s="86"/>
    </row>
    <row r="27" spans="1:8">
      <c r="A27" s="86"/>
      <c r="C27" s="86"/>
      <c r="D27" s="86"/>
      <c r="E27" s="86"/>
      <c r="F27" s="181">
        <f>F51+F76+F100+F125+F149+F173</f>
        <v>25876335.020000007</v>
      </c>
      <c r="G27" s="86"/>
      <c r="H27" s="86"/>
    </row>
    <row r="28" spans="1:8" ht="13.5" thickBot="1">
      <c r="A28" s="86"/>
      <c r="C28" s="125" t="s">
        <v>128</v>
      </c>
      <c r="D28" s="86"/>
      <c r="E28" s="86"/>
      <c r="F28" s="89">
        <f>F15+F26</f>
        <v>28353588.43</v>
      </c>
      <c r="G28" s="86" t="str">
        <f>IF(F28=F29,"","Error")</f>
        <v/>
      </c>
      <c r="H28" s="86"/>
    </row>
    <row r="29" spans="1:8" ht="13.5" thickTop="1">
      <c r="A29" s="86"/>
      <c r="B29" s="125"/>
      <c r="C29" s="86"/>
      <c r="D29" s="86"/>
      <c r="E29" s="90"/>
      <c r="F29" s="181">
        <f>F53+F78+F102+F127+F151+F175</f>
        <v>28353588.430000003</v>
      </c>
      <c r="G29" s="86"/>
      <c r="H29" s="86"/>
    </row>
    <row r="30" spans="1:8">
      <c r="A30" s="86"/>
      <c r="B30" s="86"/>
      <c r="C30" s="86"/>
      <c r="D30" s="86"/>
      <c r="E30" s="86"/>
      <c r="F30" s="86"/>
      <c r="G30" s="86"/>
      <c r="H30" s="86"/>
    </row>
    <row r="31" spans="1:8">
      <c r="A31" s="687" t="s">
        <v>526</v>
      </c>
      <c r="B31" s="687"/>
      <c r="C31" s="687"/>
      <c r="D31" s="687"/>
      <c r="E31" s="687"/>
      <c r="F31" s="687"/>
      <c r="G31" s="687"/>
      <c r="H31" s="687"/>
    </row>
    <row r="32" spans="1:8">
      <c r="A32" s="687" t="s">
        <v>91</v>
      </c>
      <c r="B32" s="687"/>
      <c r="C32" s="687"/>
      <c r="D32" s="687"/>
      <c r="E32" s="687"/>
      <c r="F32" s="687"/>
      <c r="G32" s="687"/>
      <c r="H32" s="687"/>
    </row>
    <row r="33" spans="1:8">
      <c r="A33" s="687" t="s">
        <v>99</v>
      </c>
      <c r="B33" s="687"/>
      <c r="C33" s="687"/>
      <c r="D33" s="687"/>
      <c r="E33" s="687"/>
      <c r="F33" s="687"/>
      <c r="G33" s="687"/>
      <c r="H33" s="687"/>
    </row>
    <row r="34" spans="1:8">
      <c r="A34" s="86"/>
      <c r="B34" s="86"/>
      <c r="C34" s="86"/>
      <c r="D34" s="86"/>
      <c r="E34" s="86"/>
      <c r="F34" s="86"/>
      <c r="G34" s="86"/>
      <c r="H34" s="86"/>
    </row>
    <row r="35" spans="1:8">
      <c r="A35" s="86"/>
      <c r="B35" s="86"/>
      <c r="C35" s="86"/>
      <c r="D35" s="86"/>
      <c r="E35" s="86"/>
      <c r="F35" s="86"/>
      <c r="G35" s="86"/>
      <c r="H35" s="86"/>
    </row>
    <row r="36" spans="1:8">
      <c r="A36" s="86"/>
      <c r="C36" s="125" t="s">
        <v>129</v>
      </c>
      <c r="D36" s="86"/>
      <c r="E36" s="86"/>
      <c r="F36" s="86"/>
      <c r="G36" s="86"/>
      <c r="H36" s="86"/>
    </row>
    <row r="37" spans="1:8">
      <c r="A37" s="86"/>
      <c r="C37" s="87" t="s">
        <v>130</v>
      </c>
      <c r="D37" s="86"/>
      <c r="E37" s="86">
        <v>0</v>
      </c>
      <c r="F37" s="86"/>
      <c r="G37" s="86"/>
      <c r="H37" s="86"/>
    </row>
    <row r="38" spans="1:8">
      <c r="A38" s="86"/>
      <c r="C38" s="86"/>
      <c r="D38" s="86"/>
      <c r="E38" s="88"/>
      <c r="F38" s="86"/>
      <c r="G38" s="86"/>
      <c r="H38" s="86"/>
    </row>
    <row r="39" spans="1:8">
      <c r="A39" s="86"/>
      <c r="C39" s="87" t="s">
        <v>131</v>
      </c>
      <c r="D39" s="86"/>
      <c r="E39" s="86"/>
      <c r="F39" s="86">
        <f>E37</f>
        <v>0</v>
      </c>
      <c r="G39" s="86"/>
      <c r="H39" s="86"/>
    </row>
    <row r="40" spans="1:8">
      <c r="A40" s="86"/>
      <c r="C40" s="86"/>
      <c r="D40" s="86"/>
      <c r="E40" s="86"/>
      <c r="F40" s="86"/>
      <c r="G40" s="86"/>
      <c r="H40" s="86"/>
    </row>
    <row r="41" spans="1:8">
      <c r="A41" s="86"/>
      <c r="C41" s="86"/>
      <c r="D41" s="86"/>
      <c r="E41" s="86"/>
      <c r="F41" s="86"/>
      <c r="G41" s="86"/>
      <c r="H41" s="86"/>
    </row>
    <row r="42" spans="1:8">
      <c r="A42" s="86"/>
      <c r="C42" s="125" t="s">
        <v>132</v>
      </c>
      <c r="D42" s="86"/>
      <c r="E42" s="86"/>
      <c r="F42" s="86"/>
      <c r="G42" s="86"/>
      <c r="H42" s="86"/>
    </row>
    <row r="43" spans="1:8">
      <c r="A43" s="86"/>
      <c r="C43" s="87" t="s">
        <v>123</v>
      </c>
      <c r="D43" s="86"/>
      <c r="E43" s="86">
        <v>6957362.9000000004</v>
      </c>
      <c r="F43" s="86"/>
      <c r="G43" s="86"/>
      <c r="H43" s="86"/>
    </row>
    <row r="44" spans="1:8">
      <c r="A44" s="86"/>
      <c r="C44" s="86"/>
      <c r="D44" s="86"/>
      <c r="E44" s="86"/>
      <c r="F44" s="86"/>
      <c r="G44" s="86"/>
      <c r="H44" s="86"/>
    </row>
    <row r="45" spans="1:8">
      <c r="A45" s="86"/>
      <c r="C45" s="87" t="s">
        <v>124</v>
      </c>
      <c r="D45" s="86"/>
      <c r="E45" s="86">
        <v>4644342.59</v>
      </c>
      <c r="F45" s="86"/>
      <c r="G45" s="86"/>
      <c r="H45" s="86"/>
    </row>
    <row r="46" spans="1:8">
      <c r="A46" s="86"/>
      <c r="C46" s="86"/>
      <c r="D46" s="86"/>
      <c r="E46" s="86"/>
      <c r="F46" s="86"/>
      <c r="G46" s="86"/>
      <c r="H46" s="86"/>
    </row>
    <row r="47" spans="1:8">
      <c r="A47" s="86"/>
      <c r="C47" s="87" t="s">
        <v>125</v>
      </c>
      <c r="D47" s="86"/>
      <c r="E47" s="86">
        <v>8847029.1799999997</v>
      </c>
      <c r="F47" s="86"/>
      <c r="G47" s="86"/>
      <c r="H47" s="86"/>
    </row>
    <row r="48" spans="1:8">
      <c r="A48" s="86"/>
      <c r="C48" s="86"/>
      <c r="D48" s="86"/>
      <c r="E48" s="86"/>
      <c r="F48" s="86"/>
      <c r="G48" s="86"/>
      <c r="H48" s="86"/>
    </row>
    <row r="49" spans="1:8">
      <c r="A49" s="86"/>
      <c r="C49" s="87" t="s">
        <v>126</v>
      </c>
      <c r="D49" s="86"/>
      <c r="E49" s="88">
        <v>1961985.35</v>
      </c>
      <c r="F49" s="86"/>
      <c r="G49" s="86"/>
      <c r="H49" s="86"/>
    </row>
    <row r="50" spans="1:8">
      <c r="A50" s="86"/>
      <c r="C50" s="86"/>
      <c r="D50" s="86"/>
      <c r="E50" s="86"/>
      <c r="F50" s="86"/>
      <c r="G50" s="86"/>
      <c r="H50" s="86"/>
    </row>
    <row r="51" spans="1:8">
      <c r="A51" s="86"/>
      <c r="C51" s="87" t="s">
        <v>127</v>
      </c>
      <c r="D51" s="86"/>
      <c r="E51" s="86"/>
      <c r="F51" s="88">
        <f>SUM(E43:E49)</f>
        <v>22410720.020000003</v>
      </c>
      <c r="G51" s="86"/>
      <c r="H51" s="86"/>
    </row>
    <row r="52" spans="1:8">
      <c r="A52" s="86"/>
      <c r="C52" s="86"/>
      <c r="D52" s="86"/>
      <c r="E52" s="86"/>
      <c r="F52" s="86"/>
      <c r="G52" s="86"/>
      <c r="H52" s="86"/>
    </row>
    <row r="53" spans="1:8" ht="13.5" thickBot="1">
      <c r="A53" s="86"/>
      <c r="C53" s="125" t="s">
        <v>133</v>
      </c>
      <c r="D53" s="86"/>
      <c r="E53" s="86"/>
      <c r="F53" s="89">
        <f>SUM(F36:F51)</f>
        <v>22410720.020000003</v>
      </c>
      <c r="G53" s="86"/>
      <c r="H53" s="86"/>
    </row>
    <row r="54" spans="1:8" ht="13.5" thickTop="1">
      <c r="A54" s="86"/>
      <c r="B54" s="125"/>
      <c r="C54" s="86"/>
      <c r="D54" s="86"/>
      <c r="E54" s="90"/>
      <c r="F54" s="86"/>
      <c r="G54" s="86"/>
      <c r="H54" s="86"/>
    </row>
    <row r="55" spans="1:8">
      <c r="A55" s="86"/>
      <c r="B55" s="125"/>
      <c r="C55" s="86"/>
      <c r="D55" s="86"/>
      <c r="E55" s="90"/>
      <c r="F55" s="86"/>
      <c r="G55" s="86"/>
      <c r="H55" s="86"/>
    </row>
    <row r="56" spans="1:8">
      <c r="A56" s="86"/>
      <c r="B56" s="125"/>
      <c r="C56" s="86"/>
      <c r="D56" s="86"/>
      <c r="E56" s="90"/>
      <c r="F56" s="86"/>
      <c r="G56" s="86"/>
      <c r="H56" s="86"/>
    </row>
    <row r="57" spans="1:8">
      <c r="A57" s="687" t="s">
        <v>526</v>
      </c>
      <c r="B57" s="687"/>
      <c r="C57" s="687"/>
      <c r="D57" s="687"/>
      <c r="E57" s="687"/>
      <c r="F57" s="687"/>
      <c r="G57" s="687"/>
      <c r="H57" s="687"/>
    </row>
    <row r="58" spans="1:8">
      <c r="A58" s="687" t="s">
        <v>91</v>
      </c>
      <c r="B58" s="687"/>
      <c r="C58" s="687"/>
      <c r="D58" s="687"/>
      <c r="E58" s="687"/>
      <c r="F58" s="687"/>
      <c r="G58" s="687"/>
      <c r="H58" s="687"/>
    </row>
    <row r="59" spans="1:8">
      <c r="A59" s="687" t="s">
        <v>134</v>
      </c>
      <c r="B59" s="687"/>
      <c r="C59" s="687"/>
      <c r="D59" s="687"/>
      <c r="E59" s="687"/>
      <c r="F59" s="687"/>
      <c r="G59" s="687"/>
      <c r="H59" s="687"/>
    </row>
    <row r="60" spans="1:8">
      <c r="A60" s="86"/>
      <c r="B60" s="86"/>
      <c r="C60" s="86"/>
      <c r="D60" s="86"/>
      <c r="E60" s="86"/>
      <c r="F60" s="86"/>
      <c r="G60" s="86"/>
      <c r="H60" s="86"/>
    </row>
    <row r="61" spans="1:8">
      <c r="A61" s="86"/>
      <c r="C61" s="125" t="s">
        <v>135</v>
      </c>
      <c r="D61" s="86"/>
      <c r="E61" s="86"/>
      <c r="F61" s="86"/>
      <c r="G61" s="86"/>
      <c r="H61" s="86"/>
    </row>
    <row r="62" spans="1:8">
      <c r="A62" s="86"/>
      <c r="C62" s="87" t="s">
        <v>130</v>
      </c>
      <c r="D62" s="86"/>
      <c r="E62" s="88">
        <v>0</v>
      </c>
      <c r="F62" s="86"/>
      <c r="G62" s="86"/>
      <c r="H62" s="86"/>
    </row>
    <row r="63" spans="1:8">
      <c r="A63" s="86"/>
      <c r="C63" s="86"/>
      <c r="D63" s="86"/>
      <c r="E63" s="86"/>
      <c r="F63" s="86"/>
      <c r="G63" s="86"/>
      <c r="H63" s="86"/>
    </row>
    <row r="64" spans="1:8">
      <c r="A64" s="86"/>
      <c r="C64" s="87" t="s">
        <v>121</v>
      </c>
      <c r="D64" s="86"/>
      <c r="E64" s="86"/>
      <c r="F64" s="88">
        <f>E62</f>
        <v>0</v>
      </c>
      <c r="G64" s="86"/>
      <c r="H64" s="86"/>
    </row>
    <row r="65" spans="1:8">
      <c r="A65" s="86"/>
      <c r="C65" s="86"/>
      <c r="D65" s="86"/>
      <c r="E65" s="86"/>
      <c r="F65" s="86"/>
      <c r="G65" s="86"/>
      <c r="H65" s="86"/>
    </row>
    <row r="66" spans="1:8">
      <c r="A66" s="86"/>
      <c r="C66" s="86"/>
      <c r="D66" s="86"/>
      <c r="E66" s="86"/>
      <c r="F66" s="86"/>
      <c r="G66" s="86"/>
      <c r="H66" s="86"/>
    </row>
    <row r="67" spans="1:8">
      <c r="A67" s="86"/>
      <c r="C67" s="125" t="s">
        <v>132</v>
      </c>
      <c r="D67" s="86"/>
      <c r="E67" s="86"/>
      <c r="F67" s="86"/>
      <c r="G67" s="86"/>
      <c r="H67" s="86"/>
    </row>
    <row r="68" spans="1:8">
      <c r="A68" s="86"/>
      <c r="C68" s="87" t="s">
        <v>123</v>
      </c>
      <c r="D68" s="86"/>
      <c r="E68" s="86">
        <v>0</v>
      </c>
      <c r="F68" s="86"/>
      <c r="G68" s="86"/>
      <c r="H68" s="86"/>
    </row>
    <row r="69" spans="1:8">
      <c r="A69" s="86"/>
      <c r="C69" s="86"/>
      <c r="D69" s="86"/>
      <c r="E69" s="86"/>
      <c r="F69" s="86"/>
      <c r="G69" s="86"/>
      <c r="H69" s="86"/>
    </row>
    <row r="70" spans="1:8">
      <c r="A70" s="86"/>
      <c r="C70" s="87" t="s">
        <v>124</v>
      </c>
      <c r="D70" s="86"/>
      <c r="E70" s="86">
        <v>359206.91</v>
      </c>
      <c r="F70" s="86"/>
      <c r="G70" s="86"/>
      <c r="H70" s="86"/>
    </row>
    <row r="71" spans="1:8">
      <c r="A71" s="86"/>
      <c r="C71" s="86"/>
      <c r="D71" s="86"/>
      <c r="E71" s="86"/>
      <c r="F71" s="86"/>
      <c r="G71" s="86"/>
      <c r="H71" s="86"/>
    </row>
    <row r="72" spans="1:8">
      <c r="A72" s="86"/>
      <c r="C72" s="87" t="s">
        <v>125</v>
      </c>
      <c r="D72" s="86"/>
      <c r="E72" s="86">
        <v>0</v>
      </c>
      <c r="F72" s="86"/>
      <c r="G72" s="86"/>
      <c r="H72" s="86"/>
    </row>
    <row r="73" spans="1:8">
      <c r="A73" s="86"/>
      <c r="C73" s="86"/>
      <c r="D73" s="86"/>
      <c r="E73" s="86"/>
      <c r="F73" s="86"/>
      <c r="G73" s="86"/>
      <c r="H73" s="86"/>
    </row>
    <row r="74" spans="1:8">
      <c r="A74" s="86"/>
      <c r="C74" s="87" t="s">
        <v>126</v>
      </c>
      <c r="D74" s="86"/>
      <c r="E74" s="88">
        <v>0</v>
      </c>
      <c r="F74" s="86"/>
      <c r="G74" s="86"/>
      <c r="H74" s="86"/>
    </row>
    <row r="75" spans="1:8">
      <c r="A75" s="86"/>
      <c r="C75" s="86"/>
      <c r="D75" s="86"/>
      <c r="E75" s="86"/>
      <c r="F75" s="86"/>
      <c r="G75" s="86"/>
      <c r="H75" s="86"/>
    </row>
    <row r="76" spans="1:8">
      <c r="A76" s="86"/>
      <c r="C76" s="87" t="s">
        <v>127</v>
      </c>
      <c r="D76" s="86"/>
      <c r="E76" s="86"/>
      <c r="F76" s="88">
        <f>SUM(E68:E74)</f>
        <v>359206.91</v>
      </c>
      <c r="G76" s="86"/>
      <c r="H76" s="86"/>
    </row>
    <row r="77" spans="1:8">
      <c r="A77" s="86"/>
      <c r="C77" s="86"/>
      <c r="D77" s="86"/>
      <c r="E77" s="86"/>
      <c r="F77" s="86"/>
      <c r="G77" s="86"/>
      <c r="H77" s="86"/>
    </row>
    <row r="78" spans="1:8" ht="13.5" thickBot="1">
      <c r="A78" s="86"/>
      <c r="C78" s="125" t="s">
        <v>1077</v>
      </c>
      <c r="D78" s="86"/>
      <c r="E78" s="86"/>
      <c r="F78" s="89">
        <f>SUM(F61:F76)</f>
        <v>359206.91</v>
      </c>
      <c r="G78" s="86"/>
      <c r="H78" s="86"/>
    </row>
    <row r="79" spans="1:8" ht="13.5" thickTop="1">
      <c r="A79" s="86"/>
      <c r="B79" s="125"/>
      <c r="C79" s="86"/>
      <c r="D79" s="86"/>
      <c r="E79" s="90"/>
      <c r="F79" s="86"/>
      <c r="G79" s="86"/>
      <c r="H79" s="86"/>
    </row>
    <row r="80" spans="1:8">
      <c r="A80" s="86"/>
      <c r="B80" s="125"/>
      <c r="C80" s="86"/>
      <c r="D80" s="86"/>
      <c r="E80" s="90"/>
      <c r="F80" s="86"/>
      <c r="G80" s="86"/>
      <c r="H80" s="86"/>
    </row>
    <row r="81" spans="1:8">
      <c r="A81" s="687" t="s">
        <v>526</v>
      </c>
      <c r="B81" s="687"/>
      <c r="C81" s="687"/>
      <c r="D81" s="687"/>
      <c r="E81" s="687"/>
      <c r="F81" s="687"/>
      <c r="G81" s="687"/>
      <c r="H81" s="687"/>
    </row>
    <row r="82" spans="1:8">
      <c r="A82" s="687" t="s">
        <v>91</v>
      </c>
      <c r="B82" s="687"/>
      <c r="C82" s="687"/>
      <c r="D82" s="687"/>
      <c r="E82" s="687"/>
      <c r="F82" s="687"/>
      <c r="G82" s="687"/>
      <c r="H82" s="687"/>
    </row>
    <row r="83" spans="1:8">
      <c r="A83" s="687" t="s">
        <v>136</v>
      </c>
      <c r="B83" s="687"/>
      <c r="C83" s="687"/>
      <c r="D83" s="687"/>
      <c r="E83" s="687"/>
      <c r="F83" s="687"/>
      <c r="G83" s="687"/>
      <c r="H83" s="687"/>
    </row>
    <row r="84" spans="1:8">
      <c r="A84" s="86"/>
      <c r="B84" s="86"/>
      <c r="C84" s="86"/>
      <c r="D84" s="86"/>
      <c r="E84" s="86"/>
      <c r="F84" s="86"/>
      <c r="G84" s="86"/>
      <c r="H84" s="86"/>
    </row>
    <row r="85" spans="1:8">
      <c r="A85" s="86"/>
      <c r="B85" s="86"/>
      <c r="C85" s="86"/>
      <c r="D85" s="86"/>
      <c r="E85" s="86"/>
      <c r="F85" s="86"/>
      <c r="G85" s="86"/>
      <c r="H85" s="86"/>
    </row>
    <row r="86" spans="1:8">
      <c r="A86" s="86"/>
      <c r="C86" s="125" t="s">
        <v>137</v>
      </c>
      <c r="D86" s="86"/>
      <c r="E86" s="86"/>
      <c r="F86" s="86"/>
      <c r="G86" s="86"/>
      <c r="H86" s="86"/>
    </row>
    <row r="87" spans="1:8">
      <c r="A87" s="86"/>
      <c r="C87" s="87" t="s">
        <v>119</v>
      </c>
      <c r="D87" s="86"/>
      <c r="E87" s="88">
        <v>887781.37</v>
      </c>
      <c r="F87" s="86"/>
      <c r="G87" s="86"/>
      <c r="H87" s="86"/>
    </row>
    <row r="88" spans="1:8">
      <c r="A88" s="86"/>
      <c r="C88" s="86"/>
      <c r="D88" s="86"/>
      <c r="E88" s="86"/>
      <c r="F88" s="86"/>
      <c r="G88" s="86"/>
      <c r="H88" s="86"/>
    </row>
    <row r="89" spans="1:8">
      <c r="A89" s="86"/>
      <c r="C89" s="87" t="s">
        <v>121</v>
      </c>
      <c r="D89" s="86"/>
      <c r="E89" s="86"/>
      <c r="F89" s="88">
        <f>E87</f>
        <v>887781.37</v>
      </c>
      <c r="G89" s="86"/>
      <c r="H89" s="86"/>
    </row>
    <row r="90" spans="1:8">
      <c r="A90" s="86"/>
      <c r="C90" s="86"/>
      <c r="D90" s="86"/>
      <c r="E90" s="86"/>
      <c r="F90" s="86"/>
      <c r="G90" s="86"/>
      <c r="H90" s="86"/>
    </row>
    <row r="91" spans="1:8">
      <c r="A91" s="86"/>
      <c r="C91" s="125" t="s">
        <v>132</v>
      </c>
      <c r="D91" s="86"/>
      <c r="E91" s="86"/>
      <c r="F91" s="86"/>
      <c r="G91" s="86"/>
      <c r="H91" s="86"/>
    </row>
    <row r="92" spans="1:8">
      <c r="A92" s="86"/>
      <c r="C92" s="87" t="s">
        <v>138</v>
      </c>
      <c r="D92" s="86"/>
      <c r="E92" s="86">
        <v>0</v>
      </c>
      <c r="F92" s="86"/>
      <c r="G92" s="86"/>
      <c r="H92" s="86"/>
    </row>
    <row r="93" spans="1:8">
      <c r="A93" s="86"/>
      <c r="C93" s="86"/>
      <c r="D93" s="86"/>
      <c r="E93" s="86"/>
      <c r="F93" s="86"/>
      <c r="G93" s="86"/>
      <c r="H93" s="86"/>
    </row>
    <row r="94" spans="1:8">
      <c r="A94" s="86"/>
      <c r="C94" s="87" t="s">
        <v>124</v>
      </c>
      <c r="D94" s="86"/>
      <c r="E94" s="86">
        <v>20060.939999999999</v>
      </c>
      <c r="F94" s="86"/>
      <c r="G94" s="86"/>
      <c r="H94" s="86"/>
    </row>
    <row r="95" spans="1:8">
      <c r="A95" s="86"/>
      <c r="C95" s="86"/>
      <c r="D95" s="86"/>
      <c r="E95" s="86"/>
      <c r="F95" s="86"/>
      <c r="G95" s="86"/>
      <c r="H95" s="86"/>
    </row>
    <row r="96" spans="1:8">
      <c r="A96" s="86"/>
      <c r="C96" s="87" t="s">
        <v>125</v>
      </c>
      <c r="D96" s="86"/>
      <c r="E96" s="86">
        <v>0</v>
      </c>
      <c r="F96" s="86"/>
      <c r="G96" s="86"/>
      <c r="H96" s="86"/>
    </row>
    <row r="97" spans="1:8">
      <c r="A97" s="86"/>
      <c r="C97" s="86"/>
      <c r="D97" s="86"/>
      <c r="E97" s="86"/>
      <c r="F97" s="86"/>
      <c r="G97" s="86"/>
      <c r="H97" s="86"/>
    </row>
    <row r="98" spans="1:8">
      <c r="A98" s="86"/>
      <c r="C98" s="87" t="s">
        <v>126</v>
      </c>
      <c r="D98" s="86"/>
      <c r="E98" s="88">
        <v>0</v>
      </c>
      <c r="F98" s="86"/>
      <c r="G98" s="86"/>
      <c r="H98" s="86"/>
    </row>
    <row r="99" spans="1:8">
      <c r="A99" s="86"/>
      <c r="C99" s="86"/>
      <c r="D99" s="86"/>
      <c r="E99" s="86"/>
      <c r="F99" s="86"/>
      <c r="G99" s="86"/>
      <c r="H99" s="86"/>
    </row>
    <row r="100" spans="1:8">
      <c r="A100" s="86"/>
      <c r="C100" s="87" t="s">
        <v>127</v>
      </c>
      <c r="D100" s="86"/>
      <c r="E100" s="86"/>
      <c r="F100" s="88">
        <f>SUM(E92:E98)</f>
        <v>20060.939999999999</v>
      </c>
      <c r="G100" s="86"/>
      <c r="H100" s="86"/>
    </row>
    <row r="101" spans="1:8">
      <c r="A101" s="86"/>
      <c r="C101" s="86"/>
      <c r="D101" s="86"/>
      <c r="E101" s="86"/>
      <c r="F101" s="86"/>
      <c r="G101" s="86"/>
      <c r="H101" s="86"/>
    </row>
    <row r="102" spans="1:8" ht="13.5" thickBot="1">
      <c r="A102" s="86"/>
      <c r="C102" s="125" t="s">
        <v>139</v>
      </c>
      <c r="D102" s="86"/>
      <c r="E102" s="86"/>
      <c r="F102" s="89">
        <f>SUM(F86:F100)</f>
        <v>907842.30999999994</v>
      </c>
      <c r="G102" s="86"/>
      <c r="H102" s="86"/>
    </row>
    <row r="103" spans="1:8" ht="13.5" thickTop="1">
      <c r="A103" s="86"/>
      <c r="B103" s="125"/>
      <c r="C103" s="86"/>
      <c r="D103" s="86"/>
      <c r="E103" s="90"/>
      <c r="F103" s="86"/>
      <c r="G103" s="86"/>
      <c r="H103" s="86"/>
    </row>
    <row r="104" spans="1:8">
      <c r="A104" s="87"/>
      <c r="B104" s="86"/>
      <c r="C104" s="86"/>
      <c r="D104" s="86"/>
      <c r="E104" s="86"/>
      <c r="F104" s="86"/>
      <c r="G104" s="86"/>
      <c r="H104" s="86"/>
    </row>
    <row r="105" spans="1:8">
      <c r="A105" s="687" t="s">
        <v>526</v>
      </c>
      <c r="B105" s="687"/>
      <c r="C105" s="687"/>
      <c r="D105" s="687"/>
      <c r="E105" s="687"/>
      <c r="F105" s="687"/>
      <c r="G105" s="687"/>
      <c r="H105" s="687"/>
    </row>
    <row r="106" spans="1:8">
      <c r="A106" s="687" t="s">
        <v>91</v>
      </c>
      <c r="B106" s="687"/>
      <c r="C106" s="687"/>
      <c r="D106" s="687"/>
      <c r="E106" s="687"/>
      <c r="F106" s="687"/>
      <c r="G106" s="687"/>
      <c r="H106" s="687"/>
    </row>
    <row r="107" spans="1:8">
      <c r="A107" s="687" t="s">
        <v>100</v>
      </c>
      <c r="B107" s="687"/>
      <c r="C107" s="687"/>
      <c r="D107" s="687"/>
      <c r="E107" s="687"/>
      <c r="F107" s="687"/>
      <c r="G107" s="687"/>
      <c r="H107" s="687"/>
    </row>
    <row r="108" spans="1:8">
      <c r="A108" s="86"/>
      <c r="B108" s="86"/>
      <c r="C108" s="86"/>
      <c r="D108" s="86"/>
      <c r="E108" s="86"/>
      <c r="F108" s="86"/>
      <c r="G108" s="86"/>
      <c r="H108" s="86"/>
    </row>
    <row r="109" spans="1:8">
      <c r="A109" s="86"/>
      <c r="B109" s="86"/>
      <c r="C109" s="86"/>
      <c r="D109" s="86"/>
      <c r="E109" s="86"/>
      <c r="F109" s="86"/>
      <c r="G109" s="86"/>
      <c r="H109" s="86"/>
    </row>
    <row r="110" spans="1:8">
      <c r="A110" s="86"/>
      <c r="C110" s="125" t="s">
        <v>140</v>
      </c>
      <c r="D110" s="86"/>
      <c r="E110" s="86"/>
      <c r="F110" s="86"/>
      <c r="G110" s="86"/>
      <c r="H110" s="86"/>
    </row>
    <row r="111" spans="1:8">
      <c r="A111" s="86"/>
      <c r="C111" s="87" t="s">
        <v>120</v>
      </c>
      <c r="D111" s="86"/>
      <c r="E111" s="91">
        <v>170552.21</v>
      </c>
      <c r="F111" s="92"/>
      <c r="G111" s="86"/>
      <c r="H111" s="86"/>
    </row>
    <row r="112" spans="1:8">
      <c r="A112" s="86"/>
      <c r="C112" s="86"/>
      <c r="D112" s="86"/>
      <c r="E112" s="92"/>
      <c r="F112" s="92"/>
      <c r="G112" s="86"/>
      <c r="H112" s="86"/>
    </row>
    <row r="113" spans="1:8">
      <c r="A113" s="86"/>
      <c r="C113" s="87" t="s">
        <v>121</v>
      </c>
      <c r="D113" s="86"/>
      <c r="E113" s="92"/>
      <c r="F113" s="92">
        <f>E111</f>
        <v>170552.21</v>
      </c>
      <c r="G113" s="86"/>
      <c r="H113" s="86"/>
    </row>
    <row r="114" spans="1:8">
      <c r="A114" s="86"/>
      <c r="C114" s="86"/>
      <c r="D114" s="86"/>
      <c r="E114" s="92"/>
      <c r="F114" s="92"/>
      <c r="G114" s="86"/>
      <c r="H114" s="86"/>
    </row>
    <row r="115" spans="1:8">
      <c r="A115" s="86"/>
      <c r="C115" s="86"/>
      <c r="D115" s="86"/>
      <c r="E115" s="92"/>
      <c r="F115" s="92"/>
      <c r="G115" s="86"/>
      <c r="H115" s="86"/>
    </row>
    <row r="116" spans="1:8">
      <c r="A116" s="86"/>
      <c r="C116" s="125" t="s">
        <v>132</v>
      </c>
      <c r="D116" s="86"/>
      <c r="E116" s="92"/>
      <c r="F116" s="92"/>
      <c r="G116" s="86"/>
      <c r="H116" s="86"/>
    </row>
    <row r="117" spans="1:8">
      <c r="A117" s="86"/>
      <c r="C117" s="87" t="s">
        <v>123</v>
      </c>
      <c r="D117" s="86"/>
      <c r="E117" s="92">
        <v>716394</v>
      </c>
      <c r="F117" s="92"/>
      <c r="G117" s="86"/>
      <c r="H117" s="86"/>
    </row>
    <row r="118" spans="1:8">
      <c r="A118" s="86"/>
      <c r="C118" s="86"/>
      <c r="D118" s="86"/>
      <c r="E118" s="92"/>
      <c r="F118" s="92"/>
      <c r="G118" s="86"/>
      <c r="H118" s="86"/>
    </row>
    <row r="119" spans="1:8">
      <c r="A119" s="86"/>
      <c r="C119" s="87" t="s">
        <v>124</v>
      </c>
      <c r="D119" s="86"/>
      <c r="E119" s="92">
        <v>910270</v>
      </c>
      <c r="F119" s="92"/>
      <c r="G119" s="86"/>
      <c r="H119" s="86"/>
    </row>
    <row r="120" spans="1:8">
      <c r="A120" s="86"/>
      <c r="C120" s="86"/>
      <c r="D120" s="86"/>
      <c r="E120" s="92"/>
      <c r="F120" s="92"/>
      <c r="G120" s="86"/>
      <c r="H120" s="86"/>
    </row>
    <row r="121" spans="1:8">
      <c r="A121" s="86"/>
      <c r="C121" s="87" t="s">
        <v>125</v>
      </c>
      <c r="D121" s="86"/>
      <c r="E121" s="92">
        <v>1331117</v>
      </c>
      <c r="F121" s="92"/>
      <c r="G121" s="86"/>
      <c r="H121" s="86"/>
    </row>
    <row r="122" spans="1:8">
      <c r="A122" s="86"/>
      <c r="C122" s="86"/>
      <c r="D122" s="86"/>
      <c r="E122" s="92"/>
      <c r="F122" s="92"/>
      <c r="G122" s="86"/>
      <c r="H122" s="86"/>
    </row>
    <row r="123" spans="1:8">
      <c r="A123" s="86"/>
      <c r="C123" s="87" t="s">
        <v>126</v>
      </c>
      <c r="D123" s="86"/>
      <c r="E123" s="91">
        <v>23829</v>
      </c>
      <c r="F123" s="92"/>
      <c r="G123" s="86"/>
      <c r="H123" s="86"/>
    </row>
    <row r="124" spans="1:8">
      <c r="A124" s="86"/>
      <c r="C124" s="86"/>
      <c r="D124" s="86"/>
      <c r="E124" s="92"/>
      <c r="F124" s="92"/>
      <c r="G124" s="86"/>
      <c r="H124" s="86"/>
    </row>
    <row r="125" spans="1:8">
      <c r="A125" s="86"/>
      <c r="C125" s="87" t="s">
        <v>127</v>
      </c>
      <c r="D125" s="86"/>
      <c r="E125" s="92"/>
      <c r="F125" s="91">
        <f>SUM(E117:E123)</f>
        <v>2981610</v>
      </c>
      <c r="G125" s="86"/>
      <c r="H125" s="86"/>
    </row>
    <row r="126" spans="1:8">
      <c r="A126" s="86"/>
      <c r="C126" s="86"/>
      <c r="D126" s="86"/>
      <c r="E126" s="92"/>
      <c r="F126" s="92"/>
      <c r="G126" s="86"/>
      <c r="H126" s="86"/>
    </row>
    <row r="127" spans="1:8" ht="13.5" thickBot="1">
      <c r="A127" s="86"/>
      <c r="C127" s="125" t="s">
        <v>141</v>
      </c>
      <c r="D127" s="86"/>
      <c r="E127" s="92"/>
      <c r="F127" s="93">
        <f>F113+F125</f>
        <v>3152162.21</v>
      </c>
      <c r="G127" s="86"/>
      <c r="H127" s="86"/>
    </row>
    <row r="128" spans="1:8" ht="13.5" thickTop="1">
      <c r="A128" s="86"/>
      <c r="B128" s="125"/>
      <c r="C128" s="86"/>
      <c r="D128" s="86"/>
      <c r="E128" s="90"/>
      <c r="F128" s="86"/>
      <c r="G128" s="86"/>
      <c r="H128" s="86"/>
    </row>
    <row r="129" spans="1:8">
      <c r="A129" s="86"/>
      <c r="B129" s="125"/>
      <c r="C129" s="86"/>
      <c r="D129" s="86"/>
      <c r="E129" s="90"/>
      <c r="F129" s="86"/>
      <c r="G129" s="86"/>
      <c r="H129" s="86"/>
    </row>
    <row r="130" spans="1:8">
      <c r="A130" s="687" t="s">
        <v>526</v>
      </c>
      <c r="B130" s="687"/>
      <c r="C130" s="687"/>
      <c r="D130" s="687"/>
      <c r="E130" s="687"/>
      <c r="F130" s="687"/>
      <c r="G130" s="687"/>
      <c r="H130" s="687"/>
    </row>
    <row r="131" spans="1:8">
      <c r="A131" s="687" t="s">
        <v>91</v>
      </c>
      <c r="B131" s="687"/>
      <c r="C131" s="687"/>
      <c r="D131" s="687"/>
      <c r="E131" s="687"/>
      <c r="F131" s="687"/>
      <c r="G131" s="687"/>
      <c r="H131" s="687"/>
    </row>
    <row r="132" spans="1:8">
      <c r="A132" s="687" t="s">
        <v>1074</v>
      </c>
      <c r="B132" s="687"/>
      <c r="C132" s="687"/>
      <c r="D132" s="687"/>
      <c r="E132" s="687"/>
      <c r="F132" s="687"/>
      <c r="G132" s="687"/>
      <c r="H132" s="687"/>
    </row>
    <row r="133" spans="1:8">
      <c r="A133" s="86"/>
      <c r="B133" s="86"/>
      <c r="C133" s="86"/>
      <c r="D133" s="86"/>
      <c r="E133" s="86"/>
      <c r="F133" s="86"/>
      <c r="G133" s="86"/>
      <c r="H133" s="86"/>
    </row>
    <row r="134" spans="1:8">
      <c r="A134" s="86"/>
      <c r="B134" s="86"/>
      <c r="C134" s="86"/>
      <c r="D134" s="86"/>
      <c r="E134" s="86"/>
      <c r="F134" s="86"/>
      <c r="G134" s="86"/>
      <c r="H134" s="86"/>
    </row>
    <row r="135" spans="1:8">
      <c r="A135" s="86"/>
      <c r="C135" s="125" t="s">
        <v>1076</v>
      </c>
      <c r="D135" s="86"/>
      <c r="E135" s="86"/>
      <c r="F135" s="86"/>
      <c r="G135" s="86"/>
      <c r="H135" s="86"/>
    </row>
    <row r="136" spans="1:8">
      <c r="A136" s="86"/>
      <c r="C136" s="87" t="s">
        <v>130</v>
      </c>
      <c r="D136" s="86"/>
      <c r="E136" s="86">
        <v>0</v>
      </c>
      <c r="F136" s="86"/>
      <c r="G136" s="86"/>
      <c r="H136" s="86"/>
    </row>
    <row r="137" spans="1:8">
      <c r="A137" s="86"/>
      <c r="C137" s="86"/>
      <c r="D137" s="86"/>
      <c r="E137" s="86"/>
      <c r="F137" s="86"/>
      <c r="G137" s="86"/>
      <c r="H137" s="86"/>
    </row>
    <row r="138" spans="1:8">
      <c r="A138" s="86"/>
      <c r="C138" s="87" t="s">
        <v>121</v>
      </c>
      <c r="D138" s="86"/>
      <c r="E138" s="86"/>
      <c r="F138" s="86">
        <f>E136</f>
        <v>0</v>
      </c>
      <c r="G138" s="86"/>
      <c r="H138" s="86"/>
    </row>
    <row r="139" spans="1:8">
      <c r="A139" s="86"/>
      <c r="C139" s="86"/>
      <c r="D139" s="86"/>
      <c r="E139" s="86"/>
      <c r="F139" s="86"/>
      <c r="G139" s="86"/>
      <c r="H139" s="86"/>
    </row>
    <row r="140" spans="1:8">
      <c r="A140" s="86"/>
      <c r="C140" s="125" t="s">
        <v>132</v>
      </c>
      <c r="D140" s="86"/>
      <c r="E140" s="86"/>
      <c r="F140" s="86"/>
      <c r="G140" s="86"/>
      <c r="H140" s="86"/>
    </row>
    <row r="141" spans="1:8">
      <c r="A141" s="86"/>
      <c r="C141" s="87" t="s">
        <v>123</v>
      </c>
      <c r="D141" s="86"/>
      <c r="E141" s="86">
        <v>0</v>
      </c>
      <c r="F141" s="86"/>
      <c r="G141" s="86"/>
      <c r="H141" s="86"/>
    </row>
    <row r="142" spans="1:8">
      <c r="A142" s="86"/>
      <c r="C142" s="86"/>
      <c r="D142" s="86"/>
      <c r="E142" s="86"/>
      <c r="F142" s="86"/>
      <c r="G142" s="86"/>
      <c r="H142" s="86"/>
    </row>
    <row r="143" spans="1:8">
      <c r="A143" s="86"/>
      <c r="C143" s="87" t="s">
        <v>124</v>
      </c>
      <c r="D143" s="86"/>
      <c r="E143" s="86">
        <v>15201.26</v>
      </c>
      <c r="F143" s="86"/>
      <c r="G143" s="86"/>
      <c r="H143" s="86"/>
    </row>
    <row r="144" spans="1:8">
      <c r="A144" s="86"/>
      <c r="C144" s="86"/>
      <c r="D144" s="86"/>
      <c r="E144" s="86"/>
      <c r="F144" s="86"/>
      <c r="G144" s="86"/>
      <c r="H144" s="86"/>
    </row>
    <row r="145" spans="1:8">
      <c r="A145" s="86"/>
      <c r="C145" s="87" t="s">
        <v>125</v>
      </c>
      <c r="D145" s="86"/>
      <c r="E145" s="86">
        <v>0</v>
      </c>
      <c r="F145" s="86"/>
      <c r="G145" s="86"/>
      <c r="H145" s="86"/>
    </row>
    <row r="146" spans="1:8">
      <c r="A146" s="86"/>
      <c r="C146" s="86"/>
      <c r="D146" s="86"/>
      <c r="E146" s="86"/>
      <c r="F146" s="86"/>
      <c r="G146" s="86"/>
      <c r="H146" s="86"/>
    </row>
    <row r="147" spans="1:8">
      <c r="A147" s="86"/>
      <c r="C147" s="87" t="s">
        <v>126</v>
      </c>
      <c r="D147" s="86"/>
      <c r="E147" s="88">
        <v>0</v>
      </c>
      <c r="F147" s="86"/>
      <c r="G147" s="86"/>
      <c r="H147" s="86"/>
    </row>
    <row r="148" spans="1:8">
      <c r="A148" s="86"/>
      <c r="C148" s="86"/>
      <c r="D148" s="86"/>
      <c r="E148" s="86"/>
      <c r="F148" s="86"/>
      <c r="G148" s="86"/>
      <c r="H148" s="86"/>
    </row>
    <row r="149" spans="1:8">
      <c r="A149" s="86"/>
      <c r="C149" s="87" t="s">
        <v>127</v>
      </c>
      <c r="D149" s="86"/>
      <c r="E149" s="86"/>
      <c r="F149" s="95">
        <f>SUM(E141:E147)</f>
        <v>15201.26</v>
      </c>
      <c r="G149" s="86"/>
      <c r="H149" s="86"/>
    </row>
    <row r="150" spans="1:8">
      <c r="A150" s="86"/>
      <c r="C150" s="86"/>
      <c r="D150" s="86"/>
      <c r="E150" s="86"/>
      <c r="F150" s="86"/>
      <c r="G150" s="86"/>
      <c r="H150" s="86"/>
    </row>
    <row r="151" spans="1:8" ht="13.5" thickBot="1">
      <c r="A151" s="86"/>
      <c r="C151" s="125" t="s">
        <v>1075</v>
      </c>
      <c r="D151" s="86"/>
      <c r="E151" s="86"/>
      <c r="F151" s="96">
        <f>F138+F149</f>
        <v>15201.26</v>
      </c>
      <c r="G151" s="86"/>
      <c r="H151" s="86"/>
    </row>
    <row r="152" spans="1:8" ht="13.5" thickTop="1">
      <c r="A152" s="86"/>
      <c r="B152" s="125"/>
      <c r="C152" s="86"/>
      <c r="D152" s="86"/>
      <c r="E152" s="90"/>
      <c r="F152" s="86"/>
      <c r="G152" s="86"/>
      <c r="H152" s="86"/>
    </row>
    <row r="153" spans="1:8">
      <c r="A153" s="86"/>
      <c r="B153" s="125"/>
      <c r="C153" s="86"/>
      <c r="D153" s="86"/>
      <c r="E153" s="90"/>
      <c r="F153" s="86"/>
      <c r="G153" s="86"/>
      <c r="H153" s="86"/>
    </row>
    <row r="154" spans="1:8">
      <c r="A154" s="687" t="s">
        <v>526</v>
      </c>
      <c r="B154" s="687"/>
      <c r="C154" s="687"/>
      <c r="D154" s="687"/>
      <c r="E154" s="687"/>
      <c r="F154" s="687"/>
      <c r="G154" s="687"/>
      <c r="H154" s="687"/>
    </row>
    <row r="155" spans="1:8">
      <c r="A155" s="687" t="s">
        <v>91</v>
      </c>
      <c r="B155" s="687"/>
      <c r="C155" s="687"/>
      <c r="D155" s="687"/>
      <c r="E155" s="687"/>
      <c r="F155" s="687"/>
      <c r="G155" s="687"/>
      <c r="H155" s="687"/>
    </row>
    <row r="156" spans="1:8">
      <c r="A156" s="687" t="s">
        <v>142</v>
      </c>
      <c r="B156" s="687"/>
      <c r="C156" s="687"/>
      <c r="D156" s="687"/>
      <c r="E156" s="687"/>
      <c r="F156" s="687"/>
      <c r="G156" s="687"/>
      <c r="H156" s="687"/>
    </row>
    <row r="157" spans="1:8">
      <c r="A157" s="86"/>
      <c r="B157" s="86"/>
      <c r="C157" s="86"/>
      <c r="D157" s="86"/>
      <c r="E157" s="86"/>
      <c r="F157" s="86"/>
      <c r="G157" s="86"/>
      <c r="H157" s="86"/>
    </row>
    <row r="158" spans="1:8">
      <c r="A158" s="86"/>
      <c r="B158" s="86"/>
      <c r="C158" s="86"/>
      <c r="D158" s="86"/>
      <c r="E158" s="86"/>
      <c r="F158" s="86"/>
      <c r="G158" s="86"/>
      <c r="H158" s="86"/>
    </row>
    <row r="159" spans="1:8">
      <c r="A159" s="86"/>
      <c r="C159" s="125" t="s">
        <v>143</v>
      </c>
      <c r="D159" s="86"/>
      <c r="E159" s="86"/>
      <c r="F159" s="86"/>
      <c r="G159" s="86"/>
      <c r="H159" s="86"/>
    </row>
    <row r="160" spans="1:8">
      <c r="A160" s="86"/>
      <c r="C160" s="87" t="s">
        <v>118</v>
      </c>
      <c r="D160" s="86"/>
      <c r="E160" s="86">
        <v>1418919.83</v>
      </c>
      <c r="F160" s="86"/>
      <c r="G160" s="86"/>
      <c r="H160" s="86"/>
    </row>
    <row r="161" spans="1:8">
      <c r="A161" s="86"/>
      <c r="C161" s="86"/>
      <c r="D161" s="86"/>
      <c r="E161" s="86"/>
      <c r="F161" s="86"/>
      <c r="G161" s="86"/>
      <c r="H161" s="86"/>
    </row>
    <row r="162" spans="1:8">
      <c r="A162" s="86"/>
      <c r="C162" s="87" t="s">
        <v>121</v>
      </c>
      <c r="D162" s="86"/>
      <c r="E162" s="86"/>
      <c r="F162" s="86">
        <f>E160</f>
        <v>1418919.83</v>
      </c>
      <c r="G162" s="86"/>
      <c r="H162" s="86"/>
    </row>
    <row r="163" spans="1:8">
      <c r="A163" s="86"/>
      <c r="C163" s="86"/>
      <c r="D163" s="86"/>
      <c r="E163" s="86"/>
      <c r="F163" s="86"/>
      <c r="G163" s="86"/>
      <c r="H163" s="86"/>
    </row>
    <row r="164" spans="1:8">
      <c r="A164" s="86"/>
      <c r="C164" s="125" t="s">
        <v>132</v>
      </c>
      <c r="D164" s="86"/>
      <c r="E164" s="86"/>
      <c r="F164" s="86"/>
      <c r="G164" s="86"/>
      <c r="H164" s="86"/>
    </row>
    <row r="165" spans="1:8">
      <c r="A165" s="86"/>
      <c r="C165" s="87" t="s">
        <v>123</v>
      </c>
      <c r="D165" s="86"/>
      <c r="E165" s="86">
        <v>0</v>
      </c>
      <c r="F165" s="86"/>
      <c r="G165" s="86"/>
      <c r="H165" s="86"/>
    </row>
    <row r="166" spans="1:8">
      <c r="A166" s="86"/>
      <c r="C166" s="86"/>
      <c r="D166" s="86"/>
      <c r="E166" s="86"/>
      <c r="F166" s="86"/>
      <c r="G166" s="86"/>
      <c r="H166" s="86"/>
    </row>
    <row r="167" spans="1:8">
      <c r="A167" s="86"/>
      <c r="C167" s="87" t="s">
        <v>124</v>
      </c>
      <c r="D167" s="86"/>
      <c r="E167" s="86">
        <v>89535.89</v>
      </c>
      <c r="F167" s="86"/>
      <c r="G167" s="86"/>
      <c r="H167" s="86"/>
    </row>
    <row r="168" spans="1:8">
      <c r="A168" s="86"/>
      <c r="C168" s="86"/>
      <c r="D168" s="86"/>
      <c r="E168" s="86"/>
      <c r="F168" s="86"/>
      <c r="G168" s="86"/>
      <c r="H168" s="86"/>
    </row>
    <row r="169" spans="1:8">
      <c r="A169" s="86"/>
      <c r="C169" s="87" t="s">
        <v>125</v>
      </c>
      <c r="D169" s="86"/>
      <c r="E169" s="86">
        <v>0</v>
      </c>
      <c r="F169" s="86"/>
      <c r="G169" s="86"/>
      <c r="H169" s="86"/>
    </row>
    <row r="170" spans="1:8">
      <c r="A170" s="86"/>
      <c r="C170" s="86"/>
      <c r="D170" s="86"/>
      <c r="E170" s="86"/>
      <c r="F170" s="86"/>
      <c r="G170" s="86"/>
      <c r="H170" s="86"/>
    </row>
    <row r="171" spans="1:8">
      <c r="A171" s="86"/>
      <c r="C171" s="87" t="s">
        <v>126</v>
      </c>
      <c r="D171" s="86"/>
      <c r="E171" s="88">
        <v>0</v>
      </c>
      <c r="F171" s="86"/>
      <c r="G171" s="86"/>
      <c r="H171" s="86"/>
    </row>
    <row r="172" spans="1:8">
      <c r="A172" s="86"/>
      <c r="C172" s="86"/>
      <c r="D172" s="86"/>
      <c r="E172" s="86"/>
      <c r="F172" s="86"/>
      <c r="G172" s="86"/>
      <c r="H172" s="86"/>
    </row>
    <row r="173" spans="1:8">
      <c r="A173" s="86"/>
      <c r="C173" s="87" t="s">
        <v>127</v>
      </c>
      <c r="D173" s="86"/>
      <c r="E173" s="86"/>
      <c r="F173" s="95">
        <f>SUM(E165:E171)</f>
        <v>89535.89</v>
      </c>
      <c r="G173" s="86"/>
      <c r="H173" s="86"/>
    </row>
    <row r="174" spans="1:8">
      <c r="A174" s="86"/>
      <c r="C174" s="86"/>
      <c r="D174" s="86"/>
      <c r="E174" s="86"/>
      <c r="F174" s="86"/>
      <c r="G174" s="86"/>
      <c r="H174" s="86"/>
    </row>
    <row r="175" spans="1:8" ht="13.5" thickBot="1">
      <c r="A175" s="86"/>
      <c r="C175" s="125" t="s">
        <v>144</v>
      </c>
      <c r="D175" s="86"/>
      <c r="E175" s="86"/>
      <c r="F175" s="96">
        <f>F162+F173</f>
        <v>1508455.72</v>
      </c>
      <c r="G175" s="86"/>
      <c r="H175" s="86"/>
    </row>
    <row r="176" spans="1:8" ht="13.5" thickTop="1">
      <c r="A176" s="86"/>
      <c r="B176" s="86"/>
      <c r="C176" s="86"/>
      <c r="D176" s="86"/>
      <c r="E176" s="86"/>
      <c r="F176" s="86"/>
      <c r="G176" s="86"/>
      <c r="H176" s="86"/>
    </row>
    <row r="177" spans="1:8">
      <c r="A177" s="86"/>
      <c r="B177" s="86"/>
      <c r="C177" s="86"/>
      <c r="D177" s="86"/>
      <c r="E177" s="86"/>
      <c r="F177" s="86"/>
      <c r="G177" s="86"/>
      <c r="H177" s="86"/>
    </row>
    <row r="178" spans="1:8">
      <c r="B178" s="94"/>
    </row>
  </sheetData>
  <sheetProtection formatCells="0"/>
  <mergeCells count="23">
    <mergeCell ref="B1:H1"/>
    <mergeCell ref="B2:H2"/>
    <mergeCell ref="A4:H4"/>
    <mergeCell ref="A5:H5"/>
    <mergeCell ref="A6:H6"/>
    <mergeCell ref="A31:H31"/>
    <mergeCell ref="A32:H32"/>
    <mergeCell ref="A105:H105"/>
    <mergeCell ref="A33:H33"/>
    <mergeCell ref="A57:H57"/>
    <mergeCell ref="A58:H58"/>
    <mergeCell ref="A59:H59"/>
    <mergeCell ref="A81:H81"/>
    <mergeCell ref="A82:H82"/>
    <mergeCell ref="A83:H83"/>
    <mergeCell ref="A155:H155"/>
    <mergeCell ref="A156:H156"/>
    <mergeCell ref="A106:H106"/>
    <mergeCell ref="A107:H107"/>
    <mergeCell ref="A154:H154"/>
    <mergeCell ref="A130:H130"/>
    <mergeCell ref="A131:H131"/>
    <mergeCell ref="A132:H132"/>
  </mergeCells>
  <phoneticPr fontId="18" type="noConversion"/>
  <conditionalFormatting sqref="A1:XFD1048576">
    <cfRule type="cellIs" dxfId="1" priority="1" operator="lessThan">
      <formula>0</formula>
    </cfRule>
  </conditionalFormatting>
  <printOptions horizontalCentered="1"/>
  <pageMargins left="0.75" right="0.75" top="1" bottom="1" header="0.5" footer="0.5"/>
  <pageSetup scale="71" fitToHeight="2" orientation="portrait" r:id="rId1"/>
  <headerFooter alignWithMargins="0">
    <oddHeader>&amp;CIDAHO POWER COMPANY
Transmission Cost of Service Rate Development
12 Months Ended 12/31/2017</oddHeader>
  </headerFooter>
  <rowBreaks count="3" manualBreakCount="3">
    <brk id="30" max="7" man="1"/>
    <brk id="80" max="7" man="1"/>
    <brk id="129" max="7" man="1"/>
  </rowBreaks>
  <ignoredErrors>
    <ignoredError sqref="E9:E11 E19 E12:E13 E21 E23" unlockedFormula="1"/>
    <ignoredError sqref="F28" 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5"/>
  <sheetViews>
    <sheetView zoomScaleNormal="100" workbookViewId="0"/>
  </sheetViews>
  <sheetFormatPr defaultRowHeight="15"/>
  <cols>
    <col min="1" max="1" width="3.140625" style="514" customWidth="1"/>
    <col min="2" max="2" width="22.7109375" style="515" customWidth="1"/>
    <col min="3" max="3" width="15" style="515" customWidth="1"/>
    <col min="4" max="4" width="17.7109375" style="515" bestFit="1" customWidth="1"/>
    <col min="5" max="16384" width="9.140625" style="515"/>
  </cols>
  <sheetData>
    <row r="2" spans="1:11" s="196" customFormat="1" ht="12.75">
      <c r="B2" s="657" t="s">
        <v>1059</v>
      </c>
      <c r="C2" s="657"/>
      <c r="D2" s="657"/>
      <c r="E2" s="5"/>
      <c r="F2" s="5"/>
      <c r="G2" s="5"/>
      <c r="H2" s="5"/>
    </row>
    <row r="3" spans="1:11" s="196" customFormat="1" ht="12.75">
      <c r="B3" s="666" t="s">
        <v>912</v>
      </c>
      <c r="C3" s="666"/>
      <c r="D3" s="666"/>
      <c r="E3" s="5"/>
      <c r="F3" s="5"/>
      <c r="G3" s="5"/>
      <c r="H3" s="5"/>
    </row>
    <row r="4" spans="1:11" s="196" customFormat="1" ht="12.75">
      <c r="B4" s="609"/>
      <c r="C4" s="609"/>
      <c r="D4" s="609"/>
      <c r="E4" s="609"/>
      <c r="F4" s="609"/>
      <c r="G4" s="609"/>
      <c r="H4" s="609"/>
    </row>
    <row r="5" spans="1:11" s="196" customFormat="1" ht="12.75">
      <c r="A5" s="196">
        <v>1</v>
      </c>
      <c r="B5" s="609"/>
      <c r="C5" s="636" t="s">
        <v>229</v>
      </c>
      <c r="D5" s="609"/>
      <c r="E5" s="609"/>
      <c r="F5" s="609"/>
      <c r="G5" s="609"/>
      <c r="H5" s="609"/>
    </row>
    <row r="6" spans="1:11">
      <c r="A6" s="514">
        <f>A5+1</f>
        <v>2</v>
      </c>
      <c r="B6" s="514" t="s">
        <v>1049</v>
      </c>
      <c r="D6" s="514"/>
      <c r="E6" s="514"/>
      <c r="F6" s="514"/>
      <c r="G6" s="514"/>
      <c r="H6" s="514"/>
      <c r="I6" s="514"/>
      <c r="J6" s="514"/>
      <c r="K6" s="514"/>
    </row>
    <row r="7" spans="1:11">
      <c r="A7" s="514">
        <f t="shared" ref="A7:A20" si="0">A6+1</f>
        <v>3</v>
      </c>
      <c r="B7" s="514" t="s">
        <v>1050</v>
      </c>
      <c r="D7" s="71">
        <v>24897.200000000001</v>
      </c>
      <c r="E7" s="637"/>
      <c r="F7" s="514"/>
      <c r="G7" s="514"/>
      <c r="H7" s="514"/>
      <c r="I7" s="514"/>
      <c r="J7" s="514"/>
      <c r="K7" s="514"/>
    </row>
    <row r="8" spans="1:11">
      <c r="A8" s="514">
        <f t="shared" si="0"/>
        <v>4</v>
      </c>
      <c r="B8" s="514" t="s">
        <v>1051</v>
      </c>
      <c r="C8" s="637"/>
      <c r="D8" s="71">
        <f>1472.74+1700+500+1213.96</f>
        <v>4886.7</v>
      </c>
      <c r="E8" s="637"/>
      <c r="F8" s="514"/>
      <c r="G8" s="514"/>
      <c r="H8" s="514"/>
      <c r="I8" s="514"/>
      <c r="J8" s="514"/>
      <c r="K8" s="514"/>
    </row>
    <row r="9" spans="1:11" ht="15.75" thickBot="1">
      <c r="A9" s="514">
        <f t="shared" si="0"/>
        <v>5</v>
      </c>
      <c r="B9" s="514" t="s">
        <v>537</v>
      </c>
      <c r="C9" s="514"/>
      <c r="D9" s="518">
        <f>SUM(D7:D8)</f>
        <v>29783.9</v>
      </c>
      <c r="E9" s="514"/>
      <c r="F9" s="514"/>
      <c r="G9" s="514"/>
      <c r="H9" s="514"/>
      <c r="I9" s="514"/>
      <c r="J9" s="514"/>
      <c r="K9" s="514"/>
    </row>
    <row r="10" spans="1:11" ht="15.75" thickTop="1">
      <c r="A10" s="514">
        <f t="shared" si="0"/>
        <v>6</v>
      </c>
      <c r="B10" s="514"/>
      <c r="C10" s="514"/>
      <c r="D10" s="71"/>
      <c r="E10" s="514"/>
      <c r="F10" s="514"/>
      <c r="G10" s="514"/>
      <c r="H10" s="514"/>
      <c r="I10" s="514"/>
      <c r="J10" s="514"/>
      <c r="K10" s="514"/>
    </row>
    <row r="11" spans="1:11">
      <c r="A11" s="514">
        <f t="shared" si="0"/>
        <v>7</v>
      </c>
      <c r="B11" s="514" t="s">
        <v>515</v>
      </c>
      <c r="C11" s="514"/>
      <c r="D11" s="71"/>
      <c r="E11" s="514"/>
      <c r="F11" s="514"/>
      <c r="G11" s="514"/>
      <c r="H11" s="514"/>
      <c r="I11" s="514"/>
      <c r="J11" s="514"/>
      <c r="K11" s="514"/>
    </row>
    <row r="12" spans="1:11">
      <c r="A12" s="514">
        <f t="shared" si="0"/>
        <v>8</v>
      </c>
      <c r="B12" s="514" t="s">
        <v>519</v>
      </c>
      <c r="C12" s="638" t="s">
        <v>1057</v>
      </c>
      <c r="D12" s="639">
        <v>1163240490</v>
      </c>
      <c r="E12" s="514"/>
      <c r="F12" s="514"/>
      <c r="G12" s="514"/>
      <c r="H12" s="514"/>
      <c r="I12" s="514"/>
      <c r="J12" s="514"/>
      <c r="K12" s="514"/>
    </row>
    <row r="13" spans="1:11">
      <c r="A13" s="514">
        <f t="shared" si="0"/>
        <v>9</v>
      </c>
      <c r="B13" s="514" t="s">
        <v>384</v>
      </c>
      <c r="C13" s="638" t="s">
        <v>1058</v>
      </c>
      <c r="D13" s="639">
        <v>1710126217</v>
      </c>
      <c r="E13" s="514"/>
      <c r="F13" s="514"/>
      <c r="G13" s="514"/>
      <c r="H13" s="514"/>
      <c r="I13" s="514"/>
      <c r="J13" s="514"/>
      <c r="K13" s="514"/>
    </row>
    <row r="14" spans="1:11" ht="15.75" thickBot="1">
      <c r="A14" s="514">
        <f t="shared" si="0"/>
        <v>10</v>
      </c>
      <c r="B14" s="514"/>
      <c r="C14" s="514"/>
      <c r="D14" s="521">
        <f>SUM(D12:D13)</f>
        <v>2873366707</v>
      </c>
      <c r="E14" s="514"/>
      <c r="F14" s="514"/>
      <c r="G14" s="514"/>
      <c r="H14" s="514"/>
      <c r="I14" s="514"/>
      <c r="J14" s="514"/>
      <c r="K14" s="514"/>
    </row>
    <row r="15" spans="1:11" ht="15.75" thickTop="1">
      <c r="A15" s="514">
        <f t="shared" si="0"/>
        <v>11</v>
      </c>
      <c r="B15" s="514"/>
      <c r="C15" s="514"/>
      <c r="D15" s="514"/>
      <c r="E15" s="514"/>
      <c r="F15" s="514"/>
      <c r="G15" s="514"/>
      <c r="H15" s="514"/>
      <c r="I15" s="514"/>
      <c r="J15" s="514"/>
      <c r="K15" s="514"/>
    </row>
    <row r="16" spans="1:11">
      <c r="A16" s="514">
        <f t="shared" si="0"/>
        <v>12</v>
      </c>
      <c r="B16" s="514" t="s">
        <v>1052</v>
      </c>
      <c r="C16" s="514"/>
      <c r="D16" s="514">
        <f>D12/D14</f>
        <v>0.40483537557742016</v>
      </c>
      <c r="E16" s="514"/>
      <c r="F16" s="514"/>
      <c r="G16" s="514"/>
      <c r="H16" s="514"/>
      <c r="I16" s="514"/>
      <c r="J16" s="514"/>
      <c r="K16" s="514"/>
    </row>
    <row r="17" spans="1:11">
      <c r="A17" s="514">
        <f t="shared" si="0"/>
        <v>13</v>
      </c>
      <c r="B17" s="514"/>
      <c r="C17" s="514"/>
      <c r="D17" s="514"/>
      <c r="E17" s="514"/>
      <c r="F17" s="514"/>
      <c r="G17" s="514"/>
      <c r="H17" s="514"/>
      <c r="I17" s="514"/>
      <c r="J17" s="514"/>
      <c r="K17" s="514"/>
    </row>
    <row r="18" spans="1:11">
      <c r="A18" s="514">
        <f t="shared" si="0"/>
        <v>14</v>
      </c>
      <c r="B18" s="514" t="s">
        <v>1053</v>
      </c>
      <c r="C18" s="514"/>
      <c r="D18" s="519">
        <f>D9</f>
        <v>29783.9</v>
      </c>
      <c r="E18" s="514"/>
      <c r="F18" s="514"/>
      <c r="G18" s="514"/>
      <c r="H18" s="514"/>
      <c r="I18" s="514"/>
      <c r="J18" s="514"/>
      <c r="K18" s="514"/>
    </row>
    <row r="19" spans="1:11">
      <c r="A19" s="514">
        <f t="shared" si="0"/>
        <v>15</v>
      </c>
      <c r="B19" s="514" t="s">
        <v>1054</v>
      </c>
      <c r="C19" s="514"/>
      <c r="D19" s="514">
        <f>D16</f>
        <v>0.40483537557742016</v>
      </c>
      <c r="E19" s="514"/>
      <c r="F19" s="514"/>
      <c r="G19" s="514"/>
      <c r="H19" s="514"/>
      <c r="I19" s="514"/>
      <c r="J19" s="514"/>
      <c r="K19" s="514"/>
    </row>
    <row r="20" spans="1:11" ht="15.75" thickBot="1">
      <c r="A20" s="514">
        <f t="shared" si="0"/>
        <v>16</v>
      </c>
      <c r="B20" s="514" t="s">
        <v>1055</v>
      </c>
      <c r="C20" s="514"/>
      <c r="D20" s="520">
        <f>D18*D19</f>
        <v>12057.576342660324</v>
      </c>
      <c r="E20" s="514"/>
      <c r="F20" s="514"/>
      <c r="G20" s="514"/>
      <c r="H20" s="514"/>
      <c r="I20" s="514"/>
      <c r="J20" s="514"/>
      <c r="K20" s="514"/>
    </row>
    <row r="21" spans="1:11" ht="15.75" thickTop="1">
      <c r="B21" s="514"/>
      <c r="C21" s="514"/>
      <c r="D21" s="514"/>
      <c r="E21" s="514"/>
      <c r="F21" s="514"/>
      <c r="G21" s="514"/>
      <c r="H21" s="514"/>
      <c r="I21" s="514"/>
      <c r="J21" s="514"/>
      <c r="K21" s="514"/>
    </row>
    <row r="23" spans="1:11">
      <c r="C23" s="158"/>
    </row>
    <row r="24" spans="1:11">
      <c r="D24" s="516">
        <v>12072.48</v>
      </c>
    </row>
    <row r="25" spans="1:11">
      <c r="D25" s="516">
        <v>0.37793400300000002</v>
      </c>
    </row>
  </sheetData>
  <mergeCells count="2">
    <mergeCell ref="B2:D2"/>
    <mergeCell ref="B3:D3"/>
  </mergeCells>
  <printOptions horizontalCentered="1"/>
  <pageMargins left="0.75" right="0.75" top="1" bottom="1" header="0.5" footer="0.5"/>
  <pageSetup scale="71" orientation="portrait" verticalDpi="0" r:id="rId1"/>
  <headerFooter alignWithMargins="0">
    <oddHeader>&amp;CIDAHO POWER COMPANY
Transmission Cost of Service Rate Development
12 Months Ended 12/31/2017</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J50"/>
  <sheetViews>
    <sheetView zoomScaleNormal="100" zoomScaleSheetLayoutView="100" workbookViewId="0">
      <selection sqref="A1:H1"/>
    </sheetView>
  </sheetViews>
  <sheetFormatPr defaultRowHeight="12.75"/>
  <cols>
    <col min="1" max="2" width="3.7109375" style="612" customWidth="1"/>
    <col min="3" max="3" width="48" style="152" customWidth="1"/>
    <col min="4" max="4" width="14.7109375" style="152" customWidth="1"/>
    <col min="5" max="5" width="3" style="152" customWidth="1"/>
    <col min="6" max="6" width="16.7109375" style="152" customWidth="1"/>
    <col min="7" max="7" width="1.7109375" style="152" customWidth="1"/>
    <col min="8" max="8" width="44.7109375" style="152" customWidth="1"/>
    <col min="9" max="9" width="11.7109375" style="152" bestFit="1" customWidth="1"/>
    <col min="10" max="10" width="8.7109375" style="152" bestFit="1" customWidth="1"/>
    <col min="11" max="16384" width="9.140625" style="152"/>
  </cols>
  <sheetData>
    <row r="1" spans="1:10">
      <c r="A1" s="666" t="s">
        <v>371</v>
      </c>
      <c r="B1" s="666"/>
      <c r="C1" s="666"/>
      <c r="D1" s="666"/>
      <c r="E1" s="666"/>
      <c r="F1" s="666"/>
      <c r="G1" s="666"/>
      <c r="H1" s="666"/>
    </row>
    <row r="2" spans="1:10">
      <c r="A2" s="666" t="s">
        <v>360</v>
      </c>
      <c r="B2" s="666"/>
      <c r="C2" s="666"/>
      <c r="D2" s="666"/>
      <c r="E2" s="666"/>
      <c r="F2" s="666"/>
      <c r="G2" s="666"/>
      <c r="H2" s="666"/>
    </row>
    <row r="3" spans="1:10">
      <c r="A3" s="613"/>
      <c r="B3" s="613"/>
      <c r="C3" s="613"/>
      <c r="D3" s="613"/>
      <c r="E3" s="613"/>
      <c r="F3" s="613"/>
      <c r="G3" s="613"/>
      <c r="H3" s="613"/>
    </row>
    <row r="4" spans="1:10">
      <c r="F4" s="613" t="s">
        <v>93</v>
      </c>
    </row>
    <row r="5" spans="1:10">
      <c r="C5" s="156"/>
      <c r="D5" s="613" t="s">
        <v>537</v>
      </c>
      <c r="E5" s="613"/>
      <c r="F5" s="613" t="s">
        <v>633</v>
      </c>
      <c r="G5" s="613"/>
      <c r="H5" s="613" t="s">
        <v>759</v>
      </c>
    </row>
    <row r="6" spans="1:10">
      <c r="B6" s="666" t="s">
        <v>758</v>
      </c>
      <c r="C6" s="666"/>
      <c r="D6" s="613" t="s">
        <v>230</v>
      </c>
      <c r="E6" s="613"/>
      <c r="F6" s="613" t="s">
        <v>635</v>
      </c>
      <c r="G6" s="613"/>
      <c r="H6" s="613" t="s">
        <v>636</v>
      </c>
    </row>
    <row r="7" spans="1:10">
      <c r="C7" s="613" t="s">
        <v>458</v>
      </c>
      <c r="D7" s="613" t="s">
        <v>459</v>
      </c>
      <c r="E7" s="613"/>
      <c r="F7" s="613" t="s">
        <v>637</v>
      </c>
      <c r="G7" s="613"/>
      <c r="H7" s="613" t="s">
        <v>638</v>
      </c>
    </row>
    <row r="8" spans="1:10">
      <c r="B8" s="314" t="s">
        <v>639</v>
      </c>
      <c r="C8" s="315"/>
      <c r="D8" s="316"/>
      <c r="E8" s="316"/>
      <c r="F8" s="316"/>
      <c r="G8" s="316"/>
      <c r="H8" s="317"/>
    </row>
    <row r="9" spans="1:10">
      <c r="A9" s="318"/>
      <c r="B9" s="319"/>
      <c r="C9" s="320" t="s">
        <v>640</v>
      </c>
      <c r="D9" s="327">
        <v>17330</v>
      </c>
      <c r="E9" s="321"/>
      <c r="F9" s="325">
        <v>0</v>
      </c>
      <c r="G9" s="322"/>
      <c r="H9" s="323" t="s">
        <v>641</v>
      </c>
    </row>
    <row r="10" spans="1:10">
      <c r="A10" s="318"/>
      <c r="B10" s="324"/>
      <c r="C10" s="320" t="s">
        <v>217</v>
      </c>
      <c r="D10" s="325">
        <v>248968.55</v>
      </c>
      <c r="E10" s="321"/>
      <c r="F10" s="325">
        <f>'Schedule 4 Workpaper page 2'!G532</f>
        <v>54918.524679375776</v>
      </c>
      <c r="G10" s="322"/>
      <c r="H10" s="323" t="s">
        <v>45</v>
      </c>
      <c r="J10" s="162"/>
    </row>
    <row r="11" spans="1:10">
      <c r="A11" s="318"/>
      <c r="B11" s="324"/>
      <c r="C11" s="320" t="s">
        <v>643</v>
      </c>
      <c r="D11" s="325">
        <v>1366106.4</v>
      </c>
      <c r="E11" s="321"/>
      <c r="F11" s="325">
        <f>'Schedule 4 Workpaper page 3'!E75</f>
        <v>239370.96</v>
      </c>
      <c r="G11" s="322"/>
      <c r="H11" s="323" t="s">
        <v>644</v>
      </c>
      <c r="J11" s="162"/>
    </row>
    <row r="12" spans="1:10">
      <c r="A12" s="318"/>
      <c r="B12" s="324"/>
      <c r="C12" s="320" t="s">
        <v>228</v>
      </c>
      <c r="D12" s="325">
        <v>1558940.13</v>
      </c>
      <c r="E12" s="321"/>
      <c r="F12" s="325">
        <f>'Schedule 4 Workpaper page 4'!C18</f>
        <v>531107.30000000005</v>
      </c>
      <c r="G12" s="322"/>
      <c r="H12" s="323" t="s">
        <v>642</v>
      </c>
    </row>
    <row r="13" spans="1:10" ht="51">
      <c r="A13" s="318"/>
      <c r="B13" s="324"/>
      <c r="C13" s="320" t="s">
        <v>645</v>
      </c>
      <c r="D13" s="325">
        <f>7356868.76+626249.54</f>
        <v>7983118.2999999998</v>
      </c>
      <c r="E13" s="321"/>
      <c r="F13" s="325">
        <v>0</v>
      </c>
      <c r="G13" s="322"/>
      <c r="H13" s="323" t="s">
        <v>1082</v>
      </c>
    </row>
    <row r="14" spans="1:10">
      <c r="A14" s="318"/>
      <c r="B14" s="326"/>
      <c r="C14" s="320" t="s">
        <v>625</v>
      </c>
      <c r="D14" s="327">
        <f>SUM(D9:D13)</f>
        <v>11174463.379999999</v>
      </c>
      <c r="E14" s="321"/>
      <c r="F14" s="327">
        <f>SUM(F9:F13)</f>
        <v>825396.78467937582</v>
      </c>
      <c r="G14" s="322"/>
      <c r="H14" s="323" t="s">
        <v>760</v>
      </c>
    </row>
    <row r="15" spans="1:10" s="177" customFormat="1">
      <c r="A15" s="318"/>
      <c r="B15" s="328"/>
      <c r="C15" s="329"/>
      <c r="D15" s="330"/>
      <c r="E15" s="330"/>
      <c r="F15" s="330"/>
      <c r="G15" s="331"/>
      <c r="H15" s="332"/>
    </row>
    <row r="16" spans="1:10" ht="13.5" customHeight="1">
      <c r="A16" s="318"/>
      <c r="B16" s="333" t="s">
        <v>1160</v>
      </c>
      <c r="C16" s="334"/>
      <c r="D16" s="330"/>
      <c r="E16" s="330"/>
      <c r="F16" s="330"/>
      <c r="G16" s="331"/>
      <c r="H16" s="335"/>
    </row>
    <row r="17" spans="1:8" ht="39" customHeight="1">
      <c r="A17" s="318"/>
      <c r="B17" s="319"/>
      <c r="C17" s="320" t="s">
        <v>646</v>
      </c>
      <c r="D17" s="325">
        <v>302177.09000000003</v>
      </c>
      <c r="E17" s="327"/>
      <c r="F17" s="325">
        <v>0</v>
      </c>
      <c r="G17" s="322"/>
      <c r="H17" s="336" t="s">
        <v>647</v>
      </c>
    </row>
    <row r="18" spans="1:8" ht="39" customHeight="1">
      <c r="A18" s="318"/>
      <c r="B18" s="324"/>
      <c r="C18" s="337" t="s">
        <v>1161</v>
      </c>
      <c r="D18" s="325">
        <v>61964.53</v>
      </c>
      <c r="E18" s="327"/>
      <c r="F18" s="325">
        <v>0</v>
      </c>
      <c r="G18" s="322"/>
      <c r="H18" s="336" t="s">
        <v>1162</v>
      </c>
    </row>
    <row r="19" spans="1:8" ht="11.25" customHeight="1">
      <c r="A19" s="318"/>
      <c r="B19" s="326"/>
      <c r="C19" s="337" t="s">
        <v>625</v>
      </c>
      <c r="D19" s="532">
        <f>SUM(D17:D18)</f>
        <v>364141.62</v>
      </c>
      <c r="E19" s="327"/>
      <c r="F19" s="327">
        <f>SUM(F17)</f>
        <v>0</v>
      </c>
      <c r="G19" s="322"/>
      <c r="H19" s="336"/>
    </row>
    <row r="20" spans="1:8" s="177" customFormat="1" ht="11.25" customHeight="1">
      <c r="A20" s="318"/>
      <c r="B20" s="328"/>
      <c r="C20" s="329"/>
      <c r="D20" s="338"/>
      <c r="E20" s="330"/>
      <c r="F20" s="330"/>
      <c r="G20" s="331"/>
      <c r="H20" s="339"/>
    </row>
    <row r="21" spans="1:8" ht="13.5" customHeight="1">
      <c r="A21" s="318"/>
      <c r="B21" s="340" t="s">
        <v>648</v>
      </c>
      <c r="C21" s="341"/>
      <c r="D21" s="330"/>
      <c r="E21" s="330"/>
      <c r="F21" s="330"/>
      <c r="G21" s="331"/>
      <c r="H21" s="342"/>
    </row>
    <row r="22" spans="1:8">
      <c r="A22" s="318"/>
      <c r="B22" s="318"/>
      <c r="C22" s="343" t="s">
        <v>649</v>
      </c>
      <c r="D22" s="451">
        <v>399999.96</v>
      </c>
      <c r="E22" s="327"/>
      <c r="F22" s="451">
        <v>0</v>
      </c>
      <c r="G22" s="322"/>
      <c r="H22" s="323" t="s">
        <v>94</v>
      </c>
    </row>
    <row r="23" spans="1:8">
      <c r="A23" s="318"/>
      <c r="B23" s="318"/>
      <c r="C23" s="320" t="s">
        <v>625</v>
      </c>
      <c r="D23" s="327">
        <f>SUM(D22)</f>
        <v>399999.96</v>
      </c>
      <c r="E23" s="327"/>
      <c r="F23" s="327">
        <f>SUM(F22)</f>
        <v>0</v>
      </c>
      <c r="G23" s="322"/>
      <c r="H23" s="323"/>
    </row>
    <row r="24" spans="1:8" s="177" customFormat="1">
      <c r="A24" s="318"/>
      <c r="B24" s="328"/>
      <c r="C24" s="329"/>
      <c r="D24" s="330"/>
      <c r="E24" s="330"/>
      <c r="F24" s="330"/>
      <c r="G24" s="331"/>
      <c r="H24" s="332"/>
    </row>
    <row r="25" spans="1:8">
      <c r="A25" s="318"/>
      <c r="B25" s="340" t="s">
        <v>650</v>
      </c>
      <c r="C25" s="341"/>
      <c r="D25" s="330"/>
      <c r="E25" s="330"/>
      <c r="F25" s="330"/>
      <c r="G25" s="331"/>
      <c r="H25" s="335"/>
    </row>
    <row r="26" spans="1:8" ht="38.25">
      <c r="A26" s="318"/>
      <c r="B26" s="319"/>
      <c r="C26" s="344" t="s">
        <v>896</v>
      </c>
      <c r="D26" s="325">
        <v>0</v>
      </c>
      <c r="E26" s="327"/>
      <c r="F26" s="325">
        <v>0</v>
      </c>
      <c r="G26" s="322"/>
      <c r="H26" s="336" t="s">
        <v>651</v>
      </c>
    </row>
    <row r="27" spans="1:8" ht="38.25">
      <c r="A27" s="318"/>
      <c r="B27" s="324"/>
      <c r="C27" s="344" t="s">
        <v>897</v>
      </c>
      <c r="D27" s="325">
        <v>0</v>
      </c>
      <c r="E27" s="327"/>
      <c r="F27" s="325">
        <v>0</v>
      </c>
      <c r="G27" s="322"/>
      <c r="H27" s="336" t="s">
        <v>651</v>
      </c>
    </row>
    <row r="28" spans="1:8" ht="37.5" customHeight="1">
      <c r="A28" s="318"/>
      <c r="B28" s="324"/>
      <c r="C28" s="344" t="s">
        <v>898</v>
      </c>
      <c r="D28" s="325">
        <v>0</v>
      </c>
      <c r="E28" s="327"/>
      <c r="F28" s="325">
        <v>0</v>
      </c>
      <c r="G28" s="322"/>
      <c r="H28" s="336" t="s">
        <v>651</v>
      </c>
    </row>
    <row r="29" spans="1:8" ht="38.25">
      <c r="A29" s="318"/>
      <c r="B29" s="324"/>
      <c r="C29" s="320" t="s">
        <v>899</v>
      </c>
      <c r="D29" s="325">
        <v>0</v>
      </c>
      <c r="E29" s="327"/>
      <c r="F29" s="325">
        <v>0</v>
      </c>
      <c r="G29" s="322"/>
      <c r="H29" s="524" t="s">
        <v>652</v>
      </c>
    </row>
    <row r="30" spans="1:8" ht="38.25">
      <c r="A30" s="318"/>
      <c r="B30" s="324"/>
      <c r="C30" s="320" t="s">
        <v>900</v>
      </c>
      <c r="D30" s="325">
        <v>0</v>
      </c>
      <c r="E30" s="327"/>
      <c r="F30" s="325">
        <v>0</v>
      </c>
      <c r="G30" s="322"/>
      <c r="H30" s="524" t="s">
        <v>652</v>
      </c>
    </row>
    <row r="31" spans="1:8" ht="38.25">
      <c r="A31" s="318"/>
      <c r="B31" s="324"/>
      <c r="C31" s="320" t="s">
        <v>901</v>
      </c>
      <c r="D31" s="325">
        <v>0</v>
      </c>
      <c r="E31" s="327"/>
      <c r="F31" s="325">
        <f>D31</f>
        <v>0</v>
      </c>
      <c r="G31" s="322"/>
      <c r="H31" s="524" t="s">
        <v>1080</v>
      </c>
    </row>
    <row r="32" spans="1:8" ht="38.25">
      <c r="A32" s="318"/>
      <c r="B32" s="324"/>
      <c r="C32" s="320" t="s">
        <v>1079</v>
      </c>
      <c r="D32" s="325">
        <v>3297492</v>
      </c>
      <c r="E32" s="327"/>
      <c r="F32" s="325">
        <f>D32</f>
        <v>3297492</v>
      </c>
      <c r="G32" s="322"/>
      <c r="H32" s="524" t="s">
        <v>1081</v>
      </c>
    </row>
    <row r="33" spans="1:9">
      <c r="A33" s="318"/>
      <c r="B33" s="326"/>
      <c r="C33" s="320" t="s">
        <v>625</v>
      </c>
      <c r="D33" s="327">
        <f>SUM(D26:D32)</f>
        <v>3297492</v>
      </c>
      <c r="E33" s="327"/>
      <c r="F33" s="327">
        <f>SUM(F26:F32)</f>
        <v>3297492</v>
      </c>
      <c r="G33" s="322"/>
      <c r="H33" s="323"/>
    </row>
    <row r="34" spans="1:9" s="177" customFormat="1">
      <c r="A34" s="318"/>
      <c r="B34" s="328"/>
      <c r="C34" s="345"/>
      <c r="D34" s="331"/>
      <c r="E34" s="331"/>
      <c r="F34" s="331"/>
      <c r="G34" s="331"/>
      <c r="H34" s="331"/>
    </row>
    <row r="35" spans="1:9" ht="15.75" customHeight="1">
      <c r="A35" s="318"/>
      <c r="B35" s="346" t="s">
        <v>653</v>
      </c>
      <c r="C35" s="347"/>
      <c r="D35" s="322">
        <f>D14+D19+D23+D33</f>
        <v>15236096.959999999</v>
      </c>
      <c r="E35" s="322"/>
      <c r="F35" s="322">
        <f>F33+F23+F19+F14</f>
        <v>4122888.7846793756</v>
      </c>
      <c r="G35" s="322"/>
      <c r="H35" s="322" t="s">
        <v>29</v>
      </c>
      <c r="I35" s="502"/>
    </row>
    <row r="36" spans="1:9" s="177" customFormat="1" ht="15.75" customHeight="1">
      <c r="A36" s="318"/>
      <c r="B36" s="348"/>
      <c r="C36" s="345"/>
      <c r="D36" s="331"/>
      <c r="E36" s="331"/>
      <c r="F36" s="331"/>
      <c r="G36" s="331"/>
      <c r="H36" s="331"/>
    </row>
    <row r="37" spans="1:9" ht="15.75" customHeight="1">
      <c r="A37" s="318"/>
      <c r="B37" s="349" t="s">
        <v>654</v>
      </c>
      <c r="C37" s="350"/>
      <c r="D37" s="322"/>
      <c r="E37" s="322"/>
      <c r="F37" s="322">
        <f>F14+F19+F23+F33</f>
        <v>4122888.7846793756</v>
      </c>
      <c r="G37" s="322"/>
      <c r="H37" s="322" t="s">
        <v>926</v>
      </c>
    </row>
    <row r="38" spans="1:9">
      <c r="C38" s="302"/>
      <c r="D38" s="351"/>
      <c r="E38" s="351"/>
      <c r="F38" s="351"/>
      <c r="G38" s="351"/>
      <c r="H38" s="351"/>
    </row>
    <row r="39" spans="1:9">
      <c r="D39" s="351"/>
      <c r="E39" s="351"/>
      <c r="F39" s="351"/>
      <c r="G39" s="351"/>
      <c r="H39" s="351"/>
    </row>
    <row r="40" spans="1:9">
      <c r="C40" s="239"/>
      <c r="D40" s="352"/>
      <c r="E40" s="352"/>
      <c r="F40" s="352"/>
      <c r="G40" s="353"/>
      <c r="H40" s="353"/>
    </row>
    <row r="41" spans="1:9">
      <c r="C41" s="177"/>
      <c r="D41" s="352"/>
      <c r="E41" s="353"/>
      <c r="F41" s="352"/>
      <c r="G41" s="352"/>
      <c r="H41" s="354"/>
    </row>
    <row r="42" spans="1:9">
      <c r="C42" s="228"/>
      <c r="D42" s="352"/>
      <c r="E42" s="353"/>
      <c r="F42" s="352"/>
      <c r="G42" s="352"/>
      <c r="H42" s="355"/>
    </row>
    <row r="43" spans="1:9">
      <c r="C43" s="177"/>
      <c r="D43" s="621"/>
      <c r="E43" s="177"/>
      <c r="F43" s="621"/>
      <c r="G43" s="621"/>
      <c r="H43" s="356"/>
    </row>
    <row r="44" spans="1:9">
      <c r="C44" s="177"/>
      <c r="D44" s="621"/>
      <c r="E44" s="177"/>
      <c r="F44" s="621"/>
      <c r="G44" s="621"/>
      <c r="H44" s="357"/>
    </row>
    <row r="45" spans="1:9">
      <c r="C45" s="177"/>
      <c r="D45" s="621"/>
      <c r="E45" s="177"/>
      <c r="F45" s="621"/>
      <c r="G45" s="621"/>
      <c r="H45" s="357"/>
    </row>
    <row r="46" spans="1:9">
      <c r="C46" s="358"/>
      <c r="D46" s="352"/>
      <c r="E46" s="621"/>
      <c r="F46" s="352"/>
      <c r="G46" s="353"/>
      <c r="H46" s="359"/>
    </row>
    <row r="47" spans="1:9">
      <c r="C47" s="358"/>
      <c r="D47" s="352"/>
      <c r="E47" s="621"/>
      <c r="F47" s="352"/>
      <c r="G47" s="353"/>
      <c r="H47" s="359"/>
    </row>
    <row r="48" spans="1:9">
      <c r="C48" s="358"/>
      <c r="D48" s="352"/>
      <c r="E48" s="352"/>
      <c r="F48" s="352"/>
      <c r="G48" s="353"/>
      <c r="H48" s="359"/>
    </row>
    <row r="49" spans="3:8">
      <c r="C49" s="360"/>
      <c r="D49" s="353"/>
      <c r="E49" s="177"/>
      <c r="F49" s="177"/>
      <c r="G49" s="177"/>
      <c r="H49" s="361"/>
    </row>
    <row r="50" spans="3:8">
      <c r="C50" s="177"/>
      <c r="D50" s="177"/>
      <c r="E50" s="177"/>
      <c r="F50" s="352"/>
      <c r="G50" s="177"/>
      <c r="H50" s="359"/>
    </row>
  </sheetData>
  <sheetProtection formatCells="0"/>
  <mergeCells count="3">
    <mergeCell ref="A1:H1"/>
    <mergeCell ref="A2:H2"/>
    <mergeCell ref="B6:C6"/>
  </mergeCells>
  <phoneticPr fontId="18" type="noConversion"/>
  <printOptions horizontalCentered="1"/>
  <pageMargins left="0.75" right="0.75" top="1" bottom="1" header="0.5" footer="0.5"/>
  <pageSetup scale="66" orientation="portrait" r:id="rId1"/>
  <headerFooter alignWithMargins="0">
    <oddHeader>&amp;CIDAHO POWER COMPANY
Transmission Cost of Service Rate Development
12 Months Ended 12/31/2017</oddHeader>
  </headerFooter>
  <ignoredErrors>
    <ignoredError sqref="F32" unlocked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K538"/>
  <sheetViews>
    <sheetView zoomScaleNormal="100" zoomScaleSheetLayoutView="100" workbookViewId="0"/>
  </sheetViews>
  <sheetFormatPr defaultRowHeight="12.75"/>
  <cols>
    <col min="1" max="1" width="4" style="152" bestFit="1" customWidth="1"/>
    <col min="2" max="2" width="12.85546875" style="612" customWidth="1"/>
    <col min="3" max="3" width="8.42578125" style="612" bestFit="1" customWidth="1"/>
    <col min="4" max="4" width="8.5703125" style="612" bestFit="1" customWidth="1"/>
    <col min="5" max="5" width="31.7109375" style="612" customWidth="1"/>
    <col min="6" max="6" width="13.85546875" style="612" customWidth="1"/>
    <col min="7" max="7" width="14.85546875" style="439" bestFit="1" customWidth="1"/>
    <col min="8" max="8" width="4.42578125" style="612" bestFit="1" customWidth="1"/>
    <col min="9" max="9" width="32.85546875" style="152" bestFit="1" customWidth="1"/>
    <col min="10" max="10" width="24.85546875" style="152" customWidth="1"/>
    <col min="11" max="12" width="9.140625" style="152"/>
    <col min="13" max="13" width="14.7109375" style="152" customWidth="1"/>
    <col min="14" max="14" width="9.140625" style="152"/>
    <col min="15" max="15" width="15" style="152" customWidth="1"/>
    <col min="16" max="16" width="9.140625" style="152" customWidth="1"/>
    <col min="17" max="17" width="25.7109375" style="152" customWidth="1"/>
    <col min="18" max="18" width="9.140625" style="152" customWidth="1"/>
    <col min="19" max="19" width="31.140625" style="152" customWidth="1"/>
    <col min="20" max="20" width="9.140625" style="152" customWidth="1"/>
    <col min="21" max="21" width="32.140625" style="152" customWidth="1"/>
    <col min="22" max="16384" width="9.140625" style="152"/>
  </cols>
  <sheetData>
    <row r="1" spans="1:10">
      <c r="B1" s="666" t="s">
        <v>372</v>
      </c>
      <c r="C1" s="666"/>
      <c r="D1" s="666"/>
      <c r="E1" s="666"/>
      <c r="F1" s="666"/>
      <c r="G1" s="666"/>
      <c r="H1" s="666"/>
      <c r="I1" s="666"/>
      <c r="J1" s="613"/>
    </row>
    <row r="2" spans="1:10">
      <c r="B2" s="666" t="s">
        <v>925</v>
      </c>
      <c r="C2" s="666"/>
      <c r="D2" s="666"/>
      <c r="E2" s="666"/>
      <c r="F2" s="666"/>
      <c r="G2" s="666"/>
      <c r="H2" s="666"/>
      <c r="I2" s="666"/>
      <c r="J2" s="613"/>
    </row>
    <row r="3" spans="1:10">
      <c r="A3" s="666"/>
      <c r="B3" s="666"/>
      <c r="C3" s="666"/>
      <c r="D3" s="666"/>
      <c r="E3" s="666"/>
      <c r="F3" s="666"/>
      <c r="G3" s="666"/>
      <c r="H3" s="666"/>
      <c r="I3" s="666"/>
    </row>
    <row r="4" spans="1:10" ht="13.5" thickBot="1">
      <c r="C4" s="438"/>
    </row>
    <row r="5" spans="1:10" ht="27" thickTop="1" thickBot="1">
      <c r="A5" s="612"/>
      <c r="B5" s="440" t="s">
        <v>683</v>
      </c>
      <c r="C5" s="440" t="s">
        <v>110</v>
      </c>
      <c r="D5" s="440" t="s">
        <v>684</v>
      </c>
      <c r="E5" s="440" t="s">
        <v>685</v>
      </c>
      <c r="F5" s="441" t="s">
        <v>731</v>
      </c>
      <c r="G5" s="442" t="s">
        <v>686</v>
      </c>
      <c r="H5" s="440" t="s">
        <v>687</v>
      </c>
      <c r="I5" s="440" t="s">
        <v>688</v>
      </c>
      <c r="J5" s="443"/>
    </row>
    <row r="6" spans="1:10" ht="13.5" thickTop="1">
      <c r="A6" s="612">
        <v>1</v>
      </c>
      <c r="B6" s="575">
        <v>42886</v>
      </c>
      <c r="C6" s="576">
        <v>454151</v>
      </c>
      <c r="D6" s="576" t="s">
        <v>767</v>
      </c>
      <c r="E6" s="576" t="s">
        <v>1332</v>
      </c>
      <c r="F6" s="576" t="s">
        <v>908</v>
      </c>
      <c r="G6" s="525">
        <v>-100</v>
      </c>
      <c r="H6" s="576">
        <v>856</v>
      </c>
      <c r="I6" s="576" t="s">
        <v>1036</v>
      </c>
    </row>
    <row r="7" spans="1:10">
      <c r="A7" s="612">
        <f>A6+1</f>
        <v>2</v>
      </c>
      <c r="B7" s="575">
        <v>42766</v>
      </c>
      <c r="C7" s="576" t="s">
        <v>1118</v>
      </c>
      <c r="D7" s="576" t="s">
        <v>764</v>
      </c>
      <c r="E7" s="576" t="s">
        <v>1091</v>
      </c>
      <c r="F7" s="576" t="s">
        <v>908</v>
      </c>
      <c r="G7" s="525">
        <v>-61.645000000000003</v>
      </c>
      <c r="H7" s="576">
        <v>856</v>
      </c>
      <c r="I7" s="576" t="s">
        <v>1035</v>
      </c>
      <c r="J7" s="478"/>
    </row>
    <row r="8" spans="1:10">
      <c r="A8" s="612">
        <f t="shared" ref="A8:A71" si="0">A7+1</f>
        <v>3</v>
      </c>
      <c r="B8" s="575">
        <v>42794</v>
      </c>
      <c r="C8" s="576" t="s">
        <v>1118</v>
      </c>
      <c r="D8" s="576" t="s">
        <v>765</v>
      </c>
      <c r="E8" s="576" t="s">
        <v>1091</v>
      </c>
      <c r="F8" s="576" t="s">
        <v>908</v>
      </c>
      <c r="G8" s="525">
        <v>-61.645000000000003</v>
      </c>
      <c r="H8" s="576">
        <v>856</v>
      </c>
      <c r="I8" s="576" t="s">
        <v>1035</v>
      </c>
    </row>
    <row r="9" spans="1:10">
      <c r="A9" s="612">
        <f t="shared" si="0"/>
        <v>4</v>
      </c>
      <c r="B9" s="575">
        <v>42825</v>
      </c>
      <c r="C9" s="576" t="s">
        <v>1118</v>
      </c>
      <c r="D9" s="576" t="s">
        <v>13</v>
      </c>
      <c r="E9" s="576" t="s">
        <v>1091</v>
      </c>
      <c r="F9" s="576" t="s">
        <v>908</v>
      </c>
      <c r="G9" s="525">
        <v>-61.645000000000003</v>
      </c>
      <c r="H9" s="576">
        <v>856</v>
      </c>
      <c r="I9" s="576" t="s">
        <v>1035</v>
      </c>
    </row>
    <row r="10" spans="1:10">
      <c r="A10" s="612">
        <f t="shared" si="0"/>
        <v>5</v>
      </c>
      <c r="B10" s="575">
        <v>42855</v>
      </c>
      <c r="C10" s="576" t="s">
        <v>1118</v>
      </c>
      <c r="D10" s="576" t="s">
        <v>766</v>
      </c>
      <c r="E10" s="576" t="s">
        <v>1091</v>
      </c>
      <c r="F10" s="576" t="s">
        <v>908</v>
      </c>
      <c r="G10" s="525">
        <v>-106.63</v>
      </c>
      <c r="H10" s="576">
        <v>856</v>
      </c>
      <c r="I10" s="576" t="s">
        <v>1035</v>
      </c>
    </row>
    <row r="11" spans="1:10">
      <c r="A11" s="612">
        <f t="shared" si="0"/>
        <v>6</v>
      </c>
      <c r="B11" s="575">
        <v>42886</v>
      </c>
      <c r="C11" s="576" t="s">
        <v>1118</v>
      </c>
      <c r="D11" s="576" t="s">
        <v>767</v>
      </c>
      <c r="E11" s="576" t="s">
        <v>1091</v>
      </c>
      <c r="F11" s="576" t="s">
        <v>908</v>
      </c>
      <c r="G11" s="525">
        <v>-64</v>
      </c>
      <c r="H11" s="576">
        <v>856</v>
      </c>
      <c r="I11" s="576" t="s">
        <v>1035</v>
      </c>
    </row>
    <row r="12" spans="1:10">
      <c r="A12" s="612">
        <f t="shared" si="0"/>
        <v>7</v>
      </c>
      <c r="B12" s="575">
        <v>42916</v>
      </c>
      <c r="C12" s="576" t="s">
        <v>1118</v>
      </c>
      <c r="D12" s="576" t="s">
        <v>768</v>
      </c>
      <c r="E12" s="576" t="s">
        <v>1091</v>
      </c>
      <c r="F12" s="576" t="s">
        <v>908</v>
      </c>
      <c r="G12" s="525">
        <v>-62</v>
      </c>
      <c r="H12" s="576">
        <v>856</v>
      </c>
      <c r="I12" s="576" t="s">
        <v>1035</v>
      </c>
    </row>
    <row r="13" spans="1:10">
      <c r="A13" s="612">
        <f t="shared" si="0"/>
        <v>8</v>
      </c>
      <c r="B13" s="575">
        <v>42947</v>
      </c>
      <c r="C13" s="576" t="s">
        <v>1118</v>
      </c>
      <c r="D13" s="576" t="s">
        <v>14</v>
      </c>
      <c r="E13" s="576" t="s">
        <v>1091</v>
      </c>
      <c r="F13" s="576" t="s">
        <v>908</v>
      </c>
      <c r="G13" s="525">
        <v>-64</v>
      </c>
      <c r="H13" s="576">
        <v>856</v>
      </c>
      <c r="I13" s="576" t="s">
        <v>1035</v>
      </c>
    </row>
    <row r="14" spans="1:10" s="177" customFormat="1">
      <c r="A14" s="612">
        <f t="shared" si="0"/>
        <v>9</v>
      </c>
      <c r="B14" s="575">
        <v>42978</v>
      </c>
      <c r="C14" s="576" t="s">
        <v>1118</v>
      </c>
      <c r="D14" s="576" t="s">
        <v>769</v>
      </c>
      <c r="E14" s="576" t="s">
        <v>1091</v>
      </c>
      <c r="F14" s="576" t="s">
        <v>908</v>
      </c>
      <c r="G14" s="525">
        <v>-64</v>
      </c>
      <c r="H14" s="576">
        <v>856</v>
      </c>
      <c r="I14" s="576" t="s">
        <v>1035</v>
      </c>
      <c r="J14" s="152"/>
    </row>
    <row r="15" spans="1:10" ht="13.5" customHeight="1">
      <c r="A15" s="612">
        <f t="shared" si="0"/>
        <v>10</v>
      </c>
      <c r="B15" s="575">
        <v>43008</v>
      </c>
      <c r="C15" s="576" t="s">
        <v>1118</v>
      </c>
      <c r="D15" s="576" t="s">
        <v>770</v>
      </c>
      <c r="E15" s="576" t="s">
        <v>1091</v>
      </c>
      <c r="F15" s="576" t="s">
        <v>908</v>
      </c>
      <c r="G15" s="525">
        <v>-62</v>
      </c>
      <c r="H15" s="576">
        <v>856</v>
      </c>
      <c r="I15" s="576" t="s">
        <v>1035</v>
      </c>
    </row>
    <row r="16" spans="1:10">
      <c r="A16" s="612">
        <f t="shared" si="0"/>
        <v>11</v>
      </c>
      <c r="B16" s="575">
        <v>43039</v>
      </c>
      <c r="C16" s="576" t="s">
        <v>1118</v>
      </c>
      <c r="D16" s="576" t="s">
        <v>771</v>
      </c>
      <c r="E16" s="576" t="s">
        <v>1091</v>
      </c>
      <c r="F16" s="576" t="s">
        <v>908</v>
      </c>
      <c r="G16" s="525">
        <v>-64</v>
      </c>
      <c r="H16" s="576">
        <v>856</v>
      </c>
      <c r="I16" s="576" t="s">
        <v>1035</v>
      </c>
    </row>
    <row r="17" spans="1:10">
      <c r="A17" s="612">
        <f t="shared" si="0"/>
        <v>12</v>
      </c>
      <c r="B17" s="575">
        <v>43069</v>
      </c>
      <c r="C17" s="576" t="s">
        <v>1118</v>
      </c>
      <c r="D17" s="576" t="s">
        <v>772</v>
      </c>
      <c r="E17" s="576" t="s">
        <v>1091</v>
      </c>
      <c r="F17" s="576" t="s">
        <v>908</v>
      </c>
      <c r="G17" s="525">
        <v>-62</v>
      </c>
      <c r="H17" s="576">
        <v>856</v>
      </c>
      <c r="I17" s="576" t="s">
        <v>1035</v>
      </c>
    </row>
    <row r="18" spans="1:10" s="177" customFormat="1">
      <c r="A18" s="612">
        <f t="shared" si="0"/>
        <v>13</v>
      </c>
      <c r="B18" s="575">
        <v>43100</v>
      </c>
      <c r="C18" s="576" t="s">
        <v>1118</v>
      </c>
      <c r="D18" s="576" t="s">
        <v>146</v>
      </c>
      <c r="E18" s="576" t="s">
        <v>1091</v>
      </c>
      <c r="F18" s="576" t="s">
        <v>908</v>
      </c>
      <c r="G18" s="525">
        <v>-64</v>
      </c>
      <c r="H18" s="576">
        <v>856</v>
      </c>
      <c r="I18" s="576" t="s">
        <v>1035</v>
      </c>
      <c r="J18" s="152"/>
    </row>
    <row r="19" spans="1:10" ht="13.5" customHeight="1">
      <c r="A19" s="612">
        <f t="shared" si="0"/>
        <v>14</v>
      </c>
      <c r="B19" s="575">
        <v>42978</v>
      </c>
      <c r="C19" s="576" t="s">
        <v>1118</v>
      </c>
      <c r="D19" s="576" t="s">
        <v>769</v>
      </c>
      <c r="E19" s="576" t="s">
        <v>1007</v>
      </c>
      <c r="F19" s="576" t="s">
        <v>908</v>
      </c>
      <c r="G19" s="525">
        <v>-100</v>
      </c>
      <c r="H19" s="576" t="s">
        <v>1333</v>
      </c>
      <c r="I19" s="576" t="s">
        <v>1036</v>
      </c>
    </row>
    <row r="20" spans="1:10">
      <c r="A20" s="612">
        <f t="shared" si="0"/>
        <v>15</v>
      </c>
      <c r="B20" s="575">
        <v>42766</v>
      </c>
      <c r="C20" s="576" t="s">
        <v>1118</v>
      </c>
      <c r="D20" s="576" t="s">
        <v>764</v>
      </c>
      <c r="E20" s="576" t="s">
        <v>1119</v>
      </c>
      <c r="F20" s="576" t="s">
        <v>908</v>
      </c>
      <c r="G20" s="525">
        <v>-100</v>
      </c>
      <c r="H20" s="576" t="s">
        <v>1333</v>
      </c>
      <c r="I20" s="576" t="s">
        <v>1035</v>
      </c>
    </row>
    <row r="21" spans="1:10">
      <c r="A21" s="612">
        <f t="shared" si="0"/>
        <v>16</v>
      </c>
      <c r="B21" s="575">
        <v>42766</v>
      </c>
      <c r="C21" s="576">
        <v>454151</v>
      </c>
      <c r="D21" s="576" t="s">
        <v>764</v>
      </c>
      <c r="E21" s="576" t="s">
        <v>1033</v>
      </c>
      <c r="F21" s="576" t="s">
        <v>689</v>
      </c>
      <c r="G21" s="525">
        <v>-154.74</v>
      </c>
      <c r="H21" s="576">
        <v>856</v>
      </c>
      <c r="I21" s="576" t="s">
        <v>1035</v>
      </c>
    </row>
    <row r="22" spans="1:10" s="177" customFormat="1">
      <c r="A22" s="612">
        <f t="shared" si="0"/>
        <v>17</v>
      </c>
      <c r="B22" s="575">
        <v>42794</v>
      </c>
      <c r="C22" s="576">
        <v>454151</v>
      </c>
      <c r="D22" s="576" t="s">
        <v>765</v>
      </c>
      <c r="E22" s="576" t="s">
        <v>1033</v>
      </c>
      <c r="F22" s="576" t="s">
        <v>689</v>
      </c>
      <c r="G22" s="525">
        <v>-139.76</v>
      </c>
      <c r="H22" s="576">
        <v>856</v>
      </c>
      <c r="I22" s="576" t="s">
        <v>1035</v>
      </c>
      <c r="J22" s="152"/>
    </row>
    <row r="23" spans="1:10">
      <c r="A23" s="612">
        <f t="shared" si="0"/>
        <v>18</v>
      </c>
      <c r="B23" s="575">
        <v>42825</v>
      </c>
      <c r="C23" s="576">
        <v>454151</v>
      </c>
      <c r="D23" s="576" t="s">
        <v>13</v>
      </c>
      <c r="E23" s="576" t="s">
        <v>1033</v>
      </c>
      <c r="F23" s="576" t="s">
        <v>689</v>
      </c>
      <c r="G23" s="525">
        <v>-83.93</v>
      </c>
      <c r="H23" s="576">
        <v>856</v>
      </c>
      <c r="I23" s="576" t="s">
        <v>1035</v>
      </c>
    </row>
    <row r="24" spans="1:10">
      <c r="A24" s="612">
        <f t="shared" si="0"/>
        <v>19</v>
      </c>
      <c r="B24" s="575">
        <v>42855</v>
      </c>
      <c r="C24" s="576">
        <v>454151</v>
      </c>
      <c r="D24" s="576" t="s">
        <v>766</v>
      </c>
      <c r="E24" s="576" t="s">
        <v>1033</v>
      </c>
      <c r="F24" s="576" t="s">
        <v>689</v>
      </c>
      <c r="G24" s="525">
        <v>-148</v>
      </c>
      <c r="H24" s="576">
        <v>856</v>
      </c>
      <c r="I24" s="576" t="s">
        <v>1035</v>
      </c>
    </row>
    <row r="25" spans="1:10">
      <c r="A25" s="612">
        <f t="shared" si="0"/>
        <v>20</v>
      </c>
      <c r="B25" s="575">
        <v>42886</v>
      </c>
      <c r="C25" s="576">
        <v>454151</v>
      </c>
      <c r="D25" s="576" t="s">
        <v>767</v>
      </c>
      <c r="E25" s="576" t="s">
        <v>1033</v>
      </c>
      <c r="F25" s="576" t="s">
        <v>689</v>
      </c>
      <c r="G25" s="525">
        <v>-153</v>
      </c>
      <c r="H25" s="576">
        <v>856</v>
      </c>
      <c r="I25" s="576" t="s">
        <v>1035</v>
      </c>
    </row>
    <row r="26" spans="1:10">
      <c r="A26" s="612">
        <f t="shared" si="0"/>
        <v>21</v>
      </c>
      <c r="B26" s="575">
        <v>42916</v>
      </c>
      <c r="C26" s="576">
        <v>454151</v>
      </c>
      <c r="D26" s="576" t="s">
        <v>768</v>
      </c>
      <c r="E26" s="576" t="s">
        <v>1033</v>
      </c>
      <c r="F26" s="576" t="s">
        <v>689</v>
      </c>
      <c r="G26" s="525">
        <v>-148</v>
      </c>
      <c r="H26" s="576">
        <v>856</v>
      </c>
      <c r="I26" s="576" t="s">
        <v>1035</v>
      </c>
      <c r="J26" s="505"/>
    </row>
    <row r="27" spans="1:10">
      <c r="A27" s="612">
        <f t="shared" si="0"/>
        <v>22</v>
      </c>
      <c r="B27" s="575">
        <v>42947</v>
      </c>
      <c r="C27" s="576">
        <v>454151</v>
      </c>
      <c r="D27" s="576" t="s">
        <v>14</v>
      </c>
      <c r="E27" s="576" t="s">
        <v>1033</v>
      </c>
      <c r="F27" s="576" t="s">
        <v>689</v>
      </c>
      <c r="G27" s="525">
        <v>-153</v>
      </c>
      <c r="H27" s="576">
        <v>856</v>
      </c>
      <c r="I27" s="576" t="s">
        <v>1035</v>
      </c>
    </row>
    <row r="28" spans="1:10">
      <c r="A28" s="612">
        <f t="shared" si="0"/>
        <v>23</v>
      </c>
      <c r="B28" s="575">
        <v>42978</v>
      </c>
      <c r="C28" s="576">
        <v>454151</v>
      </c>
      <c r="D28" s="576" t="s">
        <v>769</v>
      </c>
      <c r="E28" s="576" t="s">
        <v>1033</v>
      </c>
      <c r="F28" s="576" t="s">
        <v>689</v>
      </c>
      <c r="G28" s="525">
        <v>-153</v>
      </c>
      <c r="H28" s="576">
        <v>856</v>
      </c>
      <c r="I28" s="576" t="s">
        <v>1035</v>
      </c>
    </row>
    <row r="29" spans="1:10">
      <c r="A29" s="612">
        <f t="shared" si="0"/>
        <v>24</v>
      </c>
      <c r="B29" s="575">
        <v>43008</v>
      </c>
      <c r="C29" s="576">
        <v>454151</v>
      </c>
      <c r="D29" s="576" t="s">
        <v>770</v>
      </c>
      <c r="E29" s="576" t="s">
        <v>1033</v>
      </c>
      <c r="F29" s="576" t="s">
        <v>689</v>
      </c>
      <c r="G29" s="525">
        <v>-148</v>
      </c>
      <c r="H29" s="576">
        <v>856</v>
      </c>
      <c r="I29" s="576" t="s">
        <v>1035</v>
      </c>
    </row>
    <row r="30" spans="1:10">
      <c r="A30" s="612">
        <f t="shared" si="0"/>
        <v>25</v>
      </c>
      <c r="B30" s="575">
        <v>43039</v>
      </c>
      <c r="C30" s="576">
        <v>454151</v>
      </c>
      <c r="D30" s="576" t="s">
        <v>771</v>
      </c>
      <c r="E30" s="576" t="s">
        <v>1033</v>
      </c>
      <c r="F30" s="576" t="s">
        <v>689</v>
      </c>
      <c r="G30" s="525">
        <v>-153</v>
      </c>
      <c r="H30" s="576">
        <v>856</v>
      </c>
      <c r="I30" s="576" t="s">
        <v>1035</v>
      </c>
      <c r="J30" s="506"/>
    </row>
    <row r="31" spans="1:10" s="177" customFormat="1">
      <c r="A31" s="612">
        <f t="shared" si="0"/>
        <v>26</v>
      </c>
      <c r="B31" s="575">
        <v>43069</v>
      </c>
      <c r="C31" s="576">
        <v>454151</v>
      </c>
      <c r="D31" s="576" t="s">
        <v>772</v>
      </c>
      <c r="E31" s="576" t="s">
        <v>1033</v>
      </c>
      <c r="F31" s="576" t="s">
        <v>689</v>
      </c>
      <c r="G31" s="525">
        <v>-148</v>
      </c>
      <c r="H31" s="576">
        <v>856</v>
      </c>
      <c r="I31" s="576" t="s">
        <v>1035</v>
      </c>
      <c r="J31" s="152"/>
    </row>
    <row r="32" spans="1:10" ht="15.75" customHeight="1">
      <c r="A32" s="612">
        <f t="shared" si="0"/>
        <v>27</v>
      </c>
      <c r="B32" s="575">
        <v>43100</v>
      </c>
      <c r="C32" s="576">
        <v>454151</v>
      </c>
      <c r="D32" s="576" t="s">
        <v>146</v>
      </c>
      <c r="E32" s="576" t="s">
        <v>1033</v>
      </c>
      <c r="F32" s="576" t="s">
        <v>689</v>
      </c>
      <c r="G32" s="525">
        <v>-153</v>
      </c>
      <c r="H32" s="576">
        <v>856</v>
      </c>
      <c r="I32" s="576" t="s">
        <v>1035</v>
      </c>
    </row>
    <row r="33" spans="1:10" s="177" customFormat="1" ht="15.75" customHeight="1">
      <c r="A33" s="612">
        <f t="shared" si="0"/>
        <v>28</v>
      </c>
      <c r="B33" s="575">
        <v>42825</v>
      </c>
      <c r="C33" s="576" t="s">
        <v>1118</v>
      </c>
      <c r="D33" s="576" t="s">
        <v>13</v>
      </c>
      <c r="E33" s="576" t="s">
        <v>1004</v>
      </c>
      <c r="F33" s="576" t="s">
        <v>908</v>
      </c>
      <c r="G33" s="525">
        <v>-100</v>
      </c>
      <c r="H33" s="576">
        <v>856</v>
      </c>
      <c r="I33" s="576" t="s">
        <v>1036</v>
      </c>
      <c r="J33" s="152"/>
    </row>
    <row r="34" spans="1:10" ht="15.75" customHeight="1">
      <c r="A34" s="612">
        <f t="shared" si="0"/>
        <v>29</v>
      </c>
      <c r="B34" s="575">
        <v>42886</v>
      </c>
      <c r="C34" s="576">
        <v>454151</v>
      </c>
      <c r="D34" s="576" t="s">
        <v>767</v>
      </c>
      <c r="E34" s="576" t="s">
        <v>1334</v>
      </c>
      <c r="F34" s="576" t="s">
        <v>908</v>
      </c>
      <c r="G34" s="525">
        <v>-500</v>
      </c>
      <c r="H34" s="576">
        <v>856</v>
      </c>
      <c r="I34" s="576" t="s">
        <v>1035</v>
      </c>
      <c r="J34" s="507"/>
    </row>
    <row r="35" spans="1:10">
      <c r="A35" s="612">
        <f t="shared" si="0"/>
        <v>30</v>
      </c>
      <c r="B35" s="575">
        <v>42886</v>
      </c>
      <c r="C35" s="576">
        <v>454151</v>
      </c>
      <c r="D35" s="576" t="s">
        <v>767</v>
      </c>
      <c r="E35" s="576" t="s">
        <v>1334</v>
      </c>
      <c r="F35" s="576" t="s">
        <v>908</v>
      </c>
      <c r="G35" s="525">
        <v>-48.39</v>
      </c>
      <c r="H35" s="576">
        <v>856</v>
      </c>
      <c r="I35" s="576" t="s">
        <v>1093</v>
      </c>
    </row>
    <row r="36" spans="1:10">
      <c r="A36" s="612">
        <f t="shared" si="0"/>
        <v>31</v>
      </c>
      <c r="B36" s="575">
        <v>42886</v>
      </c>
      <c r="C36" s="576">
        <v>454151</v>
      </c>
      <c r="D36" s="576" t="s">
        <v>767</v>
      </c>
      <c r="E36" s="576" t="s">
        <v>1334</v>
      </c>
      <c r="F36" s="576" t="s">
        <v>908</v>
      </c>
      <c r="G36" s="525">
        <v>-1075</v>
      </c>
      <c r="H36" s="576">
        <v>856</v>
      </c>
      <c r="I36" s="576" t="s">
        <v>1036</v>
      </c>
    </row>
    <row r="37" spans="1:10">
      <c r="A37" s="612">
        <f t="shared" si="0"/>
        <v>32</v>
      </c>
      <c r="B37" s="575">
        <v>42916</v>
      </c>
      <c r="C37" s="576">
        <v>454151</v>
      </c>
      <c r="D37" s="576" t="s">
        <v>768</v>
      </c>
      <c r="E37" s="576" t="s">
        <v>1334</v>
      </c>
      <c r="F37" s="576" t="s">
        <v>908</v>
      </c>
      <c r="G37" s="525">
        <v>-250</v>
      </c>
      <c r="H37" s="576">
        <v>856</v>
      </c>
      <c r="I37" s="576" t="s">
        <v>1035</v>
      </c>
    </row>
    <row r="38" spans="1:10">
      <c r="A38" s="612">
        <f t="shared" si="0"/>
        <v>33</v>
      </c>
      <c r="B38" s="575">
        <v>42947</v>
      </c>
      <c r="C38" s="576">
        <v>454151</v>
      </c>
      <c r="D38" s="576" t="s">
        <v>14</v>
      </c>
      <c r="E38" s="576" t="s">
        <v>1334</v>
      </c>
      <c r="F38" s="576" t="s">
        <v>908</v>
      </c>
      <c r="G38" s="525">
        <v>-250</v>
      </c>
      <c r="H38" s="576">
        <v>856</v>
      </c>
      <c r="I38" s="576" t="s">
        <v>1035</v>
      </c>
    </row>
    <row r="39" spans="1:10">
      <c r="A39" s="612">
        <f t="shared" si="0"/>
        <v>34</v>
      </c>
      <c r="B39" s="575">
        <v>42978</v>
      </c>
      <c r="C39" s="576">
        <v>454151</v>
      </c>
      <c r="D39" s="576" t="s">
        <v>14</v>
      </c>
      <c r="E39" s="576" t="s">
        <v>1334</v>
      </c>
      <c r="F39" s="576" t="s">
        <v>908</v>
      </c>
      <c r="G39" s="525">
        <v>-250</v>
      </c>
      <c r="H39" s="576">
        <v>856</v>
      </c>
      <c r="I39" s="576" t="s">
        <v>1035</v>
      </c>
    </row>
    <row r="40" spans="1:10">
      <c r="A40" s="612">
        <f t="shared" si="0"/>
        <v>35</v>
      </c>
      <c r="B40" s="575">
        <v>43008</v>
      </c>
      <c r="C40" s="576">
        <v>454151</v>
      </c>
      <c r="D40" s="576" t="s">
        <v>14</v>
      </c>
      <c r="E40" s="576" t="s">
        <v>1334</v>
      </c>
      <c r="F40" s="576" t="s">
        <v>908</v>
      </c>
      <c r="G40" s="525">
        <v>-400</v>
      </c>
      <c r="H40" s="576">
        <v>856</v>
      </c>
      <c r="I40" s="576" t="s">
        <v>1035</v>
      </c>
    </row>
    <row r="41" spans="1:10">
      <c r="A41" s="612">
        <f t="shared" si="0"/>
        <v>36</v>
      </c>
      <c r="B41" s="575">
        <v>43039</v>
      </c>
      <c r="C41" s="576">
        <v>454151</v>
      </c>
      <c r="D41" s="576" t="s">
        <v>771</v>
      </c>
      <c r="E41" s="576" t="s">
        <v>1334</v>
      </c>
      <c r="F41" s="576" t="s">
        <v>908</v>
      </c>
      <c r="G41" s="525">
        <v>-250</v>
      </c>
      <c r="H41" s="576">
        <v>856</v>
      </c>
      <c r="I41" s="576" t="s">
        <v>1035</v>
      </c>
    </row>
    <row r="42" spans="1:10">
      <c r="A42" s="612">
        <f t="shared" si="0"/>
        <v>37</v>
      </c>
      <c r="B42" s="575">
        <v>43069</v>
      </c>
      <c r="C42" s="576">
        <v>454151</v>
      </c>
      <c r="D42" s="576" t="s">
        <v>772</v>
      </c>
      <c r="E42" s="576" t="s">
        <v>1334</v>
      </c>
      <c r="F42" s="576" t="s">
        <v>908</v>
      </c>
      <c r="G42" s="525">
        <v>-250</v>
      </c>
      <c r="H42" s="576">
        <v>856</v>
      </c>
      <c r="I42" s="576" t="s">
        <v>1035</v>
      </c>
    </row>
    <row r="43" spans="1:10">
      <c r="A43" s="612">
        <f t="shared" si="0"/>
        <v>38</v>
      </c>
      <c r="B43" s="575">
        <v>43100</v>
      </c>
      <c r="C43" s="576">
        <v>454151</v>
      </c>
      <c r="D43" s="576" t="s">
        <v>772</v>
      </c>
      <c r="E43" s="576" t="s">
        <v>1334</v>
      </c>
      <c r="F43" s="576" t="s">
        <v>908</v>
      </c>
      <c r="G43" s="525">
        <v>-250</v>
      </c>
      <c r="H43" s="576">
        <v>856</v>
      </c>
      <c r="I43" s="576" t="s">
        <v>1035</v>
      </c>
    </row>
    <row r="44" spans="1:10">
      <c r="A44" s="612">
        <f t="shared" si="0"/>
        <v>39</v>
      </c>
      <c r="B44" s="575">
        <v>42916</v>
      </c>
      <c r="C44" s="576" t="s">
        <v>1118</v>
      </c>
      <c r="D44" s="576" t="s">
        <v>768</v>
      </c>
      <c r="E44" s="576" t="s">
        <v>996</v>
      </c>
      <c r="F44" s="576" t="s">
        <v>908</v>
      </c>
      <c r="G44" s="525">
        <v>-100</v>
      </c>
      <c r="H44" s="576">
        <v>856</v>
      </c>
      <c r="I44" s="576" t="s">
        <v>1036</v>
      </c>
    </row>
    <row r="45" spans="1:10">
      <c r="A45" s="612">
        <f t="shared" si="0"/>
        <v>40</v>
      </c>
      <c r="B45" s="575">
        <v>42766</v>
      </c>
      <c r="C45" s="576">
        <v>454151</v>
      </c>
      <c r="D45" s="576" t="s">
        <v>764</v>
      </c>
      <c r="E45" s="576" t="s">
        <v>1092</v>
      </c>
      <c r="F45" s="576" t="s">
        <v>908</v>
      </c>
      <c r="G45" s="525">
        <v>-500</v>
      </c>
      <c r="H45" s="576" t="s">
        <v>884</v>
      </c>
      <c r="I45" s="576" t="s">
        <v>1035</v>
      </c>
      <c r="J45" s="505"/>
    </row>
    <row r="46" spans="1:10">
      <c r="A46" s="612">
        <f t="shared" si="0"/>
        <v>41</v>
      </c>
      <c r="B46" s="577">
        <v>42794</v>
      </c>
      <c r="C46" s="576">
        <v>454151</v>
      </c>
      <c r="D46" s="576" t="s">
        <v>765</v>
      </c>
      <c r="E46" s="576" t="s">
        <v>1092</v>
      </c>
      <c r="F46" s="578" t="s">
        <v>908</v>
      </c>
      <c r="G46" s="579">
        <v>-500</v>
      </c>
      <c r="H46" s="576" t="s">
        <v>884</v>
      </c>
      <c r="I46" s="576" t="s">
        <v>1035</v>
      </c>
      <c r="J46" s="507"/>
    </row>
    <row r="47" spans="1:10">
      <c r="A47" s="612">
        <f t="shared" si="0"/>
        <v>42</v>
      </c>
      <c r="B47" s="577">
        <v>42825</v>
      </c>
      <c r="C47" s="576">
        <v>454151</v>
      </c>
      <c r="D47" s="576" t="s">
        <v>13</v>
      </c>
      <c r="E47" s="576" t="s">
        <v>1092</v>
      </c>
      <c r="F47" s="578" t="s">
        <v>908</v>
      </c>
      <c r="G47" s="579">
        <v>-500</v>
      </c>
      <c r="H47" s="576" t="s">
        <v>884</v>
      </c>
      <c r="I47" s="576" t="s">
        <v>1035</v>
      </c>
    </row>
    <row r="48" spans="1:10">
      <c r="A48" s="612">
        <f t="shared" si="0"/>
        <v>43</v>
      </c>
      <c r="B48" s="577">
        <v>42855</v>
      </c>
      <c r="C48" s="576">
        <v>454151</v>
      </c>
      <c r="D48" s="576" t="s">
        <v>766</v>
      </c>
      <c r="E48" s="576" t="s">
        <v>1092</v>
      </c>
      <c r="F48" s="578" t="s">
        <v>908</v>
      </c>
      <c r="G48" s="579">
        <v>-500</v>
      </c>
      <c r="H48" s="576" t="s">
        <v>884</v>
      </c>
      <c r="I48" s="576" t="s">
        <v>1035</v>
      </c>
    </row>
    <row r="49" spans="1:10">
      <c r="A49" s="612">
        <f t="shared" si="0"/>
        <v>44</v>
      </c>
      <c r="B49" s="577">
        <v>42886</v>
      </c>
      <c r="C49" s="576">
        <v>454151</v>
      </c>
      <c r="D49" s="576" t="s">
        <v>767</v>
      </c>
      <c r="E49" s="576" t="s">
        <v>1092</v>
      </c>
      <c r="F49" s="578" t="s">
        <v>908</v>
      </c>
      <c r="G49" s="579">
        <v>-500</v>
      </c>
      <c r="H49" s="576" t="s">
        <v>884</v>
      </c>
      <c r="I49" s="576" t="s">
        <v>1035</v>
      </c>
    </row>
    <row r="50" spans="1:10">
      <c r="A50" s="612">
        <f t="shared" si="0"/>
        <v>45</v>
      </c>
      <c r="B50" s="577">
        <v>42916</v>
      </c>
      <c r="C50" s="576">
        <v>454151</v>
      </c>
      <c r="D50" s="576" t="s">
        <v>768</v>
      </c>
      <c r="E50" s="576" t="s">
        <v>1092</v>
      </c>
      <c r="F50" s="578" t="s">
        <v>908</v>
      </c>
      <c r="G50" s="579">
        <v>-500</v>
      </c>
      <c r="H50" s="576" t="s">
        <v>884</v>
      </c>
      <c r="I50" s="576" t="s">
        <v>1035</v>
      </c>
    </row>
    <row r="51" spans="1:10">
      <c r="A51" s="612">
        <f t="shared" si="0"/>
        <v>46</v>
      </c>
      <c r="B51" s="577">
        <v>42947</v>
      </c>
      <c r="C51" s="576">
        <v>454151</v>
      </c>
      <c r="D51" s="576" t="s">
        <v>14</v>
      </c>
      <c r="E51" s="576" t="s">
        <v>1092</v>
      </c>
      <c r="F51" s="578" t="s">
        <v>908</v>
      </c>
      <c r="G51" s="579">
        <v>-500</v>
      </c>
      <c r="H51" s="576" t="s">
        <v>884</v>
      </c>
      <c r="I51" s="576" t="s">
        <v>1035</v>
      </c>
    </row>
    <row r="52" spans="1:10">
      <c r="A52" s="612">
        <f t="shared" si="0"/>
        <v>47</v>
      </c>
      <c r="B52" s="577">
        <v>42978</v>
      </c>
      <c r="C52" s="576">
        <v>454151</v>
      </c>
      <c r="D52" s="576" t="s">
        <v>769</v>
      </c>
      <c r="E52" s="576" t="s">
        <v>1092</v>
      </c>
      <c r="F52" s="578" t="s">
        <v>908</v>
      </c>
      <c r="G52" s="579">
        <v>-500</v>
      </c>
      <c r="H52" s="576" t="s">
        <v>884</v>
      </c>
      <c r="I52" s="576" t="s">
        <v>1035</v>
      </c>
      <c r="J52" s="505"/>
    </row>
    <row r="53" spans="1:10">
      <c r="A53" s="612">
        <f t="shared" si="0"/>
        <v>48</v>
      </c>
      <c r="B53" s="577">
        <v>43008</v>
      </c>
      <c r="C53" s="576">
        <v>454151</v>
      </c>
      <c r="D53" s="576" t="s">
        <v>770</v>
      </c>
      <c r="E53" s="576" t="s">
        <v>1092</v>
      </c>
      <c r="F53" s="578" t="s">
        <v>908</v>
      </c>
      <c r="G53" s="579">
        <v>-500</v>
      </c>
      <c r="H53" s="576" t="s">
        <v>884</v>
      </c>
      <c r="I53" s="576" t="s">
        <v>1035</v>
      </c>
    </row>
    <row r="54" spans="1:10">
      <c r="A54" s="612">
        <f t="shared" si="0"/>
        <v>49</v>
      </c>
      <c r="B54" s="577">
        <v>43039</v>
      </c>
      <c r="C54" s="576">
        <v>454151</v>
      </c>
      <c r="D54" s="576" t="s">
        <v>771</v>
      </c>
      <c r="E54" s="576" t="s">
        <v>1092</v>
      </c>
      <c r="F54" s="578" t="s">
        <v>908</v>
      </c>
      <c r="G54" s="579">
        <v>-500</v>
      </c>
      <c r="H54" s="576" t="s">
        <v>884</v>
      </c>
      <c r="I54" s="576" t="s">
        <v>1035</v>
      </c>
    </row>
    <row r="55" spans="1:10">
      <c r="A55" s="612">
        <f t="shared" si="0"/>
        <v>50</v>
      </c>
      <c r="B55" s="577">
        <v>42978</v>
      </c>
      <c r="C55" s="576">
        <v>454151</v>
      </c>
      <c r="D55" s="576" t="s">
        <v>769</v>
      </c>
      <c r="E55" s="576" t="s">
        <v>1120</v>
      </c>
      <c r="F55" s="578" t="s">
        <v>908</v>
      </c>
      <c r="G55" s="579">
        <v>-718.2</v>
      </c>
      <c r="H55" s="576" t="s">
        <v>1333</v>
      </c>
      <c r="I55" s="576" t="s">
        <v>1036</v>
      </c>
    </row>
    <row r="56" spans="1:10">
      <c r="A56" s="612">
        <f t="shared" si="0"/>
        <v>51</v>
      </c>
      <c r="B56" s="577">
        <v>42766</v>
      </c>
      <c r="C56" s="576">
        <v>454151</v>
      </c>
      <c r="D56" s="576" t="s">
        <v>764</v>
      </c>
      <c r="E56" s="576" t="s">
        <v>1121</v>
      </c>
      <c r="F56" s="578" t="s">
        <v>638</v>
      </c>
      <c r="G56" s="579">
        <v>-42.45</v>
      </c>
      <c r="H56" s="576">
        <v>856</v>
      </c>
      <c r="I56" s="576" t="s">
        <v>1035</v>
      </c>
    </row>
    <row r="57" spans="1:10">
      <c r="A57" s="612">
        <f t="shared" si="0"/>
        <v>52</v>
      </c>
      <c r="B57" s="577">
        <v>42794</v>
      </c>
      <c r="C57" s="576">
        <v>454151</v>
      </c>
      <c r="D57" s="576" t="s">
        <v>765</v>
      </c>
      <c r="E57" s="576" t="s">
        <v>1121</v>
      </c>
      <c r="F57" s="578" t="s">
        <v>638</v>
      </c>
      <c r="G57" s="579">
        <v>-38.340000000000003</v>
      </c>
      <c r="H57" s="576">
        <v>856</v>
      </c>
      <c r="I57" s="576" t="s">
        <v>1035</v>
      </c>
    </row>
    <row r="58" spans="1:10">
      <c r="A58" s="612">
        <f t="shared" si="0"/>
        <v>53</v>
      </c>
      <c r="B58" s="577">
        <v>42825</v>
      </c>
      <c r="C58" s="576">
        <v>454151</v>
      </c>
      <c r="D58" s="576" t="s">
        <v>13</v>
      </c>
      <c r="E58" s="576" t="s">
        <v>1121</v>
      </c>
      <c r="F58" s="578" t="s">
        <v>638</v>
      </c>
      <c r="G58" s="579">
        <v>-42.46</v>
      </c>
      <c r="H58" s="576">
        <v>856</v>
      </c>
      <c r="I58" s="576" t="s">
        <v>1035</v>
      </c>
    </row>
    <row r="59" spans="1:10">
      <c r="A59" s="612">
        <f t="shared" si="0"/>
        <v>54</v>
      </c>
      <c r="B59" s="577">
        <v>42855</v>
      </c>
      <c r="C59" s="576">
        <v>454151</v>
      </c>
      <c r="D59" s="576" t="s">
        <v>766</v>
      </c>
      <c r="E59" s="576" t="s">
        <v>1121</v>
      </c>
      <c r="F59" s="578" t="s">
        <v>638</v>
      </c>
      <c r="G59" s="579">
        <v>-30</v>
      </c>
      <c r="H59" s="576">
        <v>856</v>
      </c>
      <c r="I59" s="576" t="s">
        <v>1035</v>
      </c>
    </row>
    <row r="60" spans="1:10">
      <c r="A60" s="612">
        <f t="shared" si="0"/>
        <v>55</v>
      </c>
      <c r="B60" s="577">
        <v>42886</v>
      </c>
      <c r="C60" s="576">
        <v>454151</v>
      </c>
      <c r="D60" s="576" t="s">
        <v>767</v>
      </c>
      <c r="E60" s="576" t="s">
        <v>1121</v>
      </c>
      <c r="F60" s="578" t="s">
        <v>638</v>
      </c>
      <c r="G60" s="579">
        <v>-42</v>
      </c>
      <c r="H60" s="576">
        <v>856</v>
      </c>
      <c r="I60" s="576" t="s">
        <v>1035</v>
      </c>
    </row>
    <row r="61" spans="1:10">
      <c r="A61" s="612">
        <f t="shared" si="0"/>
        <v>56</v>
      </c>
      <c r="B61" s="577">
        <v>42916</v>
      </c>
      <c r="C61" s="576">
        <v>454151</v>
      </c>
      <c r="D61" s="576" t="s">
        <v>768</v>
      </c>
      <c r="E61" s="576" t="s">
        <v>1121</v>
      </c>
      <c r="F61" s="578" t="s">
        <v>638</v>
      </c>
      <c r="G61" s="579">
        <v>-41</v>
      </c>
      <c r="H61" s="576">
        <v>856</v>
      </c>
      <c r="I61" s="576" t="s">
        <v>1035</v>
      </c>
    </row>
    <row r="62" spans="1:10">
      <c r="A62" s="612">
        <f t="shared" si="0"/>
        <v>57</v>
      </c>
      <c r="B62" s="577">
        <v>42947</v>
      </c>
      <c r="C62" s="576">
        <v>454151</v>
      </c>
      <c r="D62" s="576" t="s">
        <v>14</v>
      </c>
      <c r="E62" s="576" t="s">
        <v>1121</v>
      </c>
      <c r="F62" s="578" t="s">
        <v>638</v>
      </c>
      <c r="G62" s="579">
        <v>-42</v>
      </c>
      <c r="H62" s="576">
        <v>856</v>
      </c>
      <c r="I62" s="576" t="s">
        <v>1035</v>
      </c>
    </row>
    <row r="63" spans="1:10">
      <c r="A63" s="612">
        <f t="shared" si="0"/>
        <v>58</v>
      </c>
      <c r="B63" s="577">
        <v>42978</v>
      </c>
      <c r="C63" s="576">
        <v>454151</v>
      </c>
      <c r="D63" s="576" t="s">
        <v>769</v>
      </c>
      <c r="E63" s="576" t="s">
        <v>1121</v>
      </c>
      <c r="F63" s="578" t="s">
        <v>638</v>
      </c>
      <c r="G63" s="579">
        <v>-42</v>
      </c>
      <c r="H63" s="576">
        <v>856</v>
      </c>
      <c r="I63" s="576" t="s">
        <v>1035</v>
      </c>
      <c r="J63" s="505"/>
    </row>
    <row r="64" spans="1:10">
      <c r="A64" s="612">
        <f t="shared" si="0"/>
        <v>59</v>
      </c>
      <c r="B64" s="577">
        <v>43008</v>
      </c>
      <c r="C64" s="576">
        <v>454151</v>
      </c>
      <c r="D64" s="576" t="s">
        <v>770</v>
      </c>
      <c r="E64" s="576" t="s">
        <v>1121</v>
      </c>
      <c r="F64" s="578" t="s">
        <v>638</v>
      </c>
      <c r="G64" s="579">
        <v>-41</v>
      </c>
      <c r="H64" s="576">
        <v>856</v>
      </c>
      <c r="I64" s="576" t="s">
        <v>1035</v>
      </c>
    </row>
    <row r="65" spans="1:10">
      <c r="A65" s="612">
        <f t="shared" si="0"/>
        <v>60</v>
      </c>
      <c r="B65" s="577">
        <v>43039</v>
      </c>
      <c r="C65" s="576">
        <v>454151</v>
      </c>
      <c r="D65" s="576" t="s">
        <v>771</v>
      </c>
      <c r="E65" s="576" t="s">
        <v>1121</v>
      </c>
      <c r="F65" s="578" t="s">
        <v>638</v>
      </c>
      <c r="G65" s="579">
        <v>-42</v>
      </c>
      <c r="H65" s="576">
        <v>856</v>
      </c>
      <c r="I65" s="576" t="s">
        <v>1035</v>
      </c>
      <c r="J65" s="444"/>
    </row>
    <row r="66" spans="1:10">
      <c r="A66" s="612">
        <f t="shared" si="0"/>
        <v>61</v>
      </c>
      <c r="B66" s="575">
        <v>43069</v>
      </c>
      <c r="C66" s="576">
        <v>454151</v>
      </c>
      <c r="D66" s="576" t="s">
        <v>772</v>
      </c>
      <c r="E66" s="576" t="s">
        <v>1121</v>
      </c>
      <c r="F66" s="576" t="s">
        <v>638</v>
      </c>
      <c r="G66" s="525">
        <v>-41</v>
      </c>
      <c r="H66" s="576">
        <v>856</v>
      </c>
      <c r="I66" s="576" t="s">
        <v>1035</v>
      </c>
      <c r="J66" s="444"/>
    </row>
    <row r="67" spans="1:10">
      <c r="A67" s="612">
        <f t="shared" si="0"/>
        <v>62</v>
      </c>
      <c r="B67" s="575">
        <v>43100</v>
      </c>
      <c r="C67" s="576">
        <v>454151</v>
      </c>
      <c r="D67" s="576" t="s">
        <v>146</v>
      </c>
      <c r="E67" s="576" t="s">
        <v>1121</v>
      </c>
      <c r="F67" s="576" t="s">
        <v>638</v>
      </c>
      <c r="G67" s="525">
        <v>-42</v>
      </c>
      <c r="H67" s="576">
        <v>856</v>
      </c>
      <c r="I67" s="576" t="s">
        <v>1035</v>
      </c>
      <c r="J67" s="444"/>
    </row>
    <row r="68" spans="1:10">
      <c r="A68" s="612">
        <f t="shared" si="0"/>
        <v>63</v>
      </c>
      <c r="B68" s="575">
        <v>42886</v>
      </c>
      <c r="C68" s="576" t="s">
        <v>1118</v>
      </c>
      <c r="D68" s="576" t="s">
        <v>767</v>
      </c>
      <c r="E68" s="576" t="s">
        <v>1122</v>
      </c>
      <c r="F68" s="576" t="s">
        <v>908</v>
      </c>
      <c r="G68" s="525">
        <v>-300</v>
      </c>
      <c r="H68" s="576">
        <v>856</v>
      </c>
      <c r="I68" s="576" t="s">
        <v>1036</v>
      </c>
      <c r="J68" s="444"/>
    </row>
    <row r="69" spans="1:10">
      <c r="A69" s="612">
        <f t="shared" si="0"/>
        <v>64</v>
      </c>
      <c r="B69" s="575">
        <v>42766</v>
      </c>
      <c r="C69" s="576" t="s">
        <v>1118</v>
      </c>
      <c r="D69" s="576" t="s">
        <v>764</v>
      </c>
      <c r="E69" s="576" t="s">
        <v>1123</v>
      </c>
      <c r="F69" s="576" t="s">
        <v>908</v>
      </c>
      <c r="G69" s="525">
        <v>-73.97</v>
      </c>
      <c r="H69" s="576">
        <v>856</v>
      </c>
      <c r="I69" s="576" t="s">
        <v>1035</v>
      </c>
      <c r="J69" s="444"/>
    </row>
    <row r="70" spans="1:10">
      <c r="A70" s="612">
        <f t="shared" si="0"/>
        <v>65</v>
      </c>
      <c r="B70" s="575">
        <v>42794</v>
      </c>
      <c r="C70" s="576" t="s">
        <v>1118</v>
      </c>
      <c r="D70" s="576" t="s">
        <v>765</v>
      </c>
      <c r="E70" s="576" t="s">
        <v>1123</v>
      </c>
      <c r="F70" s="576" t="s">
        <v>908</v>
      </c>
      <c r="G70" s="525">
        <v>-73.97</v>
      </c>
      <c r="H70" s="576">
        <v>856</v>
      </c>
      <c r="I70" s="576" t="s">
        <v>1035</v>
      </c>
      <c r="J70" s="444"/>
    </row>
    <row r="71" spans="1:10">
      <c r="A71" s="612">
        <f t="shared" si="0"/>
        <v>66</v>
      </c>
      <c r="B71" s="575">
        <v>42825</v>
      </c>
      <c r="C71" s="576" t="s">
        <v>1118</v>
      </c>
      <c r="D71" s="576" t="s">
        <v>13</v>
      </c>
      <c r="E71" s="576" t="s">
        <v>1123</v>
      </c>
      <c r="F71" s="576" t="s">
        <v>908</v>
      </c>
      <c r="G71" s="525">
        <v>-73.97</v>
      </c>
      <c r="H71" s="576">
        <v>856</v>
      </c>
      <c r="I71" s="576" t="s">
        <v>1035</v>
      </c>
      <c r="J71" s="444"/>
    </row>
    <row r="72" spans="1:10">
      <c r="A72" s="612">
        <f t="shared" ref="A72:A135" si="1">A71+1</f>
        <v>67</v>
      </c>
      <c r="B72" s="575">
        <v>42855</v>
      </c>
      <c r="C72" s="576" t="s">
        <v>1118</v>
      </c>
      <c r="D72" s="576" t="s">
        <v>766</v>
      </c>
      <c r="E72" s="576" t="s">
        <v>1123</v>
      </c>
      <c r="F72" s="576" t="s">
        <v>908</v>
      </c>
      <c r="G72" s="525">
        <v>-73.98</v>
      </c>
      <c r="H72" s="576">
        <v>856</v>
      </c>
      <c r="I72" s="576" t="s">
        <v>1035</v>
      </c>
      <c r="J72" s="444"/>
    </row>
    <row r="73" spans="1:10">
      <c r="A73" s="612">
        <f t="shared" si="1"/>
        <v>68</v>
      </c>
      <c r="B73" s="575">
        <v>42886</v>
      </c>
      <c r="C73" s="576" t="s">
        <v>1118</v>
      </c>
      <c r="D73" s="576" t="s">
        <v>767</v>
      </c>
      <c r="E73" s="576" t="s">
        <v>1123</v>
      </c>
      <c r="F73" s="576" t="s">
        <v>908</v>
      </c>
      <c r="G73" s="525">
        <v>-37</v>
      </c>
      <c r="H73" s="576">
        <v>856</v>
      </c>
      <c r="I73" s="576" t="s">
        <v>1035</v>
      </c>
      <c r="J73" s="444"/>
    </row>
    <row r="74" spans="1:10">
      <c r="A74" s="612">
        <f t="shared" si="1"/>
        <v>69</v>
      </c>
      <c r="B74" s="575">
        <v>42916</v>
      </c>
      <c r="C74" s="576" t="s">
        <v>1118</v>
      </c>
      <c r="D74" s="576" t="s">
        <v>768</v>
      </c>
      <c r="E74" s="576" t="s">
        <v>1123</v>
      </c>
      <c r="F74" s="576" t="s">
        <v>908</v>
      </c>
      <c r="G74" s="525">
        <v>-74</v>
      </c>
      <c r="H74" s="576">
        <v>856</v>
      </c>
      <c r="I74" s="576" t="s">
        <v>1035</v>
      </c>
      <c r="J74" s="444"/>
    </row>
    <row r="75" spans="1:10">
      <c r="A75" s="612">
        <f t="shared" si="1"/>
        <v>70</v>
      </c>
      <c r="B75" s="575">
        <v>42947</v>
      </c>
      <c r="C75" s="576" t="s">
        <v>1118</v>
      </c>
      <c r="D75" s="576" t="s">
        <v>14</v>
      </c>
      <c r="E75" s="576" t="s">
        <v>1123</v>
      </c>
      <c r="F75" s="576" t="s">
        <v>908</v>
      </c>
      <c r="G75" s="525">
        <v>-76</v>
      </c>
      <c r="H75" s="576">
        <v>856</v>
      </c>
      <c r="I75" s="576" t="s">
        <v>1035</v>
      </c>
      <c r="J75" s="444"/>
    </row>
    <row r="76" spans="1:10">
      <c r="A76" s="612">
        <f t="shared" si="1"/>
        <v>71</v>
      </c>
      <c r="B76" s="575">
        <v>42978</v>
      </c>
      <c r="C76" s="576" t="s">
        <v>1118</v>
      </c>
      <c r="D76" s="576" t="s">
        <v>769</v>
      </c>
      <c r="E76" s="576" t="s">
        <v>1123</v>
      </c>
      <c r="F76" s="576" t="s">
        <v>908</v>
      </c>
      <c r="G76" s="525">
        <v>-76</v>
      </c>
      <c r="H76" s="576">
        <v>856</v>
      </c>
      <c r="I76" s="576" t="s">
        <v>1035</v>
      </c>
      <c r="J76" s="444"/>
    </row>
    <row r="77" spans="1:10">
      <c r="A77" s="612">
        <f t="shared" si="1"/>
        <v>72</v>
      </c>
      <c r="B77" s="575">
        <v>43008</v>
      </c>
      <c r="C77" s="576" t="s">
        <v>1118</v>
      </c>
      <c r="D77" s="576" t="s">
        <v>770</v>
      </c>
      <c r="E77" s="576" t="s">
        <v>1123</v>
      </c>
      <c r="F77" s="576" t="s">
        <v>908</v>
      </c>
      <c r="G77" s="525">
        <v>-74</v>
      </c>
      <c r="H77" s="576">
        <v>856</v>
      </c>
      <c r="I77" s="576" t="s">
        <v>1035</v>
      </c>
      <c r="J77" s="444"/>
    </row>
    <row r="78" spans="1:10">
      <c r="A78" s="612">
        <f t="shared" si="1"/>
        <v>73</v>
      </c>
      <c r="B78" s="575">
        <v>43039</v>
      </c>
      <c r="C78" s="576" t="s">
        <v>1118</v>
      </c>
      <c r="D78" s="576" t="s">
        <v>771</v>
      </c>
      <c r="E78" s="576" t="s">
        <v>1123</v>
      </c>
      <c r="F78" s="576" t="s">
        <v>908</v>
      </c>
      <c r="G78" s="525">
        <v>-76</v>
      </c>
      <c r="H78" s="576">
        <v>856</v>
      </c>
      <c r="I78" s="576" t="s">
        <v>1035</v>
      </c>
      <c r="J78" s="444"/>
    </row>
    <row r="79" spans="1:10">
      <c r="A79" s="612">
        <f t="shared" si="1"/>
        <v>74</v>
      </c>
      <c r="B79" s="575">
        <v>43069</v>
      </c>
      <c r="C79" s="576" t="s">
        <v>1118</v>
      </c>
      <c r="D79" s="576" t="s">
        <v>772</v>
      </c>
      <c r="E79" s="576" t="s">
        <v>1123</v>
      </c>
      <c r="F79" s="576" t="s">
        <v>908</v>
      </c>
      <c r="G79" s="525">
        <v>-74</v>
      </c>
      <c r="H79" s="576">
        <v>856</v>
      </c>
      <c r="I79" s="576" t="s">
        <v>1035</v>
      </c>
      <c r="J79" s="444"/>
    </row>
    <row r="80" spans="1:10">
      <c r="A80" s="612">
        <f t="shared" si="1"/>
        <v>75</v>
      </c>
      <c r="B80" s="575">
        <v>43100</v>
      </c>
      <c r="C80" s="576" t="s">
        <v>1118</v>
      </c>
      <c r="D80" s="576" t="s">
        <v>146</v>
      </c>
      <c r="E80" s="576" t="s">
        <v>1123</v>
      </c>
      <c r="F80" s="576" t="s">
        <v>908</v>
      </c>
      <c r="G80" s="525">
        <v>-76</v>
      </c>
      <c r="H80" s="576">
        <v>856</v>
      </c>
      <c r="I80" s="576" t="s">
        <v>1035</v>
      </c>
      <c r="J80" s="444"/>
    </row>
    <row r="81" spans="1:10">
      <c r="A81" s="612">
        <f t="shared" si="1"/>
        <v>76</v>
      </c>
      <c r="B81" s="575">
        <v>43008</v>
      </c>
      <c r="C81" s="576">
        <v>454151</v>
      </c>
      <c r="D81" s="576" t="s">
        <v>770</v>
      </c>
      <c r="E81" s="576" t="s">
        <v>997</v>
      </c>
      <c r="F81" s="576" t="s">
        <v>638</v>
      </c>
      <c r="G81" s="525">
        <v>-100</v>
      </c>
      <c r="H81" s="576" t="s">
        <v>1333</v>
      </c>
      <c r="I81" s="576" t="s">
        <v>1036</v>
      </c>
      <c r="J81" s="444"/>
    </row>
    <row r="82" spans="1:10">
      <c r="A82" s="612">
        <f t="shared" si="1"/>
        <v>77</v>
      </c>
      <c r="B82" s="575">
        <v>42825</v>
      </c>
      <c r="C82" s="576" t="s">
        <v>1118</v>
      </c>
      <c r="D82" s="576" t="s">
        <v>13</v>
      </c>
      <c r="E82" s="576" t="s">
        <v>1124</v>
      </c>
      <c r="F82" s="576" t="s">
        <v>908</v>
      </c>
      <c r="G82" s="525">
        <v>-315</v>
      </c>
      <c r="H82" s="576">
        <v>856</v>
      </c>
      <c r="I82" s="576" t="s">
        <v>1035</v>
      </c>
      <c r="J82" s="444"/>
    </row>
    <row r="83" spans="1:10">
      <c r="A83" s="612">
        <f t="shared" si="1"/>
        <v>78</v>
      </c>
      <c r="B83" s="575">
        <v>42855</v>
      </c>
      <c r="C83" s="576" t="s">
        <v>1118</v>
      </c>
      <c r="D83" s="576" t="s">
        <v>766</v>
      </c>
      <c r="E83" s="576" t="s">
        <v>1124</v>
      </c>
      <c r="F83" s="576" t="s">
        <v>908</v>
      </c>
      <c r="G83" s="525">
        <v>-590</v>
      </c>
      <c r="H83" s="576">
        <v>856</v>
      </c>
      <c r="I83" s="576" t="s">
        <v>1035</v>
      </c>
      <c r="J83" s="444"/>
    </row>
    <row r="84" spans="1:10">
      <c r="A84" s="612">
        <f t="shared" si="1"/>
        <v>79</v>
      </c>
      <c r="B84" s="575">
        <v>42886</v>
      </c>
      <c r="C84" s="576" t="s">
        <v>1118</v>
      </c>
      <c r="D84" s="576" t="s">
        <v>767</v>
      </c>
      <c r="E84" s="576" t="s">
        <v>1124</v>
      </c>
      <c r="F84" s="576" t="s">
        <v>908</v>
      </c>
      <c r="G84" s="525">
        <v>-295</v>
      </c>
      <c r="H84" s="576">
        <v>856</v>
      </c>
      <c r="I84" s="576" t="s">
        <v>1035</v>
      </c>
      <c r="J84" s="444"/>
    </row>
    <row r="85" spans="1:10">
      <c r="A85" s="612">
        <f t="shared" si="1"/>
        <v>80</v>
      </c>
      <c r="B85" s="575">
        <v>42766</v>
      </c>
      <c r="C85" s="576">
        <v>454151</v>
      </c>
      <c r="D85" s="576" t="s">
        <v>764</v>
      </c>
      <c r="E85" s="576" t="s">
        <v>1037</v>
      </c>
      <c r="F85" s="576" t="s">
        <v>908</v>
      </c>
      <c r="G85" s="525">
        <v>-42.97</v>
      </c>
      <c r="H85" s="576">
        <v>856</v>
      </c>
      <c r="I85" s="576" t="s">
        <v>1035</v>
      </c>
      <c r="J85" s="444"/>
    </row>
    <row r="86" spans="1:10">
      <c r="A86" s="612">
        <f t="shared" si="1"/>
        <v>81</v>
      </c>
      <c r="B86" s="575">
        <v>42794</v>
      </c>
      <c r="C86" s="576">
        <v>454151</v>
      </c>
      <c r="D86" s="576" t="s">
        <v>765</v>
      </c>
      <c r="E86" s="576" t="s">
        <v>1037</v>
      </c>
      <c r="F86" s="576" t="s">
        <v>908</v>
      </c>
      <c r="G86" s="525">
        <v>-38.81</v>
      </c>
      <c r="H86" s="576">
        <v>856</v>
      </c>
      <c r="I86" s="576" t="s">
        <v>1035</v>
      </c>
      <c r="J86" s="444"/>
    </row>
    <row r="87" spans="1:10">
      <c r="A87" s="612">
        <f t="shared" si="1"/>
        <v>82</v>
      </c>
      <c r="B87" s="575">
        <v>42825</v>
      </c>
      <c r="C87" s="576">
        <v>454151</v>
      </c>
      <c r="D87" s="576" t="s">
        <v>13</v>
      </c>
      <c r="E87" s="576" t="s">
        <v>1037</v>
      </c>
      <c r="F87" s="576" t="s">
        <v>908</v>
      </c>
      <c r="G87" s="525">
        <v>-28.86</v>
      </c>
      <c r="H87" s="576">
        <v>856</v>
      </c>
      <c r="I87" s="576" t="s">
        <v>1035</v>
      </c>
      <c r="J87" s="444"/>
    </row>
    <row r="88" spans="1:10">
      <c r="A88" s="612">
        <f t="shared" si="1"/>
        <v>83</v>
      </c>
      <c r="B88" s="575">
        <v>42855</v>
      </c>
      <c r="C88" s="576">
        <v>454151</v>
      </c>
      <c r="D88" s="576" t="s">
        <v>766</v>
      </c>
      <c r="E88" s="576" t="s">
        <v>1037</v>
      </c>
      <c r="F88" s="576" t="s">
        <v>908</v>
      </c>
      <c r="G88" s="525">
        <v>-41</v>
      </c>
      <c r="H88" s="576">
        <v>856</v>
      </c>
      <c r="I88" s="576" t="s">
        <v>1035</v>
      </c>
      <c r="J88" s="444"/>
    </row>
    <row r="89" spans="1:10">
      <c r="A89" s="612">
        <f t="shared" si="1"/>
        <v>84</v>
      </c>
      <c r="B89" s="575">
        <v>42886</v>
      </c>
      <c r="C89" s="576">
        <v>454151</v>
      </c>
      <c r="D89" s="576" t="s">
        <v>767</v>
      </c>
      <c r="E89" s="576" t="s">
        <v>1037</v>
      </c>
      <c r="F89" s="576" t="s">
        <v>908</v>
      </c>
      <c r="G89" s="525">
        <v>-42</v>
      </c>
      <c r="H89" s="576">
        <v>856</v>
      </c>
      <c r="I89" s="576" t="s">
        <v>1035</v>
      </c>
      <c r="J89" s="444"/>
    </row>
    <row r="90" spans="1:10">
      <c r="A90" s="612">
        <f t="shared" si="1"/>
        <v>85</v>
      </c>
      <c r="B90" s="575">
        <v>42916</v>
      </c>
      <c r="C90" s="576">
        <v>454151</v>
      </c>
      <c r="D90" s="576" t="s">
        <v>768</v>
      </c>
      <c r="E90" s="576" t="s">
        <v>1037</v>
      </c>
      <c r="F90" s="576" t="s">
        <v>908</v>
      </c>
      <c r="G90" s="525">
        <v>-41</v>
      </c>
      <c r="H90" s="576">
        <v>856</v>
      </c>
      <c r="I90" s="576" t="s">
        <v>1035</v>
      </c>
      <c r="J90" s="444"/>
    </row>
    <row r="91" spans="1:10">
      <c r="A91" s="612">
        <f t="shared" si="1"/>
        <v>86</v>
      </c>
      <c r="B91" s="575">
        <v>42947</v>
      </c>
      <c r="C91" s="576">
        <v>454151</v>
      </c>
      <c r="D91" s="576" t="s">
        <v>14</v>
      </c>
      <c r="E91" s="576" t="s">
        <v>1037</v>
      </c>
      <c r="F91" s="576" t="s">
        <v>908</v>
      </c>
      <c r="G91" s="525">
        <v>-42</v>
      </c>
      <c r="H91" s="576">
        <v>856</v>
      </c>
      <c r="I91" s="576" t="s">
        <v>1035</v>
      </c>
      <c r="J91" s="444"/>
    </row>
    <row r="92" spans="1:10">
      <c r="A92" s="612">
        <f t="shared" si="1"/>
        <v>87</v>
      </c>
      <c r="B92" s="575">
        <v>42978</v>
      </c>
      <c r="C92" s="576">
        <v>454151</v>
      </c>
      <c r="D92" s="576" t="s">
        <v>769</v>
      </c>
      <c r="E92" s="576" t="s">
        <v>1037</v>
      </c>
      <c r="F92" s="576" t="s">
        <v>908</v>
      </c>
      <c r="G92" s="525">
        <v>-42</v>
      </c>
      <c r="H92" s="576">
        <v>856</v>
      </c>
      <c r="I92" s="576" t="s">
        <v>1035</v>
      </c>
      <c r="J92" s="444"/>
    </row>
    <row r="93" spans="1:10">
      <c r="A93" s="612">
        <f t="shared" si="1"/>
        <v>88</v>
      </c>
      <c r="B93" s="575">
        <v>43008</v>
      </c>
      <c r="C93" s="576">
        <v>454151</v>
      </c>
      <c r="D93" s="576" t="s">
        <v>770</v>
      </c>
      <c r="E93" s="576" t="s">
        <v>1037</v>
      </c>
      <c r="F93" s="576" t="s">
        <v>908</v>
      </c>
      <c r="G93" s="525">
        <v>-41</v>
      </c>
      <c r="H93" s="576">
        <v>856</v>
      </c>
      <c r="I93" s="576" t="s">
        <v>1035</v>
      </c>
      <c r="J93" s="444"/>
    </row>
    <row r="94" spans="1:10">
      <c r="A94" s="612">
        <f t="shared" si="1"/>
        <v>89</v>
      </c>
      <c r="B94" s="575">
        <v>43039</v>
      </c>
      <c r="C94" s="576">
        <v>454151</v>
      </c>
      <c r="D94" s="576" t="s">
        <v>771</v>
      </c>
      <c r="E94" s="576" t="s">
        <v>1037</v>
      </c>
      <c r="F94" s="576" t="s">
        <v>908</v>
      </c>
      <c r="G94" s="525">
        <v>-42</v>
      </c>
      <c r="H94" s="576">
        <v>856</v>
      </c>
      <c r="I94" s="576" t="s">
        <v>1035</v>
      </c>
      <c r="J94" s="444"/>
    </row>
    <row r="95" spans="1:10">
      <c r="A95" s="612">
        <f t="shared" si="1"/>
        <v>90</v>
      </c>
      <c r="B95" s="575">
        <v>43069</v>
      </c>
      <c r="C95" s="576">
        <v>454151</v>
      </c>
      <c r="D95" s="576" t="s">
        <v>772</v>
      </c>
      <c r="E95" s="576" t="s">
        <v>1037</v>
      </c>
      <c r="F95" s="576" t="s">
        <v>908</v>
      </c>
      <c r="G95" s="525">
        <v>-41</v>
      </c>
      <c r="H95" s="576">
        <v>856</v>
      </c>
      <c r="I95" s="576" t="s">
        <v>1035</v>
      </c>
      <c r="J95" s="444"/>
    </row>
    <row r="96" spans="1:10">
      <c r="A96" s="612">
        <f t="shared" si="1"/>
        <v>91</v>
      </c>
      <c r="B96" s="575">
        <v>43100</v>
      </c>
      <c r="C96" s="576">
        <v>454151</v>
      </c>
      <c r="D96" s="576" t="s">
        <v>146</v>
      </c>
      <c r="E96" s="576" t="s">
        <v>1037</v>
      </c>
      <c r="F96" s="576" t="s">
        <v>908</v>
      </c>
      <c r="G96" s="525">
        <v>-42</v>
      </c>
      <c r="H96" s="576">
        <v>856</v>
      </c>
      <c r="I96" s="576" t="s">
        <v>1035</v>
      </c>
      <c r="J96" s="444"/>
    </row>
    <row r="97" spans="1:10">
      <c r="A97" s="612">
        <f t="shared" si="1"/>
        <v>92</v>
      </c>
      <c r="B97" s="575">
        <v>42766</v>
      </c>
      <c r="C97" s="576">
        <v>454151</v>
      </c>
      <c r="D97" s="576" t="s">
        <v>764</v>
      </c>
      <c r="E97" s="576" t="s">
        <v>1008</v>
      </c>
      <c r="F97" s="576" t="s">
        <v>638</v>
      </c>
      <c r="G97" s="525">
        <v>-41.4</v>
      </c>
      <c r="H97" s="576">
        <v>856</v>
      </c>
      <c r="I97" s="576" t="s">
        <v>1035</v>
      </c>
    </row>
    <row r="98" spans="1:10">
      <c r="A98" s="612">
        <f t="shared" si="1"/>
        <v>93</v>
      </c>
      <c r="B98" s="575">
        <v>42794</v>
      </c>
      <c r="C98" s="576">
        <v>454151</v>
      </c>
      <c r="D98" s="576" t="s">
        <v>765</v>
      </c>
      <c r="E98" s="576" t="s">
        <v>1008</v>
      </c>
      <c r="F98" s="576" t="s">
        <v>638</v>
      </c>
      <c r="G98" s="525">
        <v>-41.4</v>
      </c>
      <c r="H98" s="576">
        <v>856</v>
      </c>
      <c r="I98" s="576" t="s">
        <v>1035</v>
      </c>
    </row>
    <row r="99" spans="1:10">
      <c r="A99" s="612">
        <f t="shared" si="1"/>
        <v>94</v>
      </c>
      <c r="B99" s="575">
        <v>42825</v>
      </c>
      <c r="C99" s="576">
        <v>454151</v>
      </c>
      <c r="D99" s="576" t="s">
        <v>13</v>
      </c>
      <c r="E99" s="576" t="s">
        <v>1008</v>
      </c>
      <c r="F99" s="576" t="s">
        <v>638</v>
      </c>
      <c r="G99" s="525">
        <v>-41.4</v>
      </c>
      <c r="H99" s="576">
        <v>856</v>
      </c>
      <c r="I99" s="576" t="s">
        <v>1035</v>
      </c>
    </row>
    <row r="100" spans="1:10">
      <c r="A100" s="612">
        <f t="shared" si="1"/>
        <v>95</v>
      </c>
      <c r="B100" s="575">
        <v>42855</v>
      </c>
      <c r="C100" s="576">
        <v>454151</v>
      </c>
      <c r="D100" s="576" t="s">
        <v>766</v>
      </c>
      <c r="E100" s="576" t="s">
        <v>1008</v>
      </c>
      <c r="F100" s="576" t="s">
        <v>638</v>
      </c>
      <c r="G100" s="525">
        <v>-41.4</v>
      </c>
      <c r="H100" s="576">
        <v>856</v>
      </c>
      <c r="I100" s="576" t="s">
        <v>1035</v>
      </c>
    </row>
    <row r="101" spans="1:10">
      <c r="A101" s="612">
        <f t="shared" si="1"/>
        <v>96</v>
      </c>
      <c r="B101" s="575">
        <v>42886</v>
      </c>
      <c r="C101" s="576">
        <v>454151</v>
      </c>
      <c r="D101" s="576" t="s">
        <v>767</v>
      </c>
      <c r="E101" s="576" t="s">
        <v>1008</v>
      </c>
      <c r="F101" s="576" t="s">
        <v>638</v>
      </c>
      <c r="G101" s="525">
        <v>-41.4</v>
      </c>
      <c r="H101" s="576">
        <v>856</v>
      </c>
      <c r="I101" s="576" t="s">
        <v>1035</v>
      </c>
    </row>
    <row r="102" spans="1:10">
      <c r="A102" s="612">
        <f t="shared" si="1"/>
        <v>97</v>
      </c>
      <c r="B102" s="575">
        <v>42916</v>
      </c>
      <c r="C102" s="576">
        <v>454151</v>
      </c>
      <c r="D102" s="576" t="s">
        <v>768</v>
      </c>
      <c r="E102" s="576" t="s">
        <v>1008</v>
      </c>
      <c r="F102" s="576" t="s">
        <v>638</v>
      </c>
      <c r="G102" s="525">
        <v>-41.4</v>
      </c>
      <c r="H102" s="576">
        <v>856</v>
      </c>
      <c r="I102" s="576" t="s">
        <v>1035</v>
      </c>
    </row>
    <row r="103" spans="1:10">
      <c r="A103" s="612">
        <f t="shared" si="1"/>
        <v>98</v>
      </c>
      <c r="B103" s="575">
        <v>42947</v>
      </c>
      <c r="C103" s="576">
        <v>454151</v>
      </c>
      <c r="D103" s="576" t="s">
        <v>14</v>
      </c>
      <c r="E103" s="576" t="s">
        <v>1008</v>
      </c>
      <c r="F103" s="576" t="s">
        <v>638</v>
      </c>
      <c r="G103" s="525">
        <v>-41.4</v>
      </c>
      <c r="H103" s="576">
        <v>856</v>
      </c>
      <c r="I103" s="576" t="s">
        <v>1035</v>
      </c>
    </row>
    <row r="104" spans="1:10">
      <c r="A104" s="612">
        <f t="shared" si="1"/>
        <v>99</v>
      </c>
      <c r="B104" s="575">
        <v>42978</v>
      </c>
      <c r="C104" s="576">
        <v>454151</v>
      </c>
      <c r="D104" s="576" t="s">
        <v>769</v>
      </c>
      <c r="E104" s="576" t="s">
        <v>1008</v>
      </c>
      <c r="F104" s="576" t="s">
        <v>638</v>
      </c>
      <c r="G104" s="525">
        <v>-41.4</v>
      </c>
      <c r="H104" s="576">
        <v>856</v>
      </c>
      <c r="I104" s="576" t="s">
        <v>1035</v>
      </c>
    </row>
    <row r="105" spans="1:10">
      <c r="A105" s="612">
        <f t="shared" si="1"/>
        <v>100</v>
      </c>
      <c r="B105" s="575">
        <v>43008</v>
      </c>
      <c r="C105" s="576">
        <v>454151</v>
      </c>
      <c r="D105" s="576" t="s">
        <v>770</v>
      </c>
      <c r="E105" s="576" t="s">
        <v>1008</v>
      </c>
      <c r="F105" s="576" t="s">
        <v>638</v>
      </c>
      <c r="G105" s="525">
        <v>-41.39</v>
      </c>
      <c r="H105" s="576">
        <v>856</v>
      </c>
      <c r="I105" s="576" t="s">
        <v>1035</v>
      </c>
    </row>
    <row r="106" spans="1:10">
      <c r="A106" s="612">
        <f t="shared" si="1"/>
        <v>101</v>
      </c>
      <c r="B106" s="575">
        <v>43039</v>
      </c>
      <c r="C106" s="576">
        <v>454151</v>
      </c>
      <c r="D106" s="576" t="s">
        <v>771</v>
      </c>
      <c r="E106" s="576" t="s">
        <v>1008</v>
      </c>
      <c r="F106" s="576" t="s">
        <v>638</v>
      </c>
      <c r="G106" s="525">
        <v>-42.47</v>
      </c>
      <c r="H106" s="576" t="s">
        <v>1333</v>
      </c>
      <c r="I106" s="576" t="s">
        <v>1035</v>
      </c>
    </row>
    <row r="107" spans="1:10">
      <c r="A107" s="612">
        <f t="shared" si="1"/>
        <v>102</v>
      </c>
      <c r="B107" s="575">
        <v>43069</v>
      </c>
      <c r="C107" s="576">
        <v>454151</v>
      </c>
      <c r="D107" s="576" t="s">
        <v>772</v>
      </c>
      <c r="E107" s="576" t="s">
        <v>1008</v>
      </c>
      <c r="F107" s="576" t="s">
        <v>638</v>
      </c>
      <c r="G107" s="525">
        <v>-41.1</v>
      </c>
      <c r="H107" s="576" t="s">
        <v>1333</v>
      </c>
      <c r="I107" s="576" t="s">
        <v>1035</v>
      </c>
    </row>
    <row r="108" spans="1:10">
      <c r="A108" s="612">
        <f t="shared" si="1"/>
        <v>103</v>
      </c>
      <c r="B108" s="577">
        <v>43100</v>
      </c>
      <c r="C108" s="576">
        <v>454151</v>
      </c>
      <c r="D108" s="576" t="s">
        <v>146</v>
      </c>
      <c r="E108" s="576" t="s">
        <v>1008</v>
      </c>
      <c r="F108" s="578" t="s">
        <v>638</v>
      </c>
      <c r="G108" s="579">
        <v>-42.47</v>
      </c>
      <c r="H108" s="576" t="s">
        <v>1333</v>
      </c>
      <c r="I108" s="576" t="s">
        <v>1035</v>
      </c>
    </row>
    <row r="109" spans="1:10">
      <c r="A109" s="612">
        <f t="shared" si="1"/>
        <v>104</v>
      </c>
      <c r="B109" s="575">
        <v>42825</v>
      </c>
      <c r="C109" s="576" t="s">
        <v>1118</v>
      </c>
      <c r="D109" s="576" t="s">
        <v>13</v>
      </c>
      <c r="E109" s="576" t="s">
        <v>1125</v>
      </c>
      <c r="F109" s="576" t="s">
        <v>908</v>
      </c>
      <c r="G109" s="525">
        <v>-175</v>
      </c>
      <c r="H109" s="576">
        <v>856</v>
      </c>
      <c r="I109" s="576" t="s">
        <v>1036</v>
      </c>
      <c r="J109" s="505"/>
    </row>
    <row r="110" spans="1:10">
      <c r="A110" s="612">
        <f t="shared" si="1"/>
        <v>105</v>
      </c>
      <c r="B110" s="575">
        <v>42825</v>
      </c>
      <c r="C110" s="576" t="s">
        <v>1118</v>
      </c>
      <c r="D110" s="576" t="s">
        <v>13</v>
      </c>
      <c r="E110" s="576" t="s">
        <v>1126</v>
      </c>
      <c r="F110" s="576" t="s">
        <v>908</v>
      </c>
      <c r="G110" s="525">
        <v>-100</v>
      </c>
      <c r="H110" s="576">
        <v>856</v>
      </c>
      <c r="I110" s="576" t="s">
        <v>1036</v>
      </c>
      <c r="J110" s="507"/>
    </row>
    <row r="111" spans="1:10">
      <c r="A111" s="612">
        <f t="shared" si="1"/>
        <v>106</v>
      </c>
      <c r="B111" s="575">
        <v>42766</v>
      </c>
      <c r="C111" s="576">
        <v>454151</v>
      </c>
      <c r="D111" s="576" t="s">
        <v>764</v>
      </c>
      <c r="E111" s="576" t="s">
        <v>1127</v>
      </c>
      <c r="F111" s="576" t="s">
        <v>689</v>
      </c>
      <c r="G111" s="525">
        <v>-182.6</v>
      </c>
      <c r="H111" s="576">
        <v>856</v>
      </c>
      <c r="I111" s="576" t="s">
        <v>1035</v>
      </c>
    </row>
    <row r="112" spans="1:10">
      <c r="A112" s="612">
        <f t="shared" si="1"/>
        <v>107</v>
      </c>
      <c r="B112" s="575">
        <v>42794</v>
      </c>
      <c r="C112" s="576">
        <v>454151</v>
      </c>
      <c r="D112" s="576" t="s">
        <v>765</v>
      </c>
      <c r="E112" s="576" t="s">
        <v>1127</v>
      </c>
      <c r="F112" s="576" t="s">
        <v>689</v>
      </c>
      <c r="G112" s="525">
        <v>-164.93</v>
      </c>
      <c r="H112" s="576">
        <v>856</v>
      </c>
      <c r="I112" s="576" t="s">
        <v>1035</v>
      </c>
    </row>
    <row r="113" spans="1:10">
      <c r="A113" s="612">
        <f t="shared" si="1"/>
        <v>108</v>
      </c>
      <c r="B113" s="575">
        <v>42825</v>
      </c>
      <c r="C113" s="576">
        <v>454151</v>
      </c>
      <c r="D113" s="576" t="s">
        <v>13</v>
      </c>
      <c r="E113" s="576" t="s">
        <v>1127</v>
      </c>
      <c r="F113" s="576" t="s">
        <v>689</v>
      </c>
      <c r="G113" s="525">
        <v>-182.6</v>
      </c>
      <c r="H113" s="576">
        <v>856</v>
      </c>
      <c r="I113" s="576" t="s">
        <v>1035</v>
      </c>
    </row>
    <row r="114" spans="1:10">
      <c r="A114" s="612">
        <f t="shared" si="1"/>
        <v>109</v>
      </c>
      <c r="B114" s="575">
        <v>42855</v>
      </c>
      <c r="C114" s="576">
        <v>454151</v>
      </c>
      <c r="D114" s="576" t="s">
        <v>766</v>
      </c>
      <c r="E114" s="576" t="s">
        <v>1127</v>
      </c>
      <c r="F114" s="576" t="s">
        <v>689</v>
      </c>
      <c r="G114" s="525">
        <v>-176.71</v>
      </c>
      <c r="H114" s="576">
        <v>856</v>
      </c>
      <c r="I114" s="576" t="s">
        <v>1035</v>
      </c>
      <c r="J114" s="507"/>
    </row>
    <row r="115" spans="1:10">
      <c r="A115" s="612">
        <f t="shared" si="1"/>
        <v>110</v>
      </c>
      <c r="B115" s="575">
        <v>42886</v>
      </c>
      <c r="C115" s="576">
        <v>454151</v>
      </c>
      <c r="D115" s="576" t="s">
        <v>767</v>
      </c>
      <c r="E115" s="576" t="s">
        <v>1127</v>
      </c>
      <c r="F115" s="576" t="s">
        <v>689</v>
      </c>
      <c r="G115" s="525">
        <v>-182.6</v>
      </c>
      <c r="H115" s="576">
        <v>856</v>
      </c>
      <c r="I115" s="576" t="s">
        <v>1035</v>
      </c>
    </row>
    <row r="116" spans="1:10">
      <c r="A116" s="612">
        <f t="shared" si="1"/>
        <v>111</v>
      </c>
      <c r="B116" s="575">
        <v>42916</v>
      </c>
      <c r="C116" s="576">
        <v>454151</v>
      </c>
      <c r="D116" s="576" t="s">
        <v>768</v>
      </c>
      <c r="E116" s="576" t="s">
        <v>1127</v>
      </c>
      <c r="F116" s="576" t="s">
        <v>689</v>
      </c>
      <c r="G116" s="525">
        <v>-176.71</v>
      </c>
      <c r="H116" s="576">
        <v>856</v>
      </c>
      <c r="I116" s="576" t="s">
        <v>1035</v>
      </c>
    </row>
    <row r="117" spans="1:10">
      <c r="A117" s="612">
        <f t="shared" si="1"/>
        <v>112</v>
      </c>
      <c r="B117" s="575">
        <v>42947</v>
      </c>
      <c r="C117" s="576">
        <v>454151</v>
      </c>
      <c r="D117" s="576" t="s">
        <v>14</v>
      </c>
      <c r="E117" s="576" t="s">
        <v>1127</v>
      </c>
      <c r="F117" s="576" t="s">
        <v>689</v>
      </c>
      <c r="G117" s="525">
        <v>-182.6</v>
      </c>
      <c r="H117" s="576">
        <v>856</v>
      </c>
      <c r="I117" s="576" t="s">
        <v>1035</v>
      </c>
    </row>
    <row r="118" spans="1:10">
      <c r="A118" s="612">
        <f t="shared" si="1"/>
        <v>113</v>
      </c>
      <c r="B118" s="575">
        <v>42978</v>
      </c>
      <c r="C118" s="576">
        <v>454151</v>
      </c>
      <c r="D118" s="576" t="s">
        <v>769</v>
      </c>
      <c r="E118" s="576" t="s">
        <v>1127</v>
      </c>
      <c r="F118" s="576" t="s">
        <v>689</v>
      </c>
      <c r="G118" s="525">
        <v>-182.6</v>
      </c>
      <c r="H118" s="576">
        <v>856</v>
      </c>
      <c r="I118" s="576" t="s">
        <v>1035</v>
      </c>
    </row>
    <row r="119" spans="1:10">
      <c r="A119" s="612">
        <f t="shared" si="1"/>
        <v>114</v>
      </c>
      <c r="B119" s="575">
        <v>43008</v>
      </c>
      <c r="C119" s="576">
        <v>454151</v>
      </c>
      <c r="D119" s="576" t="s">
        <v>770</v>
      </c>
      <c r="E119" s="576" t="s">
        <v>1127</v>
      </c>
      <c r="F119" s="576" t="s">
        <v>689</v>
      </c>
      <c r="G119" s="525">
        <v>-176.71</v>
      </c>
      <c r="H119" s="576">
        <v>856</v>
      </c>
      <c r="I119" s="576" t="s">
        <v>1035</v>
      </c>
    </row>
    <row r="120" spans="1:10">
      <c r="A120" s="612">
        <f t="shared" si="1"/>
        <v>115</v>
      </c>
      <c r="B120" s="575">
        <v>43039</v>
      </c>
      <c r="C120" s="576">
        <v>454151</v>
      </c>
      <c r="D120" s="576" t="s">
        <v>771</v>
      </c>
      <c r="E120" s="576" t="s">
        <v>1127</v>
      </c>
      <c r="F120" s="576" t="s">
        <v>689</v>
      </c>
      <c r="G120" s="525">
        <v>-182.6</v>
      </c>
      <c r="H120" s="576">
        <v>856</v>
      </c>
      <c r="I120" s="576" t="s">
        <v>1035</v>
      </c>
    </row>
    <row r="121" spans="1:10">
      <c r="A121" s="612">
        <f t="shared" si="1"/>
        <v>116</v>
      </c>
      <c r="B121" s="575">
        <v>43069</v>
      </c>
      <c r="C121" s="576">
        <v>454151</v>
      </c>
      <c r="D121" s="576" t="s">
        <v>772</v>
      </c>
      <c r="E121" s="576" t="s">
        <v>1127</v>
      </c>
      <c r="F121" s="576" t="s">
        <v>689</v>
      </c>
      <c r="G121" s="525">
        <v>-176.74</v>
      </c>
      <c r="H121" s="576">
        <v>856</v>
      </c>
      <c r="I121" s="576" t="s">
        <v>1035</v>
      </c>
    </row>
    <row r="122" spans="1:10">
      <c r="A122" s="612">
        <f t="shared" si="1"/>
        <v>117</v>
      </c>
      <c r="B122" s="575">
        <v>43090</v>
      </c>
      <c r="C122" s="576">
        <v>454151</v>
      </c>
      <c r="D122" s="576" t="s">
        <v>146</v>
      </c>
      <c r="E122" s="576" t="s">
        <v>1127</v>
      </c>
      <c r="F122" s="576" t="s">
        <v>689</v>
      </c>
      <c r="G122" s="525">
        <v>-129.59</v>
      </c>
      <c r="H122" s="576" t="s">
        <v>1333</v>
      </c>
      <c r="I122" s="576" t="s">
        <v>1035</v>
      </c>
    </row>
    <row r="123" spans="1:10">
      <c r="A123" s="612">
        <f t="shared" si="1"/>
        <v>118</v>
      </c>
      <c r="B123" s="575">
        <v>43039</v>
      </c>
      <c r="C123" s="576">
        <v>454151</v>
      </c>
      <c r="D123" s="576" t="s">
        <v>771</v>
      </c>
      <c r="E123" s="576" t="s">
        <v>1335</v>
      </c>
      <c r="F123" s="576" t="s">
        <v>689</v>
      </c>
      <c r="G123" s="525">
        <v>-1139.1500000000001</v>
      </c>
      <c r="H123" s="576">
        <v>856</v>
      </c>
      <c r="I123" s="576" t="s">
        <v>1035</v>
      </c>
    </row>
    <row r="124" spans="1:10">
      <c r="A124" s="612">
        <f t="shared" si="1"/>
        <v>119</v>
      </c>
      <c r="B124" s="575">
        <v>43039</v>
      </c>
      <c r="C124" s="576">
        <v>454151</v>
      </c>
      <c r="D124" s="576" t="s">
        <v>771</v>
      </c>
      <c r="E124" s="576" t="s">
        <v>1335</v>
      </c>
      <c r="F124" s="576" t="s">
        <v>689</v>
      </c>
      <c r="G124" s="525">
        <v>-1139.1500000000001</v>
      </c>
      <c r="H124" s="576">
        <v>856</v>
      </c>
      <c r="I124" s="576" t="s">
        <v>1093</v>
      </c>
    </row>
    <row r="125" spans="1:10">
      <c r="A125" s="612">
        <f t="shared" si="1"/>
        <v>120</v>
      </c>
      <c r="B125" s="575">
        <v>43069</v>
      </c>
      <c r="C125" s="576">
        <v>454151</v>
      </c>
      <c r="D125" s="576" t="s">
        <v>772</v>
      </c>
      <c r="E125" s="576" t="s">
        <v>1335</v>
      </c>
      <c r="F125" s="576" t="s">
        <v>689</v>
      </c>
      <c r="G125" s="525">
        <v>-1139.1500000000001</v>
      </c>
      <c r="H125" s="576">
        <v>856</v>
      </c>
      <c r="I125" s="576" t="s">
        <v>1035</v>
      </c>
    </row>
    <row r="126" spans="1:10">
      <c r="A126" s="612">
        <f t="shared" si="1"/>
        <v>121</v>
      </c>
      <c r="B126" s="575">
        <v>43100</v>
      </c>
      <c r="C126" s="576">
        <v>454151</v>
      </c>
      <c r="D126" s="576" t="s">
        <v>146</v>
      </c>
      <c r="E126" s="576" t="s">
        <v>1335</v>
      </c>
      <c r="F126" s="576" t="s">
        <v>689</v>
      </c>
      <c r="G126" s="525">
        <v>-1139.1500000000001</v>
      </c>
      <c r="H126" s="576">
        <v>856</v>
      </c>
      <c r="I126" s="576" t="s">
        <v>1035</v>
      </c>
    </row>
    <row r="127" spans="1:10">
      <c r="A127" s="612">
        <f t="shared" si="1"/>
        <v>122</v>
      </c>
      <c r="B127" s="575">
        <v>43008</v>
      </c>
      <c r="C127" s="576" t="s">
        <v>1118</v>
      </c>
      <c r="D127" s="576" t="s">
        <v>770</v>
      </c>
      <c r="E127" s="576" t="s">
        <v>1128</v>
      </c>
      <c r="F127" s="576" t="s">
        <v>908</v>
      </c>
      <c r="G127" s="525">
        <v>-100</v>
      </c>
      <c r="H127" s="576" t="s">
        <v>1333</v>
      </c>
      <c r="I127" s="576" t="s">
        <v>1036</v>
      </c>
    </row>
    <row r="128" spans="1:10">
      <c r="A128" s="612">
        <f t="shared" si="1"/>
        <v>123</v>
      </c>
      <c r="B128" s="575">
        <v>42766</v>
      </c>
      <c r="C128" s="576">
        <v>454151</v>
      </c>
      <c r="D128" s="576" t="s">
        <v>764</v>
      </c>
      <c r="E128" s="576" t="s">
        <v>1129</v>
      </c>
      <c r="F128" s="576" t="s">
        <v>638</v>
      </c>
      <c r="G128" s="525">
        <v>-49.54</v>
      </c>
      <c r="H128" s="576">
        <v>856</v>
      </c>
      <c r="I128" s="576" t="s">
        <v>1035</v>
      </c>
    </row>
    <row r="129" spans="1:10">
      <c r="A129" s="612">
        <f t="shared" si="1"/>
        <v>124</v>
      </c>
      <c r="B129" s="575">
        <v>42794</v>
      </c>
      <c r="C129" s="576">
        <v>454151</v>
      </c>
      <c r="D129" s="576" t="s">
        <v>765</v>
      </c>
      <c r="E129" s="576" t="s">
        <v>1129</v>
      </c>
      <c r="F129" s="576" t="s">
        <v>638</v>
      </c>
      <c r="G129" s="525">
        <v>-44.74</v>
      </c>
      <c r="H129" s="576">
        <v>856</v>
      </c>
      <c r="I129" s="576" t="s">
        <v>1035</v>
      </c>
    </row>
    <row r="130" spans="1:10">
      <c r="A130" s="612">
        <f t="shared" si="1"/>
        <v>125</v>
      </c>
      <c r="B130" s="575">
        <v>42825</v>
      </c>
      <c r="C130" s="576">
        <v>454151</v>
      </c>
      <c r="D130" s="576" t="s">
        <v>13</v>
      </c>
      <c r="E130" s="576" t="s">
        <v>1129</v>
      </c>
      <c r="F130" s="576" t="s">
        <v>638</v>
      </c>
      <c r="G130" s="525">
        <v>-14</v>
      </c>
      <c r="H130" s="576">
        <v>856</v>
      </c>
      <c r="I130" s="576" t="s">
        <v>1035</v>
      </c>
    </row>
    <row r="131" spans="1:10">
      <c r="A131" s="612">
        <f t="shared" si="1"/>
        <v>126</v>
      </c>
      <c r="B131" s="575">
        <v>42855</v>
      </c>
      <c r="C131" s="576">
        <v>454151</v>
      </c>
      <c r="D131" s="576" t="s">
        <v>766</v>
      </c>
      <c r="E131" s="576" t="s">
        <v>1129</v>
      </c>
      <c r="F131" s="576" t="s">
        <v>638</v>
      </c>
      <c r="G131" s="525">
        <v>-41</v>
      </c>
      <c r="H131" s="576">
        <v>856</v>
      </c>
      <c r="I131" s="576" t="s">
        <v>1035</v>
      </c>
    </row>
    <row r="132" spans="1:10">
      <c r="A132" s="612">
        <f t="shared" si="1"/>
        <v>127</v>
      </c>
      <c r="B132" s="575">
        <v>42886</v>
      </c>
      <c r="C132" s="576">
        <v>454151</v>
      </c>
      <c r="D132" s="576" t="s">
        <v>767</v>
      </c>
      <c r="E132" s="576" t="s">
        <v>1129</v>
      </c>
      <c r="F132" s="576" t="s">
        <v>638</v>
      </c>
      <c r="G132" s="525">
        <v>-42</v>
      </c>
      <c r="H132" s="576">
        <v>856</v>
      </c>
      <c r="I132" s="576" t="s">
        <v>1035</v>
      </c>
    </row>
    <row r="133" spans="1:10">
      <c r="A133" s="612">
        <f t="shared" si="1"/>
        <v>128</v>
      </c>
      <c r="B133" s="575">
        <v>42916</v>
      </c>
      <c r="C133" s="576">
        <v>454151</v>
      </c>
      <c r="D133" s="576" t="s">
        <v>768</v>
      </c>
      <c r="E133" s="576" t="s">
        <v>1129</v>
      </c>
      <c r="F133" s="576" t="s">
        <v>638</v>
      </c>
      <c r="G133" s="525">
        <v>-41</v>
      </c>
      <c r="H133" s="576">
        <v>856</v>
      </c>
      <c r="I133" s="576" t="s">
        <v>1035</v>
      </c>
      <c r="J133" s="505"/>
    </row>
    <row r="134" spans="1:10">
      <c r="A134" s="612">
        <f t="shared" si="1"/>
        <v>129</v>
      </c>
      <c r="B134" s="575">
        <v>42947</v>
      </c>
      <c r="C134" s="576">
        <v>454151</v>
      </c>
      <c r="D134" s="576" t="s">
        <v>14</v>
      </c>
      <c r="E134" s="576" t="s">
        <v>1129</v>
      </c>
      <c r="F134" s="576" t="s">
        <v>638</v>
      </c>
      <c r="G134" s="525">
        <v>-42</v>
      </c>
      <c r="H134" s="576">
        <v>856</v>
      </c>
      <c r="I134" s="576" t="s">
        <v>1035</v>
      </c>
      <c r="J134" s="505"/>
    </row>
    <row r="135" spans="1:10">
      <c r="A135" s="612">
        <f t="shared" si="1"/>
        <v>130</v>
      </c>
      <c r="B135" s="575">
        <v>42978</v>
      </c>
      <c r="C135" s="576">
        <v>454151</v>
      </c>
      <c r="D135" s="576" t="s">
        <v>769</v>
      </c>
      <c r="E135" s="576" t="s">
        <v>1129</v>
      </c>
      <c r="F135" s="576" t="s">
        <v>638</v>
      </c>
      <c r="G135" s="525">
        <v>-42</v>
      </c>
      <c r="H135" s="576">
        <v>856</v>
      </c>
      <c r="I135" s="576" t="s">
        <v>1035</v>
      </c>
    </row>
    <row r="136" spans="1:10">
      <c r="A136" s="612">
        <f t="shared" ref="A136:A199" si="2">A135+1</f>
        <v>131</v>
      </c>
      <c r="B136" s="575">
        <v>43008</v>
      </c>
      <c r="C136" s="576">
        <v>454151</v>
      </c>
      <c r="D136" s="576" t="s">
        <v>770</v>
      </c>
      <c r="E136" s="576" t="s">
        <v>1129</v>
      </c>
      <c r="F136" s="576" t="s">
        <v>638</v>
      </c>
      <c r="G136" s="525">
        <v>-41</v>
      </c>
      <c r="H136" s="576">
        <v>856</v>
      </c>
      <c r="I136" s="576" t="s">
        <v>1035</v>
      </c>
    </row>
    <row r="137" spans="1:10">
      <c r="A137" s="612">
        <f t="shared" si="2"/>
        <v>132</v>
      </c>
      <c r="B137" s="575">
        <v>43039</v>
      </c>
      <c r="C137" s="576">
        <v>454151</v>
      </c>
      <c r="D137" s="576" t="s">
        <v>771</v>
      </c>
      <c r="E137" s="576" t="s">
        <v>1129</v>
      </c>
      <c r="F137" s="576" t="s">
        <v>638</v>
      </c>
      <c r="G137" s="525">
        <v>-42</v>
      </c>
      <c r="H137" s="576">
        <v>856</v>
      </c>
      <c r="I137" s="576" t="s">
        <v>1035</v>
      </c>
    </row>
    <row r="138" spans="1:10">
      <c r="A138" s="612">
        <f t="shared" si="2"/>
        <v>133</v>
      </c>
      <c r="B138" s="575">
        <v>43069</v>
      </c>
      <c r="C138" s="576">
        <v>454151</v>
      </c>
      <c r="D138" s="576" t="s">
        <v>772</v>
      </c>
      <c r="E138" s="576" t="s">
        <v>1129</v>
      </c>
      <c r="F138" s="576" t="s">
        <v>638</v>
      </c>
      <c r="G138" s="525">
        <v>-41</v>
      </c>
      <c r="H138" s="576">
        <v>856</v>
      </c>
      <c r="I138" s="576" t="s">
        <v>1035</v>
      </c>
    </row>
    <row r="139" spans="1:10">
      <c r="A139" s="612">
        <f t="shared" si="2"/>
        <v>134</v>
      </c>
      <c r="B139" s="575">
        <v>43100</v>
      </c>
      <c r="C139" s="576">
        <v>454151</v>
      </c>
      <c r="D139" s="576" t="s">
        <v>146</v>
      </c>
      <c r="E139" s="576" t="s">
        <v>1129</v>
      </c>
      <c r="F139" s="576" t="s">
        <v>638</v>
      </c>
      <c r="G139" s="525">
        <v>-42</v>
      </c>
      <c r="H139" s="576">
        <v>856</v>
      </c>
      <c r="I139" s="576" t="s">
        <v>1035</v>
      </c>
    </row>
    <row r="140" spans="1:10">
      <c r="A140" s="612">
        <f t="shared" si="2"/>
        <v>135</v>
      </c>
      <c r="B140" s="575">
        <v>42766</v>
      </c>
      <c r="C140" s="576" t="s">
        <v>1118</v>
      </c>
      <c r="D140" s="576" t="s">
        <v>764</v>
      </c>
      <c r="E140" s="576" t="s">
        <v>1005</v>
      </c>
      <c r="F140" s="576" t="s">
        <v>638</v>
      </c>
      <c r="G140" s="525">
        <v>-41.08</v>
      </c>
      <c r="H140" s="576">
        <v>856</v>
      </c>
      <c r="I140" s="576" t="s">
        <v>1035</v>
      </c>
    </row>
    <row r="141" spans="1:10">
      <c r="A141" s="612">
        <f t="shared" si="2"/>
        <v>136</v>
      </c>
      <c r="B141" s="575">
        <v>42794</v>
      </c>
      <c r="C141" s="576" t="s">
        <v>1118</v>
      </c>
      <c r="D141" s="576" t="s">
        <v>765</v>
      </c>
      <c r="E141" s="576" t="s">
        <v>1005</v>
      </c>
      <c r="F141" s="576" t="s">
        <v>638</v>
      </c>
      <c r="G141" s="525">
        <v>-41.08</v>
      </c>
      <c r="H141" s="576">
        <v>856</v>
      </c>
      <c r="I141" s="576" t="s">
        <v>1035</v>
      </c>
      <c r="J141" s="507"/>
    </row>
    <row r="142" spans="1:10">
      <c r="A142" s="612">
        <f t="shared" si="2"/>
        <v>137</v>
      </c>
      <c r="B142" s="575">
        <v>42825</v>
      </c>
      <c r="C142" s="576" t="s">
        <v>1118</v>
      </c>
      <c r="D142" s="576" t="s">
        <v>13</v>
      </c>
      <c r="E142" s="576" t="s">
        <v>1005</v>
      </c>
      <c r="F142" s="576" t="s">
        <v>638</v>
      </c>
      <c r="G142" s="525">
        <v>-41.089999999999996</v>
      </c>
      <c r="H142" s="576">
        <v>856</v>
      </c>
      <c r="I142" s="576" t="s">
        <v>1035</v>
      </c>
    </row>
    <row r="143" spans="1:10">
      <c r="A143" s="612">
        <f t="shared" si="2"/>
        <v>138</v>
      </c>
      <c r="B143" s="575">
        <v>42886</v>
      </c>
      <c r="C143" s="576" t="s">
        <v>1118</v>
      </c>
      <c r="D143" s="576" t="s">
        <v>767</v>
      </c>
      <c r="E143" s="576" t="s">
        <v>1005</v>
      </c>
      <c r="F143" s="576" t="s">
        <v>638</v>
      </c>
      <c r="G143" s="525">
        <v>500</v>
      </c>
      <c r="H143" s="576">
        <v>856</v>
      </c>
      <c r="I143" s="576" t="s">
        <v>1336</v>
      </c>
    </row>
    <row r="144" spans="1:10">
      <c r="A144" s="612">
        <f t="shared" si="2"/>
        <v>139</v>
      </c>
      <c r="B144" s="575">
        <v>42766</v>
      </c>
      <c r="C144" s="576">
        <v>454151</v>
      </c>
      <c r="D144" s="576" t="s">
        <v>764</v>
      </c>
      <c r="E144" s="576" t="s">
        <v>1130</v>
      </c>
      <c r="F144" s="576" t="s">
        <v>908</v>
      </c>
      <c r="G144" s="525">
        <v>-100</v>
      </c>
      <c r="H144" s="576">
        <v>856</v>
      </c>
      <c r="I144" s="576" t="s">
        <v>1036</v>
      </c>
    </row>
    <row r="145" spans="1:10">
      <c r="A145" s="612">
        <f t="shared" si="2"/>
        <v>140</v>
      </c>
      <c r="B145" s="575">
        <v>42766</v>
      </c>
      <c r="C145" s="576">
        <v>454151</v>
      </c>
      <c r="D145" s="576" t="s">
        <v>764</v>
      </c>
      <c r="E145" s="576" t="s">
        <v>1131</v>
      </c>
      <c r="F145" s="576" t="s">
        <v>689</v>
      </c>
      <c r="G145" s="525">
        <v>-146.1</v>
      </c>
      <c r="H145" s="576">
        <v>856</v>
      </c>
      <c r="I145" s="576" t="s">
        <v>1035</v>
      </c>
    </row>
    <row r="146" spans="1:10">
      <c r="A146" s="612">
        <f t="shared" si="2"/>
        <v>141</v>
      </c>
      <c r="B146" s="575">
        <v>42794</v>
      </c>
      <c r="C146" s="576">
        <v>454151</v>
      </c>
      <c r="D146" s="576" t="s">
        <v>765</v>
      </c>
      <c r="E146" s="576" t="s">
        <v>1131</v>
      </c>
      <c r="F146" s="576" t="s">
        <v>689</v>
      </c>
      <c r="G146" s="525">
        <v>-131.96</v>
      </c>
      <c r="H146" s="576">
        <v>856</v>
      </c>
      <c r="I146" s="576" t="s">
        <v>1035</v>
      </c>
      <c r="J146" s="507"/>
    </row>
    <row r="147" spans="1:10">
      <c r="A147" s="612">
        <f t="shared" si="2"/>
        <v>142</v>
      </c>
      <c r="B147" s="575">
        <v>42825</v>
      </c>
      <c r="C147" s="576">
        <v>454151</v>
      </c>
      <c r="D147" s="576" t="s">
        <v>13</v>
      </c>
      <c r="E147" s="576" t="s">
        <v>1131</v>
      </c>
      <c r="F147" s="576" t="s">
        <v>689</v>
      </c>
      <c r="G147" s="525">
        <v>-146.1</v>
      </c>
      <c r="H147" s="576">
        <v>856</v>
      </c>
      <c r="I147" s="576" t="s">
        <v>1035</v>
      </c>
    </row>
    <row r="148" spans="1:10">
      <c r="A148" s="612">
        <f t="shared" si="2"/>
        <v>143</v>
      </c>
      <c r="B148" s="575">
        <v>42855</v>
      </c>
      <c r="C148" s="576">
        <v>454151</v>
      </c>
      <c r="D148" s="576" t="s">
        <v>766</v>
      </c>
      <c r="E148" s="576" t="s">
        <v>1131</v>
      </c>
      <c r="F148" s="576" t="s">
        <v>689</v>
      </c>
      <c r="G148" s="525">
        <v>-141.38</v>
      </c>
      <c r="H148" s="576">
        <v>856</v>
      </c>
      <c r="I148" s="576" t="s">
        <v>1035</v>
      </c>
    </row>
    <row r="149" spans="1:10">
      <c r="A149" s="612">
        <f t="shared" si="2"/>
        <v>144</v>
      </c>
      <c r="B149" s="575">
        <v>42886</v>
      </c>
      <c r="C149" s="576">
        <v>454151</v>
      </c>
      <c r="D149" s="576" t="s">
        <v>767</v>
      </c>
      <c r="E149" s="576" t="s">
        <v>1131</v>
      </c>
      <c r="F149" s="576" t="s">
        <v>689</v>
      </c>
      <c r="G149" s="525">
        <v>-146.1</v>
      </c>
      <c r="H149" s="576">
        <v>856</v>
      </c>
      <c r="I149" s="576" t="s">
        <v>1035</v>
      </c>
    </row>
    <row r="150" spans="1:10">
      <c r="A150" s="612">
        <f t="shared" si="2"/>
        <v>145</v>
      </c>
      <c r="B150" s="575">
        <v>42886</v>
      </c>
      <c r="C150" s="576">
        <v>454151</v>
      </c>
      <c r="D150" s="576" t="s">
        <v>767</v>
      </c>
      <c r="E150" s="576" t="s">
        <v>1131</v>
      </c>
      <c r="F150" s="576" t="s">
        <v>689</v>
      </c>
      <c r="G150" s="525">
        <v>24.82</v>
      </c>
      <c r="H150" s="576">
        <v>856</v>
      </c>
      <c r="I150" s="576" t="s">
        <v>1093</v>
      </c>
    </row>
    <row r="151" spans="1:10">
      <c r="A151" s="612">
        <f t="shared" si="2"/>
        <v>146</v>
      </c>
      <c r="B151" s="575">
        <v>42916</v>
      </c>
      <c r="C151" s="576">
        <v>454151</v>
      </c>
      <c r="D151" s="576" t="s">
        <v>768</v>
      </c>
      <c r="E151" s="576" t="s">
        <v>1131</v>
      </c>
      <c r="F151" s="576" t="s">
        <v>689</v>
      </c>
      <c r="G151" s="525">
        <v>-141.38</v>
      </c>
      <c r="H151" s="576">
        <v>856</v>
      </c>
      <c r="I151" s="576" t="s">
        <v>1035</v>
      </c>
    </row>
    <row r="152" spans="1:10">
      <c r="A152" s="612">
        <f t="shared" si="2"/>
        <v>147</v>
      </c>
      <c r="B152" s="575">
        <v>42947</v>
      </c>
      <c r="C152" s="576">
        <v>454151</v>
      </c>
      <c r="D152" s="576" t="s">
        <v>14</v>
      </c>
      <c r="E152" s="576" t="s">
        <v>1131</v>
      </c>
      <c r="F152" s="576" t="s">
        <v>689</v>
      </c>
      <c r="G152" s="525">
        <v>-146.1</v>
      </c>
      <c r="H152" s="576">
        <v>856</v>
      </c>
      <c r="I152" s="576" t="s">
        <v>1035</v>
      </c>
    </row>
    <row r="153" spans="1:10">
      <c r="A153" s="612">
        <f t="shared" si="2"/>
        <v>148</v>
      </c>
      <c r="B153" s="575">
        <v>42978</v>
      </c>
      <c r="C153" s="576">
        <v>454151</v>
      </c>
      <c r="D153" s="576" t="s">
        <v>769</v>
      </c>
      <c r="E153" s="576" t="s">
        <v>1131</v>
      </c>
      <c r="F153" s="576" t="s">
        <v>689</v>
      </c>
      <c r="G153" s="525">
        <v>-146.1</v>
      </c>
      <c r="H153" s="576">
        <v>856</v>
      </c>
      <c r="I153" s="576" t="s">
        <v>1035</v>
      </c>
    </row>
    <row r="154" spans="1:10">
      <c r="A154" s="612">
        <f t="shared" si="2"/>
        <v>149</v>
      </c>
      <c r="B154" s="575">
        <v>43008</v>
      </c>
      <c r="C154" s="576">
        <v>454151</v>
      </c>
      <c r="D154" s="576" t="s">
        <v>770</v>
      </c>
      <c r="E154" s="576" t="s">
        <v>1131</v>
      </c>
      <c r="F154" s="576" t="s">
        <v>689</v>
      </c>
      <c r="G154" s="525">
        <v>-141.38</v>
      </c>
      <c r="H154" s="576">
        <v>856</v>
      </c>
      <c r="I154" s="576" t="s">
        <v>1035</v>
      </c>
    </row>
    <row r="155" spans="1:10">
      <c r="A155" s="612">
        <f t="shared" si="2"/>
        <v>150</v>
      </c>
      <c r="B155" s="575">
        <v>43039</v>
      </c>
      <c r="C155" s="576">
        <v>454151</v>
      </c>
      <c r="D155" s="576" t="s">
        <v>771</v>
      </c>
      <c r="E155" s="576" t="s">
        <v>1131</v>
      </c>
      <c r="F155" s="576" t="s">
        <v>689</v>
      </c>
      <c r="G155" s="525">
        <v>-146.07999999999998</v>
      </c>
      <c r="H155" s="576">
        <v>856</v>
      </c>
      <c r="I155" s="576" t="s">
        <v>1035</v>
      </c>
    </row>
    <row r="156" spans="1:10">
      <c r="A156" s="612">
        <f t="shared" si="2"/>
        <v>151</v>
      </c>
      <c r="B156" s="575">
        <v>43100</v>
      </c>
      <c r="C156" s="576">
        <v>454151</v>
      </c>
      <c r="D156" s="576" t="s">
        <v>146</v>
      </c>
      <c r="E156" s="576" t="s">
        <v>1131</v>
      </c>
      <c r="F156" s="576" t="s">
        <v>689</v>
      </c>
      <c r="G156" s="525">
        <v>-300</v>
      </c>
      <c r="H156" s="576" t="s">
        <v>1333</v>
      </c>
      <c r="I156" s="576" t="s">
        <v>1035</v>
      </c>
    </row>
    <row r="157" spans="1:10">
      <c r="A157" s="612">
        <f t="shared" si="2"/>
        <v>152</v>
      </c>
      <c r="B157" s="575">
        <v>42766</v>
      </c>
      <c r="C157" s="576">
        <v>454151</v>
      </c>
      <c r="D157" s="576" t="s">
        <v>764</v>
      </c>
      <c r="E157" s="576" t="s">
        <v>1132</v>
      </c>
      <c r="F157" s="576" t="s">
        <v>689</v>
      </c>
      <c r="G157" s="525">
        <v>-148.35</v>
      </c>
      <c r="H157" s="576">
        <v>856</v>
      </c>
      <c r="I157" s="576" t="s">
        <v>1035</v>
      </c>
    </row>
    <row r="158" spans="1:10">
      <c r="A158" s="612">
        <f t="shared" si="2"/>
        <v>153</v>
      </c>
      <c r="B158" s="575">
        <v>42794</v>
      </c>
      <c r="C158" s="576">
        <v>454151</v>
      </c>
      <c r="D158" s="576" t="s">
        <v>765</v>
      </c>
      <c r="E158" s="576" t="s">
        <v>1132</v>
      </c>
      <c r="F158" s="576" t="s">
        <v>689</v>
      </c>
      <c r="G158" s="525">
        <v>-133.99</v>
      </c>
      <c r="H158" s="576">
        <v>856</v>
      </c>
      <c r="I158" s="576" t="s">
        <v>1035</v>
      </c>
    </row>
    <row r="159" spans="1:10">
      <c r="A159" s="612">
        <f t="shared" si="2"/>
        <v>154</v>
      </c>
      <c r="B159" s="575">
        <v>42825</v>
      </c>
      <c r="C159" s="576">
        <v>454151</v>
      </c>
      <c r="D159" s="576" t="s">
        <v>13</v>
      </c>
      <c r="E159" s="576" t="s">
        <v>1132</v>
      </c>
      <c r="F159" s="576" t="s">
        <v>689</v>
      </c>
      <c r="G159" s="525">
        <v>-148.35</v>
      </c>
      <c r="H159" s="576">
        <v>856</v>
      </c>
      <c r="I159" s="576" t="s">
        <v>1035</v>
      </c>
    </row>
    <row r="160" spans="1:10">
      <c r="A160" s="612">
        <f t="shared" si="2"/>
        <v>155</v>
      </c>
      <c r="B160" s="575">
        <v>42855</v>
      </c>
      <c r="C160" s="576">
        <v>454151</v>
      </c>
      <c r="D160" s="576" t="s">
        <v>766</v>
      </c>
      <c r="E160" s="576" t="s">
        <v>1132</v>
      </c>
      <c r="F160" s="576" t="s">
        <v>689</v>
      </c>
      <c r="G160" s="525">
        <v>-143.56</v>
      </c>
      <c r="H160" s="576">
        <v>856</v>
      </c>
      <c r="I160" s="576" t="s">
        <v>1035</v>
      </c>
    </row>
    <row r="161" spans="1:10">
      <c r="A161" s="612">
        <f t="shared" si="2"/>
        <v>156</v>
      </c>
      <c r="B161" s="575">
        <v>42886</v>
      </c>
      <c r="C161" s="576">
        <v>454151</v>
      </c>
      <c r="D161" s="576" t="s">
        <v>767</v>
      </c>
      <c r="E161" s="576" t="s">
        <v>1132</v>
      </c>
      <c r="F161" s="576" t="s">
        <v>689</v>
      </c>
      <c r="G161" s="525">
        <v>-148.35</v>
      </c>
      <c r="H161" s="576">
        <v>856</v>
      </c>
      <c r="I161" s="576" t="s">
        <v>1035</v>
      </c>
    </row>
    <row r="162" spans="1:10">
      <c r="A162" s="612">
        <f t="shared" si="2"/>
        <v>157</v>
      </c>
      <c r="B162" s="575">
        <v>42886</v>
      </c>
      <c r="C162" s="576">
        <v>454151</v>
      </c>
      <c r="D162" s="576" t="s">
        <v>767</v>
      </c>
      <c r="E162" s="576" t="s">
        <v>1132</v>
      </c>
      <c r="F162" s="576" t="s">
        <v>689</v>
      </c>
      <c r="G162" s="525">
        <v>25.2</v>
      </c>
      <c r="H162" s="576">
        <v>856</v>
      </c>
      <c r="I162" s="576" t="s">
        <v>1093</v>
      </c>
    </row>
    <row r="163" spans="1:10">
      <c r="A163" s="612">
        <f t="shared" si="2"/>
        <v>158</v>
      </c>
      <c r="B163" s="575">
        <v>42916</v>
      </c>
      <c r="C163" s="576">
        <v>454151</v>
      </c>
      <c r="D163" s="576" t="s">
        <v>768</v>
      </c>
      <c r="E163" s="576" t="s">
        <v>1132</v>
      </c>
      <c r="F163" s="576" t="s">
        <v>689</v>
      </c>
      <c r="G163" s="525">
        <v>-143.56</v>
      </c>
      <c r="H163" s="576">
        <v>856</v>
      </c>
      <c r="I163" s="576" t="s">
        <v>1035</v>
      </c>
    </row>
    <row r="164" spans="1:10">
      <c r="A164" s="612">
        <f t="shared" si="2"/>
        <v>159</v>
      </c>
      <c r="B164" s="575">
        <v>42947</v>
      </c>
      <c r="C164" s="576">
        <v>454151</v>
      </c>
      <c r="D164" s="576" t="s">
        <v>14</v>
      </c>
      <c r="E164" s="576" t="s">
        <v>1132</v>
      </c>
      <c r="F164" s="576" t="s">
        <v>689</v>
      </c>
      <c r="G164" s="525">
        <v>-148.35</v>
      </c>
      <c r="H164" s="576">
        <v>856</v>
      </c>
      <c r="I164" s="576" t="s">
        <v>1035</v>
      </c>
    </row>
    <row r="165" spans="1:10">
      <c r="A165" s="612">
        <f t="shared" si="2"/>
        <v>160</v>
      </c>
      <c r="B165" s="575">
        <v>42978</v>
      </c>
      <c r="C165" s="576">
        <v>454151</v>
      </c>
      <c r="D165" s="576" t="s">
        <v>769</v>
      </c>
      <c r="E165" s="576" t="s">
        <v>1132</v>
      </c>
      <c r="F165" s="576" t="s">
        <v>689</v>
      </c>
      <c r="G165" s="525">
        <v>-148.35</v>
      </c>
      <c r="H165" s="576">
        <v>856</v>
      </c>
      <c r="I165" s="576" t="s">
        <v>1035</v>
      </c>
    </row>
    <row r="166" spans="1:10">
      <c r="A166" s="612">
        <f t="shared" si="2"/>
        <v>161</v>
      </c>
      <c r="B166" s="575">
        <v>43008</v>
      </c>
      <c r="C166" s="576">
        <v>454151</v>
      </c>
      <c r="D166" s="576" t="s">
        <v>770</v>
      </c>
      <c r="E166" s="576" t="s">
        <v>1132</v>
      </c>
      <c r="F166" s="576" t="s">
        <v>689</v>
      </c>
      <c r="G166" s="525">
        <v>-143.56</v>
      </c>
      <c r="H166" s="576">
        <v>856</v>
      </c>
      <c r="I166" s="576" t="s">
        <v>1035</v>
      </c>
    </row>
    <row r="167" spans="1:10">
      <c r="A167" s="612">
        <f t="shared" si="2"/>
        <v>162</v>
      </c>
      <c r="B167" s="575">
        <v>43039</v>
      </c>
      <c r="C167" s="576">
        <v>454151</v>
      </c>
      <c r="D167" s="576" t="s">
        <v>771</v>
      </c>
      <c r="E167" s="576" t="s">
        <v>1132</v>
      </c>
      <c r="F167" s="576" t="s">
        <v>689</v>
      </c>
      <c r="G167" s="525">
        <v>-148.32</v>
      </c>
      <c r="H167" s="576">
        <v>856</v>
      </c>
      <c r="I167" s="576" t="s">
        <v>1035</v>
      </c>
    </row>
    <row r="168" spans="1:10">
      <c r="A168" s="612">
        <f t="shared" si="2"/>
        <v>163</v>
      </c>
      <c r="B168" s="575">
        <v>43100</v>
      </c>
      <c r="C168" s="576">
        <v>454151</v>
      </c>
      <c r="D168" s="576" t="s">
        <v>146</v>
      </c>
      <c r="E168" s="576" t="s">
        <v>1132</v>
      </c>
      <c r="F168" s="576" t="s">
        <v>689</v>
      </c>
      <c r="G168" s="525">
        <v>-300</v>
      </c>
      <c r="H168" s="576" t="s">
        <v>1333</v>
      </c>
      <c r="I168" s="576" t="s">
        <v>1035</v>
      </c>
      <c r="J168" s="507"/>
    </row>
    <row r="169" spans="1:10">
      <c r="A169" s="612">
        <f t="shared" si="2"/>
        <v>164</v>
      </c>
      <c r="B169" s="575">
        <v>42766</v>
      </c>
      <c r="C169" s="576">
        <v>454151</v>
      </c>
      <c r="D169" s="576" t="s">
        <v>764</v>
      </c>
      <c r="E169" s="576" t="s">
        <v>1133</v>
      </c>
      <c r="F169" s="576" t="s">
        <v>689</v>
      </c>
      <c r="G169" s="525">
        <v>-255.11</v>
      </c>
      <c r="H169" s="576">
        <v>856</v>
      </c>
      <c r="I169" s="576" t="s">
        <v>1035</v>
      </c>
    </row>
    <row r="170" spans="1:10">
      <c r="A170" s="612">
        <f t="shared" si="2"/>
        <v>165</v>
      </c>
      <c r="B170" s="575">
        <v>42794</v>
      </c>
      <c r="C170" s="576">
        <v>454151</v>
      </c>
      <c r="D170" s="576" t="s">
        <v>765</v>
      </c>
      <c r="E170" s="576" t="s">
        <v>1133</v>
      </c>
      <c r="F170" s="576" t="s">
        <v>689</v>
      </c>
      <c r="G170" s="525">
        <v>-255.11</v>
      </c>
      <c r="H170" s="576">
        <v>856</v>
      </c>
      <c r="I170" s="576" t="s">
        <v>1035</v>
      </c>
    </row>
    <row r="171" spans="1:10">
      <c r="A171" s="612">
        <f t="shared" si="2"/>
        <v>166</v>
      </c>
      <c r="B171" s="575">
        <v>42825</v>
      </c>
      <c r="C171" s="576">
        <v>454151</v>
      </c>
      <c r="D171" s="576" t="s">
        <v>13</v>
      </c>
      <c r="E171" s="576" t="s">
        <v>1133</v>
      </c>
      <c r="F171" s="576" t="s">
        <v>689</v>
      </c>
      <c r="G171" s="525">
        <v>-255.10000000000002</v>
      </c>
      <c r="H171" s="576">
        <v>856</v>
      </c>
      <c r="I171" s="576" t="s">
        <v>1035</v>
      </c>
    </row>
    <row r="172" spans="1:10">
      <c r="A172" s="612">
        <f t="shared" si="2"/>
        <v>167</v>
      </c>
      <c r="B172" s="575">
        <v>42855</v>
      </c>
      <c r="C172" s="576">
        <v>454151</v>
      </c>
      <c r="D172" s="576" t="s">
        <v>766</v>
      </c>
      <c r="E172" s="576" t="s">
        <v>1133</v>
      </c>
      <c r="F172" s="576" t="s">
        <v>689</v>
      </c>
      <c r="G172" s="525">
        <v>-96</v>
      </c>
      <c r="H172" s="576">
        <v>856</v>
      </c>
      <c r="I172" s="576" t="s">
        <v>1035</v>
      </c>
    </row>
    <row r="173" spans="1:10">
      <c r="A173" s="612">
        <f t="shared" si="2"/>
        <v>168</v>
      </c>
      <c r="B173" s="575">
        <v>42886</v>
      </c>
      <c r="C173" s="576">
        <v>454151</v>
      </c>
      <c r="D173" s="576" t="s">
        <v>767</v>
      </c>
      <c r="E173" s="576" t="s">
        <v>1133</v>
      </c>
      <c r="F173" s="576" t="s">
        <v>689</v>
      </c>
      <c r="G173" s="525">
        <v>-228</v>
      </c>
      <c r="H173" s="576">
        <v>856</v>
      </c>
      <c r="I173" s="576" t="s">
        <v>1035</v>
      </c>
    </row>
    <row r="174" spans="1:10">
      <c r="A174" s="612">
        <f t="shared" si="2"/>
        <v>169</v>
      </c>
      <c r="B174" s="575">
        <v>42916</v>
      </c>
      <c r="C174" s="576">
        <v>454151</v>
      </c>
      <c r="D174" s="576" t="s">
        <v>768</v>
      </c>
      <c r="E174" s="576" t="s">
        <v>1133</v>
      </c>
      <c r="F174" s="576" t="s">
        <v>689</v>
      </c>
      <c r="G174" s="525">
        <v>-221</v>
      </c>
      <c r="H174" s="576">
        <v>856</v>
      </c>
      <c r="I174" s="576" t="s">
        <v>1035</v>
      </c>
    </row>
    <row r="175" spans="1:10">
      <c r="A175" s="612">
        <f t="shared" si="2"/>
        <v>170</v>
      </c>
      <c r="B175" s="575">
        <v>42947</v>
      </c>
      <c r="C175" s="576">
        <v>454151</v>
      </c>
      <c r="D175" s="576" t="s">
        <v>14</v>
      </c>
      <c r="E175" s="576" t="s">
        <v>1133</v>
      </c>
      <c r="F175" s="576" t="s">
        <v>689</v>
      </c>
      <c r="G175" s="525">
        <v>-228</v>
      </c>
      <c r="H175" s="576">
        <v>856</v>
      </c>
      <c r="I175" s="576" t="s">
        <v>1035</v>
      </c>
    </row>
    <row r="176" spans="1:10">
      <c r="A176" s="612">
        <f t="shared" si="2"/>
        <v>171</v>
      </c>
      <c r="B176" s="575">
        <v>42978</v>
      </c>
      <c r="C176" s="576">
        <v>454151</v>
      </c>
      <c r="D176" s="576" t="s">
        <v>769</v>
      </c>
      <c r="E176" s="576" t="s">
        <v>1133</v>
      </c>
      <c r="F176" s="576" t="s">
        <v>689</v>
      </c>
      <c r="G176" s="525">
        <v>-228</v>
      </c>
      <c r="H176" s="576">
        <v>856</v>
      </c>
      <c r="I176" s="576" t="s">
        <v>1035</v>
      </c>
    </row>
    <row r="177" spans="1:10">
      <c r="A177" s="612">
        <f t="shared" si="2"/>
        <v>172</v>
      </c>
      <c r="B177" s="575">
        <v>43008</v>
      </c>
      <c r="C177" s="576">
        <v>454151</v>
      </c>
      <c r="D177" s="576" t="s">
        <v>770</v>
      </c>
      <c r="E177" s="576" t="s">
        <v>1133</v>
      </c>
      <c r="F177" s="576" t="s">
        <v>689</v>
      </c>
      <c r="G177" s="525">
        <v>-221</v>
      </c>
      <c r="H177" s="576">
        <v>856</v>
      </c>
      <c r="I177" s="576" t="s">
        <v>1035</v>
      </c>
    </row>
    <row r="178" spans="1:10">
      <c r="A178" s="612">
        <f t="shared" si="2"/>
        <v>173</v>
      </c>
      <c r="B178" s="575">
        <v>43039</v>
      </c>
      <c r="C178" s="576">
        <v>454151</v>
      </c>
      <c r="D178" s="576" t="s">
        <v>771</v>
      </c>
      <c r="E178" s="576" t="s">
        <v>1133</v>
      </c>
      <c r="F178" s="576" t="s">
        <v>689</v>
      </c>
      <c r="G178" s="525">
        <v>-228</v>
      </c>
      <c r="H178" s="576">
        <v>856</v>
      </c>
      <c r="I178" s="576" t="s">
        <v>1035</v>
      </c>
    </row>
    <row r="179" spans="1:10">
      <c r="A179" s="612">
        <f t="shared" si="2"/>
        <v>174</v>
      </c>
      <c r="B179" s="575">
        <v>43069</v>
      </c>
      <c r="C179" s="576">
        <v>454151</v>
      </c>
      <c r="D179" s="576" t="s">
        <v>772</v>
      </c>
      <c r="E179" s="576" t="s">
        <v>1133</v>
      </c>
      <c r="F179" s="576" t="s">
        <v>689</v>
      </c>
      <c r="G179" s="525">
        <v>-221</v>
      </c>
      <c r="H179" s="576">
        <v>856</v>
      </c>
      <c r="I179" s="576" t="s">
        <v>1035</v>
      </c>
    </row>
    <row r="180" spans="1:10">
      <c r="A180" s="612">
        <f t="shared" si="2"/>
        <v>175</v>
      </c>
      <c r="B180" s="575">
        <v>43100</v>
      </c>
      <c r="C180" s="576">
        <v>454151</v>
      </c>
      <c r="D180" s="576" t="s">
        <v>146</v>
      </c>
      <c r="E180" s="576" t="s">
        <v>1133</v>
      </c>
      <c r="F180" s="576" t="s">
        <v>689</v>
      </c>
      <c r="G180" s="525">
        <v>-228</v>
      </c>
      <c r="H180" s="576">
        <v>856</v>
      </c>
      <c r="I180" s="576" t="s">
        <v>1035</v>
      </c>
    </row>
    <row r="181" spans="1:10">
      <c r="A181" s="612">
        <f t="shared" si="2"/>
        <v>176</v>
      </c>
      <c r="B181" s="575">
        <v>42766</v>
      </c>
      <c r="C181" s="576">
        <v>454151</v>
      </c>
      <c r="D181" s="576" t="s">
        <v>764</v>
      </c>
      <c r="E181" s="576" t="s">
        <v>1134</v>
      </c>
      <c r="F181" s="576" t="s">
        <v>689</v>
      </c>
      <c r="G181" s="525">
        <v>-136.09</v>
      </c>
      <c r="H181" s="576">
        <v>856</v>
      </c>
      <c r="I181" s="576" t="s">
        <v>1035</v>
      </c>
    </row>
    <row r="182" spans="1:10">
      <c r="A182" s="612">
        <f t="shared" si="2"/>
        <v>177</v>
      </c>
      <c r="B182" s="575">
        <v>42794</v>
      </c>
      <c r="C182" s="576">
        <v>454151</v>
      </c>
      <c r="D182" s="576" t="s">
        <v>765</v>
      </c>
      <c r="E182" s="576" t="s">
        <v>1134</v>
      </c>
      <c r="F182" s="576" t="s">
        <v>689</v>
      </c>
      <c r="G182" s="525">
        <v>-122.92</v>
      </c>
      <c r="H182" s="576">
        <v>856</v>
      </c>
      <c r="I182" s="576" t="s">
        <v>1035</v>
      </c>
      <c r="J182" s="505"/>
    </row>
    <row r="183" spans="1:10">
      <c r="A183" s="612">
        <f t="shared" si="2"/>
        <v>178</v>
      </c>
      <c r="B183" s="575">
        <v>42825</v>
      </c>
      <c r="C183" s="576">
        <v>454151</v>
      </c>
      <c r="D183" s="576" t="s">
        <v>13</v>
      </c>
      <c r="E183" s="576" t="s">
        <v>1134</v>
      </c>
      <c r="F183" s="576" t="s">
        <v>689</v>
      </c>
      <c r="G183" s="525">
        <v>-136.09</v>
      </c>
      <c r="H183" s="576">
        <v>856</v>
      </c>
      <c r="I183" s="576" t="s">
        <v>1035</v>
      </c>
    </row>
    <row r="184" spans="1:10">
      <c r="A184" s="612">
        <f t="shared" si="2"/>
        <v>179</v>
      </c>
      <c r="B184" s="575">
        <v>42855</v>
      </c>
      <c r="C184" s="576">
        <v>454151</v>
      </c>
      <c r="D184" s="576" t="s">
        <v>766</v>
      </c>
      <c r="E184" s="576" t="s">
        <v>1134</v>
      </c>
      <c r="F184" s="576" t="s">
        <v>689</v>
      </c>
      <c r="G184" s="525">
        <v>-131.69999999999999</v>
      </c>
      <c r="H184" s="576">
        <v>856</v>
      </c>
      <c r="I184" s="576" t="s">
        <v>1035</v>
      </c>
    </row>
    <row r="185" spans="1:10">
      <c r="A185" s="612">
        <f t="shared" si="2"/>
        <v>180</v>
      </c>
      <c r="B185" s="575">
        <v>42886</v>
      </c>
      <c r="C185" s="576">
        <v>454151</v>
      </c>
      <c r="D185" s="576" t="s">
        <v>767</v>
      </c>
      <c r="E185" s="576" t="s">
        <v>1134</v>
      </c>
      <c r="F185" s="576" t="s">
        <v>689</v>
      </c>
      <c r="G185" s="525">
        <v>-136.09</v>
      </c>
      <c r="H185" s="576">
        <v>856</v>
      </c>
      <c r="I185" s="576" t="s">
        <v>1035</v>
      </c>
    </row>
    <row r="186" spans="1:10">
      <c r="A186" s="612">
        <f t="shared" si="2"/>
        <v>181</v>
      </c>
      <c r="B186" s="575">
        <v>42886</v>
      </c>
      <c r="C186" s="576">
        <v>454151</v>
      </c>
      <c r="D186" s="576" t="s">
        <v>767</v>
      </c>
      <c r="E186" s="576" t="s">
        <v>1134</v>
      </c>
      <c r="F186" s="576" t="s">
        <v>689</v>
      </c>
      <c r="G186" s="525">
        <v>46.66</v>
      </c>
      <c r="H186" s="576">
        <v>856</v>
      </c>
      <c r="I186" s="576" t="s">
        <v>1093</v>
      </c>
    </row>
    <row r="187" spans="1:10">
      <c r="A187" s="612">
        <f t="shared" si="2"/>
        <v>182</v>
      </c>
      <c r="B187" s="575">
        <v>42916</v>
      </c>
      <c r="C187" s="576">
        <v>454151</v>
      </c>
      <c r="D187" s="576" t="s">
        <v>768</v>
      </c>
      <c r="E187" s="576" t="s">
        <v>1134</v>
      </c>
      <c r="F187" s="576" t="s">
        <v>689</v>
      </c>
      <c r="G187" s="525">
        <v>-131.69999999999999</v>
      </c>
      <c r="H187" s="576">
        <v>856</v>
      </c>
      <c r="I187" s="576" t="s">
        <v>1035</v>
      </c>
    </row>
    <row r="188" spans="1:10">
      <c r="A188" s="612">
        <f t="shared" si="2"/>
        <v>183</v>
      </c>
      <c r="B188" s="575">
        <v>42947</v>
      </c>
      <c r="C188" s="576">
        <v>454151</v>
      </c>
      <c r="D188" s="576" t="s">
        <v>14</v>
      </c>
      <c r="E188" s="576" t="s">
        <v>1134</v>
      </c>
      <c r="F188" s="576" t="s">
        <v>689</v>
      </c>
      <c r="G188" s="525">
        <v>-136.09</v>
      </c>
      <c r="H188" s="576">
        <v>856</v>
      </c>
      <c r="I188" s="576" t="s">
        <v>1035</v>
      </c>
    </row>
    <row r="189" spans="1:10">
      <c r="A189" s="612">
        <f t="shared" si="2"/>
        <v>184</v>
      </c>
      <c r="B189" s="575">
        <v>42978</v>
      </c>
      <c r="C189" s="576">
        <v>454151</v>
      </c>
      <c r="D189" s="576" t="s">
        <v>769</v>
      </c>
      <c r="E189" s="576" t="s">
        <v>1134</v>
      </c>
      <c r="F189" s="576" t="s">
        <v>689</v>
      </c>
      <c r="G189" s="525">
        <v>-136.09</v>
      </c>
      <c r="H189" s="576">
        <v>856</v>
      </c>
      <c r="I189" s="576" t="s">
        <v>1035</v>
      </c>
    </row>
    <row r="190" spans="1:10">
      <c r="A190" s="612">
        <f t="shared" si="2"/>
        <v>185</v>
      </c>
      <c r="B190" s="575">
        <v>43008</v>
      </c>
      <c r="C190" s="576">
        <v>454151</v>
      </c>
      <c r="D190" s="576" t="s">
        <v>770</v>
      </c>
      <c r="E190" s="576" t="s">
        <v>1134</v>
      </c>
      <c r="F190" s="576" t="s">
        <v>689</v>
      </c>
      <c r="G190" s="525">
        <v>-131.69999999999999</v>
      </c>
      <c r="H190" s="576">
        <v>856</v>
      </c>
      <c r="I190" s="576" t="s">
        <v>1035</v>
      </c>
    </row>
    <row r="191" spans="1:10">
      <c r="A191" s="612">
        <f t="shared" si="2"/>
        <v>186</v>
      </c>
      <c r="B191" s="575">
        <v>43039</v>
      </c>
      <c r="C191" s="576">
        <v>454151</v>
      </c>
      <c r="D191" s="576" t="s">
        <v>771</v>
      </c>
      <c r="E191" s="576" t="s">
        <v>1134</v>
      </c>
      <c r="F191" s="576" t="s">
        <v>689</v>
      </c>
      <c r="G191" s="525">
        <v>-136.09</v>
      </c>
      <c r="H191" s="576">
        <v>856</v>
      </c>
      <c r="I191" s="576" t="s">
        <v>1035</v>
      </c>
    </row>
    <row r="192" spans="1:10">
      <c r="A192" s="612">
        <f t="shared" si="2"/>
        <v>187</v>
      </c>
      <c r="B192" s="575">
        <v>43069</v>
      </c>
      <c r="C192" s="576">
        <v>454151</v>
      </c>
      <c r="D192" s="576" t="s">
        <v>772</v>
      </c>
      <c r="E192" s="576" t="s">
        <v>1134</v>
      </c>
      <c r="F192" s="576" t="s">
        <v>689</v>
      </c>
      <c r="G192" s="525">
        <v>-131.69999999999999</v>
      </c>
      <c r="H192" s="576">
        <v>856</v>
      </c>
      <c r="I192" s="576" t="s">
        <v>1035</v>
      </c>
    </row>
    <row r="193" spans="1:10">
      <c r="A193" s="612">
        <f t="shared" si="2"/>
        <v>188</v>
      </c>
      <c r="B193" s="575">
        <v>43069</v>
      </c>
      <c r="C193" s="576">
        <v>454151</v>
      </c>
      <c r="D193" s="576" t="s">
        <v>772</v>
      </c>
      <c r="E193" s="576" t="s">
        <v>1134</v>
      </c>
      <c r="F193" s="576" t="s">
        <v>689</v>
      </c>
      <c r="G193" s="525">
        <v>-46.47</v>
      </c>
      <c r="H193" s="576">
        <v>856</v>
      </c>
      <c r="I193" s="576" t="s">
        <v>1093</v>
      </c>
    </row>
    <row r="194" spans="1:10">
      <c r="A194" s="612">
        <f t="shared" si="2"/>
        <v>189</v>
      </c>
      <c r="B194" s="575">
        <v>43100</v>
      </c>
      <c r="C194" s="576">
        <v>454151</v>
      </c>
      <c r="D194" s="576" t="s">
        <v>146</v>
      </c>
      <c r="E194" s="576" t="s">
        <v>1134</v>
      </c>
      <c r="F194" s="576" t="s">
        <v>689</v>
      </c>
      <c r="G194" s="525">
        <v>-136.05000000000001</v>
      </c>
      <c r="H194" s="576">
        <v>856</v>
      </c>
      <c r="I194" s="576" t="s">
        <v>1035</v>
      </c>
      <c r="J194" s="444"/>
    </row>
    <row r="195" spans="1:10">
      <c r="A195" s="612">
        <f t="shared" si="2"/>
        <v>190</v>
      </c>
      <c r="B195" s="575">
        <v>42766</v>
      </c>
      <c r="C195" s="576">
        <v>454151</v>
      </c>
      <c r="D195" s="576" t="s">
        <v>764</v>
      </c>
      <c r="E195" s="576" t="s">
        <v>1094</v>
      </c>
      <c r="F195" s="576" t="s">
        <v>638</v>
      </c>
      <c r="G195" s="525">
        <v>-42.46</v>
      </c>
      <c r="H195" s="576">
        <v>856</v>
      </c>
      <c r="I195" s="576" t="s">
        <v>1035</v>
      </c>
      <c r="J195" s="444"/>
    </row>
    <row r="196" spans="1:10">
      <c r="A196" s="612">
        <f t="shared" si="2"/>
        <v>191</v>
      </c>
      <c r="B196" s="575">
        <v>42794</v>
      </c>
      <c r="C196" s="576">
        <v>454151</v>
      </c>
      <c r="D196" s="576" t="s">
        <v>765</v>
      </c>
      <c r="E196" s="576" t="s">
        <v>1094</v>
      </c>
      <c r="F196" s="576" t="s">
        <v>638</v>
      </c>
      <c r="G196" s="525">
        <v>-38.35</v>
      </c>
      <c r="H196" s="576">
        <v>856</v>
      </c>
      <c r="I196" s="576" t="s">
        <v>1035</v>
      </c>
      <c r="J196" s="444"/>
    </row>
    <row r="197" spans="1:10">
      <c r="A197" s="612">
        <f t="shared" si="2"/>
        <v>192</v>
      </c>
      <c r="B197" s="575">
        <v>42825</v>
      </c>
      <c r="C197" s="576">
        <v>454151</v>
      </c>
      <c r="D197" s="576" t="s">
        <v>13</v>
      </c>
      <c r="E197" s="576" t="s">
        <v>1094</v>
      </c>
      <c r="F197" s="576" t="s">
        <v>638</v>
      </c>
      <c r="G197" s="525">
        <v>-42.46</v>
      </c>
      <c r="H197" s="576">
        <v>856</v>
      </c>
      <c r="I197" s="576" t="s">
        <v>1035</v>
      </c>
      <c r="J197" s="444"/>
    </row>
    <row r="198" spans="1:10">
      <c r="A198" s="612">
        <f t="shared" si="2"/>
        <v>193</v>
      </c>
      <c r="B198" s="575">
        <v>42855</v>
      </c>
      <c r="C198" s="576">
        <v>454151</v>
      </c>
      <c r="D198" s="576" t="s">
        <v>766</v>
      </c>
      <c r="E198" s="576" t="s">
        <v>1094</v>
      </c>
      <c r="F198" s="576" t="s">
        <v>638</v>
      </c>
      <c r="G198" s="525">
        <v>-41.09</v>
      </c>
      <c r="H198" s="576">
        <v>856</v>
      </c>
      <c r="I198" s="576" t="s">
        <v>1035</v>
      </c>
      <c r="J198" s="444"/>
    </row>
    <row r="199" spans="1:10">
      <c r="A199" s="612">
        <f t="shared" si="2"/>
        <v>194</v>
      </c>
      <c r="B199" s="575">
        <v>42886</v>
      </c>
      <c r="C199" s="576">
        <v>454151</v>
      </c>
      <c r="D199" s="576" t="s">
        <v>767</v>
      </c>
      <c r="E199" s="576" t="s">
        <v>1094</v>
      </c>
      <c r="F199" s="576" t="s">
        <v>638</v>
      </c>
      <c r="G199" s="525">
        <v>-42.46</v>
      </c>
      <c r="H199" s="576">
        <v>856</v>
      </c>
      <c r="I199" s="576" t="s">
        <v>1035</v>
      </c>
      <c r="J199" s="444"/>
    </row>
    <row r="200" spans="1:10">
      <c r="A200" s="612">
        <f t="shared" ref="A200:A278" si="3">A199+1</f>
        <v>195</v>
      </c>
      <c r="B200" s="575">
        <v>42916</v>
      </c>
      <c r="C200" s="576">
        <v>454151</v>
      </c>
      <c r="D200" s="576" t="s">
        <v>768</v>
      </c>
      <c r="E200" s="576" t="s">
        <v>1094</v>
      </c>
      <c r="F200" s="576" t="s">
        <v>638</v>
      </c>
      <c r="G200" s="525">
        <v>-41</v>
      </c>
      <c r="H200" s="576">
        <v>856</v>
      </c>
      <c r="I200" s="576" t="s">
        <v>1035</v>
      </c>
      <c r="J200" s="444"/>
    </row>
    <row r="201" spans="1:10">
      <c r="A201" s="612">
        <f t="shared" si="3"/>
        <v>196</v>
      </c>
      <c r="B201" s="575">
        <v>42947</v>
      </c>
      <c r="C201" s="576">
        <v>454151</v>
      </c>
      <c r="D201" s="576" t="s">
        <v>14</v>
      </c>
      <c r="E201" s="576" t="s">
        <v>1094</v>
      </c>
      <c r="F201" s="576" t="s">
        <v>638</v>
      </c>
      <c r="G201" s="525">
        <v>-42</v>
      </c>
      <c r="H201" s="576">
        <v>856</v>
      </c>
      <c r="I201" s="576" t="s">
        <v>1035</v>
      </c>
      <c r="J201" s="444"/>
    </row>
    <row r="202" spans="1:10">
      <c r="A202" s="612">
        <f t="shared" si="3"/>
        <v>197</v>
      </c>
      <c r="B202" s="575">
        <v>42978</v>
      </c>
      <c r="C202" s="576">
        <v>454151</v>
      </c>
      <c r="D202" s="576" t="s">
        <v>769</v>
      </c>
      <c r="E202" s="576" t="s">
        <v>1094</v>
      </c>
      <c r="F202" s="576" t="s">
        <v>638</v>
      </c>
      <c r="G202" s="525">
        <v>-42</v>
      </c>
      <c r="H202" s="576">
        <v>856</v>
      </c>
      <c r="I202" s="576" t="s">
        <v>1035</v>
      </c>
      <c r="J202" s="444"/>
    </row>
    <row r="203" spans="1:10">
      <c r="A203" s="612">
        <f t="shared" si="3"/>
        <v>198</v>
      </c>
      <c r="B203" s="575">
        <v>43008</v>
      </c>
      <c r="C203" s="576">
        <v>454151</v>
      </c>
      <c r="D203" s="576" t="s">
        <v>770</v>
      </c>
      <c r="E203" s="576" t="s">
        <v>1094</v>
      </c>
      <c r="F203" s="576" t="s">
        <v>638</v>
      </c>
      <c r="G203" s="525">
        <v>-41</v>
      </c>
      <c r="H203" s="576">
        <v>856</v>
      </c>
      <c r="I203" s="576" t="s">
        <v>1035</v>
      </c>
      <c r="J203" s="444"/>
    </row>
    <row r="204" spans="1:10">
      <c r="A204" s="612">
        <f t="shared" si="3"/>
        <v>199</v>
      </c>
      <c r="B204" s="575">
        <v>43039</v>
      </c>
      <c r="C204" s="576">
        <v>454151</v>
      </c>
      <c r="D204" s="576" t="s">
        <v>771</v>
      </c>
      <c r="E204" s="576" t="s">
        <v>1094</v>
      </c>
      <c r="F204" s="576" t="s">
        <v>638</v>
      </c>
      <c r="G204" s="525">
        <v>-42</v>
      </c>
      <c r="H204" s="576">
        <v>856</v>
      </c>
      <c r="I204" s="576" t="s">
        <v>1035</v>
      </c>
      <c r="J204" s="444"/>
    </row>
    <row r="205" spans="1:10">
      <c r="A205" s="612">
        <f t="shared" si="3"/>
        <v>200</v>
      </c>
      <c r="B205" s="575">
        <v>43069</v>
      </c>
      <c r="C205" s="576">
        <v>454151</v>
      </c>
      <c r="D205" s="576" t="s">
        <v>772</v>
      </c>
      <c r="E205" s="576" t="s">
        <v>1094</v>
      </c>
      <c r="F205" s="576" t="s">
        <v>638</v>
      </c>
      <c r="G205" s="525">
        <v>-41</v>
      </c>
      <c r="H205" s="576">
        <v>856</v>
      </c>
      <c r="I205" s="576" t="s">
        <v>1035</v>
      </c>
      <c r="J205" s="444"/>
    </row>
    <row r="206" spans="1:10">
      <c r="A206" s="612">
        <f t="shared" si="3"/>
        <v>201</v>
      </c>
      <c r="B206" s="575">
        <v>43100</v>
      </c>
      <c r="C206" s="576">
        <v>454151</v>
      </c>
      <c r="D206" s="576" t="s">
        <v>146</v>
      </c>
      <c r="E206" s="576" t="s">
        <v>1094</v>
      </c>
      <c r="F206" s="576" t="s">
        <v>638</v>
      </c>
      <c r="G206" s="525">
        <v>-42</v>
      </c>
      <c r="H206" s="576">
        <v>856</v>
      </c>
      <c r="I206" s="576" t="s">
        <v>1035</v>
      </c>
      <c r="J206" s="444"/>
    </row>
    <row r="207" spans="1:10">
      <c r="A207" s="612">
        <f t="shared" si="3"/>
        <v>202</v>
      </c>
      <c r="B207" s="575">
        <v>42978</v>
      </c>
      <c r="C207" s="576">
        <v>454151</v>
      </c>
      <c r="D207" s="576" t="s">
        <v>769</v>
      </c>
      <c r="E207" s="576" t="s">
        <v>1337</v>
      </c>
      <c r="F207" s="576" t="s">
        <v>689</v>
      </c>
      <c r="G207" s="525">
        <v>-780.65</v>
      </c>
      <c r="H207" s="576">
        <v>856</v>
      </c>
      <c r="I207" s="576" t="s">
        <v>1035</v>
      </c>
      <c r="J207" s="444"/>
    </row>
    <row r="208" spans="1:10">
      <c r="A208" s="612">
        <f t="shared" si="3"/>
        <v>203</v>
      </c>
      <c r="B208" s="575">
        <v>43008</v>
      </c>
      <c r="C208" s="576">
        <v>454151</v>
      </c>
      <c r="D208" s="576" t="s">
        <v>770</v>
      </c>
      <c r="E208" s="576" t="s">
        <v>1337</v>
      </c>
      <c r="F208" s="576" t="s">
        <v>689</v>
      </c>
      <c r="G208" s="525">
        <v>-780.65</v>
      </c>
      <c r="H208" s="576">
        <v>856</v>
      </c>
      <c r="I208" s="576" t="s">
        <v>1035</v>
      </c>
      <c r="J208" s="444"/>
    </row>
    <row r="209" spans="1:11">
      <c r="A209" s="612">
        <f t="shared" si="3"/>
        <v>204</v>
      </c>
      <c r="B209" s="575">
        <v>43008</v>
      </c>
      <c r="C209" s="576">
        <v>454151</v>
      </c>
      <c r="D209" s="576" t="s">
        <v>770</v>
      </c>
      <c r="E209" s="576" t="s">
        <v>1337</v>
      </c>
      <c r="F209" s="576" t="s">
        <v>689</v>
      </c>
      <c r="G209" s="525">
        <v>-1100</v>
      </c>
      <c r="H209" s="576">
        <v>856</v>
      </c>
      <c r="I209" s="576" t="s">
        <v>1035</v>
      </c>
      <c r="J209" s="444"/>
    </row>
    <row r="210" spans="1:11">
      <c r="A210" s="612">
        <f t="shared" si="3"/>
        <v>205</v>
      </c>
      <c r="B210" s="575">
        <v>43039</v>
      </c>
      <c r="C210" s="576">
        <v>454151</v>
      </c>
      <c r="D210" s="576" t="s">
        <v>771</v>
      </c>
      <c r="E210" s="576" t="s">
        <v>1337</v>
      </c>
      <c r="F210" s="576" t="s">
        <v>689</v>
      </c>
      <c r="G210" s="525">
        <v>-1100</v>
      </c>
      <c r="H210" s="576">
        <v>856</v>
      </c>
      <c r="I210" s="576" t="s">
        <v>1035</v>
      </c>
      <c r="J210" s="444"/>
    </row>
    <row r="211" spans="1:11">
      <c r="A211" s="612">
        <f t="shared" si="3"/>
        <v>206</v>
      </c>
      <c r="B211" s="575">
        <v>43069</v>
      </c>
      <c r="C211" s="576">
        <v>454151</v>
      </c>
      <c r="D211" s="576" t="s">
        <v>772</v>
      </c>
      <c r="E211" s="576" t="s">
        <v>1337</v>
      </c>
      <c r="F211" s="576" t="s">
        <v>689</v>
      </c>
      <c r="G211" s="525">
        <v>-1100</v>
      </c>
      <c r="H211" s="576">
        <v>856</v>
      </c>
      <c r="I211" s="576" t="s">
        <v>1035</v>
      </c>
      <c r="J211" s="444"/>
    </row>
    <row r="212" spans="1:11">
      <c r="A212" s="612">
        <f t="shared" si="3"/>
        <v>207</v>
      </c>
      <c r="B212" s="575">
        <v>43100</v>
      </c>
      <c r="C212" s="576">
        <v>454151</v>
      </c>
      <c r="D212" s="576" t="s">
        <v>772</v>
      </c>
      <c r="E212" s="576" t="s">
        <v>1337</v>
      </c>
      <c r="F212" s="576" t="s">
        <v>689</v>
      </c>
      <c r="G212" s="525">
        <v>-1100</v>
      </c>
      <c r="H212" s="576">
        <v>856</v>
      </c>
      <c r="I212" s="576" t="s">
        <v>1035</v>
      </c>
      <c r="J212" s="444"/>
    </row>
    <row r="213" spans="1:11">
      <c r="A213" s="612">
        <f t="shared" si="3"/>
        <v>208</v>
      </c>
      <c r="B213" s="575">
        <v>42886</v>
      </c>
      <c r="C213" s="576">
        <v>454151</v>
      </c>
      <c r="D213" s="576" t="s">
        <v>767</v>
      </c>
      <c r="E213" s="576" t="s">
        <v>1338</v>
      </c>
      <c r="F213" s="576" t="s">
        <v>908</v>
      </c>
      <c r="G213" s="525">
        <v>-621</v>
      </c>
      <c r="H213" s="576">
        <v>856</v>
      </c>
      <c r="I213" s="576" t="s">
        <v>1035</v>
      </c>
      <c r="J213" s="444"/>
    </row>
    <row r="214" spans="1:11">
      <c r="A214" s="612">
        <f t="shared" si="3"/>
        <v>209</v>
      </c>
      <c r="B214" s="575">
        <v>42916</v>
      </c>
      <c r="C214" s="576">
        <v>454151</v>
      </c>
      <c r="D214" s="576" t="s">
        <v>768</v>
      </c>
      <c r="E214" s="576" t="s">
        <v>1338</v>
      </c>
      <c r="F214" s="576" t="s">
        <v>908</v>
      </c>
      <c r="G214" s="525">
        <v>-621</v>
      </c>
      <c r="H214" s="576">
        <v>856</v>
      </c>
      <c r="I214" s="576" t="s">
        <v>1035</v>
      </c>
      <c r="J214" s="444"/>
    </row>
    <row r="215" spans="1:11">
      <c r="A215" s="612">
        <f t="shared" si="3"/>
        <v>210</v>
      </c>
      <c r="B215" s="575">
        <v>42947</v>
      </c>
      <c r="C215" s="576">
        <v>454151</v>
      </c>
      <c r="D215" s="576" t="s">
        <v>14</v>
      </c>
      <c r="E215" s="576" t="s">
        <v>1338</v>
      </c>
      <c r="F215" s="576" t="s">
        <v>908</v>
      </c>
      <c r="G215" s="525">
        <v>-621</v>
      </c>
      <c r="H215" s="576">
        <v>856</v>
      </c>
      <c r="I215" s="576" t="s">
        <v>1035</v>
      </c>
      <c r="J215" s="444"/>
    </row>
    <row r="216" spans="1:11">
      <c r="A216" s="612">
        <f t="shared" si="3"/>
        <v>211</v>
      </c>
      <c r="B216" s="575">
        <v>42978</v>
      </c>
      <c r="C216" s="576">
        <v>454151</v>
      </c>
      <c r="D216" s="576" t="s">
        <v>14</v>
      </c>
      <c r="E216" s="576" t="s">
        <v>1338</v>
      </c>
      <c r="F216" s="576" t="s">
        <v>908</v>
      </c>
      <c r="G216" s="525">
        <v>-621</v>
      </c>
      <c r="H216" s="576">
        <v>856</v>
      </c>
      <c r="I216" s="576" t="s">
        <v>1035</v>
      </c>
      <c r="J216" s="444"/>
    </row>
    <row r="217" spans="1:11">
      <c r="A217" s="612">
        <f t="shared" si="3"/>
        <v>212</v>
      </c>
      <c r="B217" s="575">
        <v>43008</v>
      </c>
      <c r="C217" s="576">
        <v>454151</v>
      </c>
      <c r="D217" s="576" t="s">
        <v>14</v>
      </c>
      <c r="E217" s="576" t="s">
        <v>1338</v>
      </c>
      <c r="F217" s="576" t="s">
        <v>908</v>
      </c>
      <c r="G217" s="525">
        <v>-621</v>
      </c>
      <c r="H217" s="576">
        <v>856</v>
      </c>
      <c r="I217" s="576" t="s">
        <v>1035</v>
      </c>
      <c r="J217" s="444"/>
      <c r="K217" s="444"/>
    </row>
    <row r="218" spans="1:11">
      <c r="A218" s="612">
        <f t="shared" si="3"/>
        <v>213</v>
      </c>
      <c r="B218" s="575">
        <v>43039</v>
      </c>
      <c r="C218" s="576">
        <v>454151</v>
      </c>
      <c r="D218" s="576" t="s">
        <v>771</v>
      </c>
      <c r="E218" s="576" t="s">
        <v>1338</v>
      </c>
      <c r="F218" s="576" t="s">
        <v>908</v>
      </c>
      <c r="G218" s="525">
        <v>-621</v>
      </c>
      <c r="H218" s="576">
        <v>856</v>
      </c>
      <c r="I218" s="576" t="s">
        <v>1035</v>
      </c>
      <c r="J218" s="444"/>
    </row>
    <row r="219" spans="1:11">
      <c r="A219" s="612">
        <f t="shared" si="3"/>
        <v>214</v>
      </c>
      <c r="B219" s="575">
        <v>43069</v>
      </c>
      <c r="C219" s="576">
        <v>454151</v>
      </c>
      <c r="D219" s="576" t="s">
        <v>772</v>
      </c>
      <c r="E219" s="576" t="s">
        <v>1338</v>
      </c>
      <c r="F219" s="576" t="s">
        <v>908</v>
      </c>
      <c r="G219" s="525">
        <v>-621</v>
      </c>
      <c r="H219" s="576">
        <v>856</v>
      </c>
      <c r="I219" s="576" t="s">
        <v>1035</v>
      </c>
      <c r="J219" s="444"/>
    </row>
    <row r="220" spans="1:11">
      <c r="A220" s="612">
        <f t="shared" si="3"/>
        <v>215</v>
      </c>
      <c r="B220" s="575">
        <v>43100</v>
      </c>
      <c r="C220" s="576">
        <v>454151</v>
      </c>
      <c r="D220" s="576" t="s">
        <v>772</v>
      </c>
      <c r="E220" s="576" t="s">
        <v>1338</v>
      </c>
      <c r="F220" s="576" t="s">
        <v>908</v>
      </c>
      <c r="G220" s="525">
        <v>-621</v>
      </c>
      <c r="H220" s="576">
        <v>856</v>
      </c>
      <c r="I220" s="576" t="s">
        <v>1035</v>
      </c>
      <c r="J220" s="444"/>
    </row>
    <row r="221" spans="1:11">
      <c r="A221" s="612">
        <f t="shared" si="3"/>
        <v>216</v>
      </c>
      <c r="B221" s="575">
        <v>42766</v>
      </c>
      <c r="C221" s="576">
        <v>454151</v>
      </c>
      <c r="D221" s="576" t="s">
        <v>764</v>
      </c>
      <c r="E221" s="576" t="s">
        <v>1135</v>
      </c>
      <c r="F221" s="578" t="s">
        <v>638</v>
      </c>
      <c r="G221" s="579">
        <v>-55.2</v>
      </c>
      <c r="H221" s="576">
        <v>856</v>
      </c>
      <c r="I221" s="576" t="s">
        <v>1035</v>
      </c>
      <c r="J221" s="444"/>
    </row>
    <row r="222" spans="1:11">
      <c r="A222" s="612">
        <f t="shared" si="3"/>
        <v>217</v>
      </c>
      <c r="B222" s="575">
        <v>42794</v>
      </c>
      <c r="C222" s="576">
        <v>454151</v>
      </c>
      <c r="D222" s="576" t="s">
        <v>765</v>
      </c>
      <c r="E222" s="576" t="s">
        <v>1135</v>
      </c>
      <c r="F222" s="576" t="s">
        <v>638</v>
      </c>
      <c r="G222" s="525">
        <v>-49.86</v>
      </c>
      <c r="H222" s="576">
        <v>856</v>
      </c>
      <c r="I222" s="576" t="s">
        <v>1035</v>
      </c>
    </row>
    <row r="223" spans="1:11">
      <c r="A223" s="612">
        <f t="shared" si="3"/>
        <v>218</v>
      </c>
      <c r="B223" s="575">
        <v>42825</v>
      </c>
      <c r="C223" s="576">
        <v>454151</v>
      </c>
      <c r="D223" s="576" t="s">
        <v>13</v>
      </c>
      <c r="E223" s="576" t="s">
        <v>1135</v>
      </c>
      <c r="F223" s="576" t="s">
        <v>638</v>
      </c>
      <c r="G223" s="525">
        <v>-55.2</v>
      </c>
      <c r="H223" s="576">
        <v>856</v>
      </c>
      <c r="I223" s="576" t="s">
        <v>1035</v>
      </c>
    </row>
    <row r="224" spans="1:11">
      <c r="A224" s="612">
        <f t="shared" si="3"/>
        <v>219</v>
      </c>
      <c r="B224" s="575">
        <v>42855</v>
      </c>
      <c r="C224" s="576">
        <v>454151</v>
      </c>
      <c r="D224" s="576" t="s">
        <v>766</v>
      </c>
      <c r="E224" s="576" t="s">
        <v>1135</v>
      </c>
      <c r="F224" s="576" t="s">
        <v>638</v>
      </c>
      <c r="G224" s="525">
        <v>-53.43</v>
      </c>
      <c r="H224" s="576">
        <v>856</v>
      </c>
      <c r="I224" s="576" t="s">
        <v>1035</v>
      </c>
      <c r="J224" s="505"/>
    </row>
    <row r="225" spans="1:10">
      <c r="A225" s="612">
        <f t="shared" si="3"/>
        <v>220</v>
      </c>
      <c r="B225" s="575">
        <v>42916</v>
      </c>
      <c r="C225" s="576">
        <v>454151</v>
      </c>
      <c r="D225" s="576" t="s">
        <v>768</v>
      </c>
      <c r="E225" s="576" t="s">
        <v>1135</v>
      </c>
      <c r="F225" s="576" t="s">
        <v>638</v>
      </c>
      <c r="G225" s="525">
        <v>-178.07999999999998</v>
      </c>
      <c r="H225" s="576" t="s">
        <v>1333</v>
      </c>
      <c r="I225" s="576" t="s">
        <v>1035</v>
      </c>
      <c r="J225" s="505"/>
    </row>
    <row r="226" spans="1:10">
      <c r="A226" s="612">
        <f t="shared" si="3"/>
        <v>221</v>
      </c>
      <c r="B226" s="575">
        <v>42947</v>
      </c>
      <c r="C226" s="576">
        <v>454151</v>
      </c>
      <c r="D226" s="576" t="s">
        <v>14</v>
      </c>
      <c r="E226" s="576" t="s">
        <v>1135</v>
      </c>
      <c r="F226" s="576" t="s">
        <v>638</v>
      </c>
      <c r="G226" s="525">
        <v>-60</v>
      </c>
      <c r="H226" s="576" t="s">
        <v>1333</v>
      </c>
      <c r="I226" s="576" t="s">
        <v>1035</v>
      </c>
      <c r="J226" s="505"/>
    </row>
    <row r="227" spans="1:10">
      <c r="A227" s="612">
        <f t="shared" si="3"/>
        <v>222</v>
      </c>
      <c r="B227" s="575">
        <v>42978</v>
      </c>
      <c r="C227" s="576">
        <v>454151</v>
      </c>
      <c r="D227" s="576" t="s">
        <v>769</v>
      </c>
      <c r="E227" s="576" t="s">
        <v>1135</v>
      </c>
      <c r="F227" s="576" t="s">
        <v>638</v>
      </c>
      <c r="G227" s="525">
        <v>-60</v>
      </c>
      <c r="H227" s="576" t="s">
        <v>1333</v>
      </c>
      <c r="I227" s="576" t="s">
        <v>1035</v>
      </c>
      <c r="J227" s="505"/>
    </row>
    <row r="228" spans="1:10">
      <c r="A228" s="612">
        <f t="shared" si="3"/>
        <v>223</v>
      </c>
      <c r="B228" s="575">
        <v>43008</v>
      </c>
      <c r="C228" s="576">
        <v>454151</v>
      </c>
      <c r="D228" s="576" t="s">
        <v>770</v>
      </c>
      <c r="E228" s="576" t="s">
        <v>1135</v>
      </c>
      <c r="F228" s="576" t="s">
        <v>638</v>
      </c>
      <c r="G228" s="525">
        <v>-58</v>
      </c>
      <c r="H228" s="576" t="s">
        <v>1333</v>
      </c>
      <c r="I228" s="576" t="s">
        <v>1035</v>
      </c>
      <c r="J228" s="505"/>
    </row>
    <row r="229" spans="1:10">
      <c r="A229" s="612">
        <f t="shared" si="3"/>
        <v>224</v>
      </c>
      <c r="B229" s="575">
        <v>43039</v>
      </c>
      <c r="C229" s="576">
        <v>454151</v>
      </c>
      <c r="D229" s="576" t="s">
        <v>771</v>
      </c>
      <c r="E229" s="576" t="s">
        <v>1135</v>
      </c>
      <c r="F229" s="576" t="s">
        <v>638</v>
      </c>
      <c r="G229" s="525">
        <v>-60</v>
      </c>
      <c r="H229" s="576" t="s">
        <v>1333</v>
      </c>
      <c r="I229" s="576" t="s">
        <v>1035</v>
      </c>
      <c r="J229" s="505"/>
    </row>
    <row r="230" spans="1:10">
      <c r="A230" s="612">
        <f t="shared" si="3"/>
        <v>225</v>
      </c>
      <c r="B230" s="575">
        <v>43069</v>
      </c>
      <c r="C230" s="576">
        <v>454151</v>
      </c>
      <c r="D230" s="576" t="s">
        <v>772</v>
      </c>
      <c r="E230" s="576" t="s">
        <v>1135</v>
      </c>
      <c r="F230" s="576" t="s">
        <v>638</v>
      </c>
      <c r="G230" s="525">
        <v>-58</v>
      </c>
      <c r="H230" s="576" t="s">
        <v>1333</v>
      </c>
      <c r="I230" s="576" t="s">
        <v>1035</v>
      </c>
      <c r="J230" s="505"/>
    </row>
    <row r="231" spans="1:10">
      <c r="A231" s="612">
        <f t="shared" si="3"/>
        <v>226</v>
      </c>
      <c r="B231" s="575">
        <v>43100</v>
      </c>
      <c r="C231" s="576">
        <v>454151</v>
      </c>
      <c r="D231" s="576" t="s">
        <v>146</v>
      </c>
      <c r="E231" s="576" t="s">
        <v>1135</v>
      </c>
      <c r="F231" s="576" t="s">
        <v>638</v>
      </c>
      <c r="G231" s="525">
        <v>-60</v>
      </c>
      <c r="H231" s="576" t="s">
        <v>1333</v>
      </c>
      <c r="I231" s="576" t="s">
        <v>1035</v>
      </c>
    </row>
    <row r="232" spans="1:10">
      <c r="A232" s="612">
        <f t="shared" si="3"/>
        <v>227</v>
      </c>
      <c r="B232" s="575">
        <v>42766</v>
      </c>
      <c r="C232" s="576">
        <v>454151</v>
      </c>
      <c r="D232" s="576" t="s">
        <v>764</v>
      </c>
      <c r="E232" s="576" t="s">
        <v>1095</v>
      </c>
      <c r="F232" s="576" t="s">
        <v>689</v>
      </c>
      <c r="G232" s="525">
        <v>-400</v>
      </c>
      <c r="H232" s="576">
        <v>856</v>
      </c>
      <c r="I232" s="576" t="s">
        <v>1035</v>
      </c>
    </row>
    <row r="233" spans="1:10">
      <c r="A233" s="612">
        <f t="shared" si="3"/>
        <v>228</v>
      </c>
      <c r="B233" s="575">
        <v>42794</v>
      </c>
      <c r="C233" s="576">
        <v>454151</v>
      </c>
      <c r="D233" s="576" t="s">
        <v>765</v>
      </c>
      <c r="E233" s="576" t="s">
        <v>1095</v>
      </c>
      <c r="F233" s="576" t="s">
        <v>689</v>
      </c>
      <c r="G233" s="525">
        <v>-400</v>
      </c>
      <c r="H233" s="576">
        <v>856</v>
      </c>
      <c r="I233" s="576" t="s">
        <v>1035</v>
      </c>
      <c r="J233" s="506"/>
    </row>
    <row r="234" spans="1:10">
      <c r="A234" s="612">
        <f t="shared" si="3"/>
        <v>229</v>
      </c>
      <c r="B234" s="575">
        <v>42825</v>
      </c>
      <c r="C234" s="576">
        <v>454151</v>
      </c>
      <c r="D234" s="576" t="s">
        <v>13</v>
      </c>
      <c r="E234" s="576" t="s">
        <v>1095</v>
      </c>
      <c r="F234" s="576" t="s">
        <v>689</v>
      </c>
      <c r="G234" s="525">
        <v>-400</v>
      </c>
      <c r="H234" s="576">
        <v>856</v>
      </c>
      <c r="I234" s="576" t="s">
        <v>1035</v>
      </c>
      <c r="J234" s="506"/>
    </row>
    <row r="235" spans="1:10">
      <c r="A235" s="612">
        <f t="shared" si="3"/>
        <v>230</v>
      </c>
      <c r="B235" s="575">
        <v>42855</v>
      </c>
      <c r="C235" s="576">
        <v>454151</v>
      </c>
      <c r="D235" s="576" t="s">
        <v>766</v>
      </c>
      <c r="E235" s="576" t="s">
        <v>1095</v>
      </c>
      <c r="F235" s="576" t="s">
        <v>689</v>
      </c>
      <c r="G235" s="525">
        <v>-400</v>
      </c>
      <c r="H235" s="576">
        <v>856</v>
      </c>
      <c r="I235" s="576" t="s">
        <v>1035</v>
      </c>
    </row>
    <row r="236" spans="1:10">
      <c r="A236" s="612">
        <f t="shared" si="3"/>
        <v>231</v>
      </c>
      <c r="B236" s="575">
        <v>42886</v>
      </c>
      <c r="C236" s="576">
        <v>454151</v>
      </c>
      <c r="D236" s="576" t="s">
        <v>767</v>
      </c>
      <c r="E236" s="576" t="s">
        <v>1095</v>
      </c>
      <c r="F236" s="576" t="s">
        <v>689</v>
      </c>
      <c r="G236" s="525">
        <v>-400</v>
      </c>
      <c r="H236" s="576">
        <v>856</v>
      </c>
      <c r="I236" s="576" t="s">
        <v>1035</v>
      </c>
    </row>
    <row r="237" spans="1:10">
      <c r="A237" s="612">
        <f t="shared" si="3"/>
        <v>232</v>
      </c>
      <c r="B237" s="575">
        <v>42916</v>
      </c>
      <c r="C237" s="576">
        <v>454151</v>
      </c>
      <c r="D237" s="576" t="s">
        <v>768</v>
      </c>
      <c r="E237" s="576" t="s">
        <v>1095</v>
      </c>
      <c r="F237" s="576" t="s">
        <v>689</v>
      </c>
      <c r="G237" s="525">
        <v>-400</v>
      </c>
      <c r="H237" s="576">
        <v>856</v>
      </c>
      <c r="I237" s="576" t="s">
        <v>1035</v>
      </c>
    </row>
    <row r="238" spans="1:10">
      <c r="A238" s="612">
        <f t="shared" si="3"/>
        <v>233</v>
      </c>
      <c r="B238" s="575">
        <v>42947</v>
      </c>
      <c r="C238" s="576">
        <v>454151</v>
      </c>
      <c r="D238" s="576" t="s">
        <v>14</v>
      </c>
      <c r="E238" s="576" t="s">
        <v>1095</v>
      </c>
      <c r="F238" s="576" t="s">
        <v>689</v>
      </c>
      <c r="G238" s="525">
        <v>-400</v>
      </c>
      <c r="H238" s="576">
        <v>856</v>
      </c>
      <c r="I238" s="576" t="s">
        <v>1035</v>
      </c>
    </row>
    <row r="239" spans="1:10">
      <c r="A239" s="612">
        <f t="shared" si="3"/>
        <v>234</v>
      </c>
      <c r="B239" s="575">
        <v>42978</v>
      </c>
      <c r="C239" s="576">
        <v>454151</v>
      </c>
      <c r="D239" s="576" t="s">
        <v>769</v>
      </c>
      <c r="E239" s="576" t="s">
        <v>1095</v>
      </c>
      <c r="F239" s="576" t="s">
        <v>689</v>
      </c>
      <c r="G239" s="525">
        <v>-400</v>
      </c>
      <c r="H239" s="576">
        <v>856</v>
      </c>
      <c r="I239" s="576" t="s">
        <v>1035</v>
      </c>
    </row>
    <row r="240" spans="1:10">
      <c r="A240" s="612">
        <f t="shared" si="3"/>
        <v>235</v>
      </c>
      <c r="B240" s="575">
        <v>43008</v>
      </c>
      <c r="C240" s="576">
        <v>454151</v>
      </c>
      <c r="D240" s="576" t="s">
        <v>770</v>
      </c>
      <c r="E240" s="576" t="s">
        <v>1095</v>
      </c>
      <c r="F240" s="576" t="s">
        <v>689</v>
      </c>
      <c r="G240" s="525">
        <v>-400</v>
      </c>
      <c r="H240" s="576">
        <v>856</v>
      </c>
      <c r="I240" s="576" t="s">
        <v>1035</v>
      </c>
    </row>
    <row r="241" spans="1:10">
      <c r="A241" s="612">
        <f t="shared" si="3"/>
        <v>236</v>
      </c>
      <c r="B241" s="575">
        <v>43039</v>
      </c>
      <c r="C241" s="576">
        <v>454151</v>
      </c>
      <c r="D241" s="576" t="s">
        <v>771</v>
      </c>
      <c r="E241" s="576" t="s">
        <v>1095</v>
      </c>
      <c r="F241" s="576" t="s">
        <v>689</v>
      </c>
      <c r="G241" s="525">
        <v>-400</v>
      </c>
      <c r="H241" s="576">
        <v>856</v>
      </c>
      <c r="I241" s="576" t="s">
        <v>1035</v>
      </c>
    </row>
    <row r="242" spans="1:10">
      <c r="A242" s="612">
        <f t="shared" si="3"/>
        <v>237</v>
      </c>
      <c r="B242" s="575">
        <v>43069</v>
      </c>
      <c r="C242" s="576">
        <v>454151</v>
      </c>
      <c r="D242" s="576" t="s">
        <v>772</v>
      </c>
      <c r="E242" s="576" t="s">
        <v>1095</v>
      </c>
      <c r="F242" s="576" t="s">
        <v>689</v>
      </c>
      <c r="G242" s="525">
        <v>-400</v>
      </c>
      <c r="H242" s="576">
        <v>856</v>
      </c>
      <c r="I242" s="576" t="s">
        <v>1035</v>
      </c>
    </row>
    <row r="243" spans="1:10">
      <c r="A243" s="612">
        <f t="shared" si="3"/>
        <v>238</v>
      </c>
      <c r="B243" s="575">
        <v>43100</v>
      </c>
      <c r="C243" s="576">
        <v>454151</v>
      </c>
      <c r="D243" s="576" t="s">
        <v>146</v>
      </c>
      <c r="E243" s="576" t="s">
        <v>1095</v>
      </c>
      <c r="F243" s="576" t="s">
        <v>689</v>
      </c>
      <c r="G243" s="525">
        <v>-400</v>
      </c>
      <c r="H243" s="576">
        <v>856</v>
      </c>
      <c r="I243" s="576" t="s">
        <v>1035</v>
      </c>
    </row>
    <row r="244" spans="1:10">
      <c r="A244" s="612">
        <f t="shared" si="3"/>
        <v>239</v>
      </c>
      <c r="B244" s="575">
        <v>42766</v>
      </c>
      <c r="C244" s="576">
        <v>454151</v>
      </c>
      <c r="D244" s="576" t="s">
        <v>764</v>
      </c>
      <c r="E244" s="576" t="s">
        <v>1136</v>
      </c>
      <c r="F244" s="576" t="s">
        <v>908</v>
      </c>
      <c r="G244" s="525">
        <v>-100</v>
      </c>
      <c r="H244" s="576">
        <v>856</v>
      </c>
      <c r="I244" s="576" t="s">
        <v>1036</v>
      </c>
      <c r="J244" s="505"/>
    </row>
    <row r="245" spans="1:10">
      <c r="A245" s="612">
        <f t="shared" si="3"/>
        <v>240</v>
      </c>
      <c r="B245" s="575">
        <v>42766</v>
      </c>
      <c r="C245" s="576" t="s">
        <v>1118</v>
      </c>
      <c r="D245" s="576" t="s">
        <v>764</v>
      </c>
      <c r="E245" s="576" t="s">
        <v>1137</v>
      </c>
      <c r="F245" s="576" t="s">
        <v>689</v>
      </c>
      <c r="G245" s="525">
        <v>-738.7</v>
      </c>
      <c r="H245" s="576">
        <v>856</v>
      </c>
      <c r="I245" s="576" t="s">
        <v>1035</v>
      </c>
    </row>
    <row r="246" spans="1:10">
      <c r="A246" s="612">
        <f t="shared" si="3"/>
        <v>241</v>
      </c>
      <c r="B246" s="575">
        <v>42794</v>
      </c>
      <c r="C246" s="576" t="s">
        <v>1118</v>
      </c>
      <c r="D246" s="576" t="s">
        <v>765</v>
      </c>
      <c r="E246" s="576" t="s">
        <v>1137</v>
      </c>
      <c r="F246" s="576" t="s">
        <v>689</v>
      </c>
      <c r="G246" s="525">
        <v>-667.21</v>
      </c>
      <c r="H246" s="576">
        <v>856</v>
      </c>
      <c r="I246" s="576" t="s">
        <v>1035</v>
      </c>
    </row>
    <row r="247" spans="1:10">
      <c r="A247" s="612">
        <f t="shared" si="3"/>
        <v>242</v>
      </c>
      <c r="B247" s="575">
        <v>42825</v>
      </c>
      <c r="C247" s="576" t="s">
        <v>1118</v>
      </c>
      <c r="D247" s="576" t="s">
        <v>13</v>
      </c>
      <c r="E247" s="576" t="s">
        <v>1137</v>
      </c>
      <c r="F247" s="576" t="s">
        <v>689</v>
      </c>
      <c r="G247" s="525">
        <v>-738.7</v>
      </c>
      <c r="H247" s="576">
        <v>856</v>
      </c>
      <c r="I247" s="576" t="s">
        <v>1035</v>
      </c>
    </row>
    <row r="248" spans="1:10">
      <c r="A248" s="612">
        <f t="shared" si="3"/>
        <v>243</v>
      </c>
      <c r="B248" s="575">
        <v>42855</v>
      </c>
      <c r="C248" s="576" t="s">
        <v>1118</v>
      </c>
      <c r="D248" s="576" t="s">
        <v>766</v>
      </c>
      <c r="E248" s="576" t="s">
        <v>1137</v>
      </c>
      <c r="F248" s="576" t="s">
        <v>689</v>
      </c>
      <c r="G248" s="525">
        <v>-714.87</v>
      </c>
      <c r="H248" s="576">
        <v>856</v>
      </c>
      <c r="I248" s="576" t="s">
        <v>1035</v>
      </c>
    </row>
    <row r="249" spans="1:10">
      <c r="A249" s="612">
        <f t="shared" si="3"/>
        <v>244</v>
      </c>
      <c r="B249" s="575">
        <v>42886</v>
      </c>
      <c r="C249" s="576" t="s">
        <v>1118</v>
      </c>
      <c r="D249" s="576" t="s">
        <v>767</v>
      </c>
      <c r="E249" s="576" t="s">
        <v>1137</v>
      </c>
      <c r="F249" s="576" t="s">
        <v>689</v>
      </c>
      <c r="G249" s="525">
        <v>-738.7</v>
      </c>
      <c r="H249" s="576">
        <v>856</v>
      </c>
      <c r="I249" s="576" t="s">
        <v>1035</v>
      </c>
      <c r="J249" s="507"/>
    </row>
    <row r="250" spans="1:10">
      <c r="A250" s="612">
        <f t="shared" si="3"/>
        <v>245</v>
      </c>
      <c r="B250" s="575">
        <v>42916</v>
      </c>
      <c r="C250" s="576" t="s">
        <v>1118</v>
      </c>
      <c r="D250" s="576" t="s">
        <v>768</v>
      </c>
      <c r="E250" s="576" t="s">
        <v>1137</v>
      </c>
      <c r="F250" s="576" t="s">
        <v>689</v>
      </c>
      <c r="G250" s="525">
        <v>-714.87</v>
      </c>
      <c r="H250" s="576">
        <v>856</v>
      </c>
      <c r="I250" s="576" t="s">
        <v>1035</v>
      </c>
    </row>
    <row r="251" spans="1:10">
      <c r="A251" s="612">
        <f t="shared" si="3"/>
        <v>246</v>
      </c>
      <c r="B251" s="575">
        <v>42947</v>
      </c>
      <c r="C251" s="576" t="s">
        <v>1118</v>
      </c>
      <c r="D251" s="576" t="s">
        <v>14</v>
      </c>
      <c r="E251" s="576" t="s">
        <v>1137</v>
      </c>
      <c r="F251" s="576" t="s">
        <v>689</v>
      </c>
      <c r="G251" s="525">
        <v>-738.7</v>
      </c>
      <c r="H251" s="576">
        <v>856</v>
      </c>
      <c r="I251" s="576" t="s">
        <v>1035</v>
      </c>
    </row>
    <row r="252" spans="1:10">
      <c r="A252" s="612">
        <f t="shared" si="3"/>
        <v>247</v>
      </c>
      <c r="B252" s="575">
        <v>42978</v>
      </c>
      <c r="C252" s="576" t="s">
        <v>1118</v>
      </c>
      <c r="D252" s="576" t="s">
        <v>769</v>
      </c>
      <c r="E252" s="576" t="s">
        <v>1137</v>
      </c>
      <c r="F252" s="576" t="s">
        <v>689</v>
      </c>
      <c r="G252" s="525">
        <v>-738.7</v>
      </c>
      <c r="H252" s="576">
        <v>856</v>
      </c>
      <c r="I252" s="576" t="s">
        <v>1035</v>
      </c>
    </row>
    <row r="253" spans="1:10">
      <c r="A253" s="612">
        <f t="shared" si="3"/>
        <v>248</v>
      </c>
      <c r="B253" s="575">
        <v>43008</v>
      </c>
      <c r="C253" s="576" t="s">
        <v>1118</v>
      </c>
      <c r="D253" s="576" t="s">
        <v>770</v>
      </c>
      <c r="E253" s="576" t="s">
        <v>1137</v>
      </c>
      <c r="F253" s="576" t="s">
        <v>689</v>
      </c>
      <c r="G253" s="525">
        <v>-714.87</v>
      </c>
      <c r="H253" s="576">
        <v>856</v>
      </c>
      <c r="I253" s="576" t="s">
        <v>1035</v>
      </c>
    </row>
    <row r="254" spans="1:10">
      <c r="A254" s="612">
        <f t="shared" si="3"/>
        <v>249</v>
      </c>
      <c r="B254" s="575">
        <v>43039</v>
      </c>
      <c r="C254" s="576" t="s">
        <v>1118</v>
      </c>
      <c r="D254" s="576" t="s">
        <v>771</v>
      </c>
      <c r="E254" s="576" t="s">
        <v>1137</v>
      </c>
      <c r="F254" s="576" t="s">
        <v>689</v>
      </c>
      <c r="G254" s="525">
        <v>-738.7</v>
      </c>
      <c r="H254" s="576">
        <v>856</v>
      </c>
      <c r="I254" s="576" t="s">
        <v>1035</v>
      </c>
    </row>
    <row r="255" spans="1:10">
      <c r="A255" s="612">
        <f t="shared" si="3"/>
        <v>250</v>
      </c>
      <c r="B255" s="575">
        <v>43069</v>
      </c>
      <c r="C255" s="576" t="s">
        <v>1118</v>
      </c>
      <c r="D255" s="576" t="s">
        <v>772</v>
      </c>
      <c r="E255" s="576" t="s">
        <v>1137</v>
      </c>
      <c r="F255" s="576" t="s">
        <v>689</v>
      </c>
      <c r="G255" s="525">
        <v>-714.83</v>
      </c>
      <c r="H255" s="576">
        <v>856</v>
      </c>
      <c r="I255" s="576" t="s">
        <v>1035</v>
      </c>
    </row>
    <row r="256" spans="1:10">
      <c r="A256" s="612">
        <f t="shared" si="3"/>
        <v>251</v>
      </c>
      <c r="B256" s="575">
        <v>43100</v>
      </c>
      <c r="C256" s="576" t="s">
        <v>1118</v>
      </c>
      <c r="D256" s="576" t="s">
        <v>146</v>
      </c>
      <c r="E256" s="576" t="s">
        <v>1137</v>
      </c>
      <c r="F256" s="576" t="s">
        <v>689</v>
      </c>
      <c r="G256" s="525">
        <v>-732.94</v>
      </c>
      <c r="H256" s="576">
        <v>856</v>
      </c>
      <c r="I256" s="576" t="s">
        <v>1035</v>
      </c>
    </row>
    <row r="257" spans="1:10">
      <c r="A257" s="612">
        <f t="shared" si="3"/>
        <v>252</v>
      </c>
      <c r="B257" s="575">
        <v>43100</v>
      </c>
      <c r="C257" s="576">
        <v>454151</v>
      </c>
      <c r="D257" s="576">
        <v>120157</v>
      </c>
      <c r="E257" s="576" t="s">
        <v>998</v>
      </c>
      <c r="F257" s="576" t="s">
        <v>689</v>
      </c>
      <c r="G257" s="525">
        <v>-10000</v>
      </c>
      <c r="H257" s="576">
        <v>856</v>
      </c>
      <c r="I257" s="576" t="s">
        <v>1036</v>
      </c>
    </row>
    <row r="258" spans="1:10">
      <c r="A258" s="612">
        <f t="shared" si="3"/>
        <v>253</v>
      </c>
      <c r="B258" s="575">
        <v>43100</v>
      </c>
      <c r="C258" s="576" t="s">
        <v>1118</v>
      </c>
      <c r="D258" s="576" t="s">
        <v>146</v>
      </c>
      <c r="E258" s="576" t="s">
        <v>998</v>
      </c>
      <c r="F258" s="576" t="s">
        <v>689</v>
      </c>
      <c r="G258" s="525">
        <v>-1286.8499999999999</v>
      </c>
      <c r="H258" s="576" t="s">
        <v>1333</v>
      </c>
      <c r="I258" s="576" t="s">
        <v>1036</v>
      </c>
    </row>
    <row r="259" spans="1:10">
      <c r="A259" s="612">
        <f t="shared" si="3"/>
        <v>254</v>
      </c>
      <c r="B259" s="575">
        <v>42886</v>
      </c>
      <c r="C259" s="576" t="s">
        <v>1118</v>
      </c>
      <c r="D259" s="576" t="s">
        <v>767</v>
      </c>
      <c r="E259" s="576" t="s">
        <v>1006</v>
      </c>
      <c r="F259" s="576" t="s">
        <v>908</v>
      </c>
      <c r="G259" s="525">
        <v>-100</v>
      </c>
      <c r="H259" s="576">
        <v>856</v>
      </c>
      <c r="I259" s="576" t="s">
        <v>1036</v>
      </c>
    </row>
    <row r="260" spans="1:10">
      <c r="A260" s="612">
        <f t="shared" si="3"/>
        <v>255</v>
      </c>
      <c r="B260" s="577">
        <v>42886</v>
      </c>
      <c r="C260" s="580">
        <v>454151</v>
      </c>
      <c r="D260" s="580" t="s">
        <v>767</v>
      </c>
      <c r="E260" s="580" t="s">
        <v>1339</v>
      </c>
      <c r="F260" s="580" t="s">
        <v>689</v>
      </c>
      <c r="G260" s="579">
        <v>0.21</v>
      </c>
      <c r="H260" s="580">
        <v>856</v>
      </c>
      <c r="I260" s="580" t="s">
        <v>1093</v>
      </c>
    </row>
    <row r="261" spans="1:10">
      <c r="A261" s="612">
        <f t="shared" si="3"/>
        <v>256</v>
      </c>
      <c r="B261" s="577">
        <v>42947</v>
      </c>
      <c r="C261" s="580">
        <v>454151</v>
      </c>
      <c r="D261" s="580" t="s">
        <v>14</v>
      </c>
      <c r="E261" s="580" t="s">
        <v>999</v>
      </c>
      <c r="F261" s="580" t="s">
        <v>638</v>
      </c>
      <c r="G261" s="579">
        <v>-300</v>
      </c>
      <c r="H261" s="580" t="s">
        <v>1333</v>
      </c>
      <c r="I261" s="580" t="s">
        <v>1036</v>
      </c>
    </row>
    <row r="262" spans="1:10">
      <c r="A262" s="612">
        <f t="shared" si="3"/>
        <v>257</v>
      </c>
      <c r="B262" s="575">
        <v>42766</v>
      </c>
      <c r="C262" s="576">
        <v>454151</v>
      </c>
      <c r="D262" s="576" t="s">
        <v>984</v>
      </c>
      <c r="E262" s="576" t="s">
        <v>1096</v>
      </c>
      <c r="F262" s="576" t="s">
        <v>689</v>
      </c>
      <c r="G262" s="525">
        <v>-1055</v>
      </c>
      <c r="H262" s="576" t="s">
        <v>954</v>
      </c>
      <c r="I262" s="576" t="s">
        <v>1097</v>
      </c>
    </row>
    <row r="263" spans="1:10">
      <c r="A263" s="612">
        <f t="shared" si="3"/>
        <v>258</v>
      </c>
      <c r="B263" s="575">
        <v>42794</v>
      </c>
      <c r="C263" s="576">
        <v>454151</v>
      </c>
      <c r="D263" s="576" t="s">
        <v>985</v>
      </c>
      <c r="E263" s="576" t="s">
        <v>1096</v>
      </c>
      <c r="F263" s="576" t="s">
        <v>689</v>
      </c>
      <c r="G263" s="525">
        <v>-1055</v>
      </c>
      <c r="H263" s="576" t="s">
        <v>954</v>
      </c>
      <c r="I263" s="576" t="s">
        <v>1097</v>
      </c>
    </row>
    <row r="264" spans="1:10">
      <c r="A264" s="612">
        <f t="shared" si="3"/>
        <v>259</v>
      </c>
      <c r="B264" s="575">
        <v>42825</v>
      </c>
      <c r="C264" s="576">
        <v>454151</v>
      </c>
      <c r="D264" s="576" t="s">
        <v>986</v>
      </c>
      <c r="E264" s="576" t="s">
        <v>1096</v>
      </c>
      <c r="F264" s="576" t="s">
        <v>689</v>
      </c>
      <c r="G264" s="525">
        <v>-1055</v>
      </c>
      <c r="H264" s="576" t="s">
        <v>954</v>
      </c>
      <c r="I264" s="576" t="s">
        <v>1097</v>
      </c>
    </row>
    <row r="265" spans="1:10">
      <c r="A265" s="612">
        <f t="shared" si="3"/>
        <v>260</v>
      </c>
      <c r="B265" s="575">
        <v>42855</v>
      </c>
      <c r="C265" s="576">
        <v>454151</v>
      </c>
      <c r="D265" s="576" t="s">
        <v>987</v>
      </c>
      <c r="E265" s="576" t="s">
        <v>1096</v>
      </c>
      <c r="F265" s="576" t="s">
        <v>689</v>
      </c>
      <c r="G265" s="525">
        <v>-1055</v>
      </c>
      <c r="H265" s="576" t="s">
        <v>954</v>
      </c>
      <c r="I265" s="576" t="s">
        <v>1097</v>
      </c>
    </row>
    <row r="266" spans="1:10">
      <c r="A266" s="612">
        <f t="shared" si="3"/>
        <v>261</v>
      </c>
      <c r="B266" s="575">
        <v>42886</v>
      </c>
      <c r="C266" s="576">
        <v>454151</v>
      </c>
      <c r="D266" s="576" t="s">
        <v>949</v>
      </c>
      <c r="E266" s="576" t="s">
        <v>1096</v>
      </c>
      <c r="F266" s="576" t="s">
        <v>689</v>
      </c>
      <c r="G266" s="525">
        <v>-1055</v>
      </c>
      <c r="H266" s="576" t="s">
        <v>954</v>
      </c>
      <c r="I266" s="576" t="s">
        <v>1097</v>
      </c>
    </row>
    <row r="267" spans="1:10">
      <c r="A267" s="612">
        <f t="shared" si="3"/>
        <v>262</v>
      </c>
      <c r="B267" s="575">
        <v>42916</v>
      </c>
      <c r="C267" s="576">
        <v>454151</v>
      </c>
      <c r="D267" s="576" t="s">
        <v>988</v>
      </c>
      <c r="E267" s="576" t="s">
        <v>1096</v>
      </c>
      <c r="F267" s="576" t="s">
        <v>689</v>
      </c>
      <c r="G267" s="525">
        <v>-1055</v>
      </c>
      <c r="H267" s="576" t="s">
        <v>954</v>
      </c>
      <c r="I267" s="576" t="s">
        <v>1097</v>
      </c>
    </row>
    <row r="268" spans="1:10">
      <c r="A268" s="612">
        <f t="shared" si="3"/>
        <v>263</v>
      </c>
      <c r="B268" s="575">
        <v>42947</v>
      </c>
      <c r="C268" s="576">
        <v>454151</v>
      </c>
      <c r="D268" s="576" t="s">
        <v>950</v>
      </c>
      <c r="E268" s="576" t="s">
        <v>1096</v>
      </c>
      <c r="F268" s="576" t="s">
        <v>689</v>
      </c>
      <c r="G268" s="525">
        <v>-1055</v>
      </c>
      <c r="H268" s="576" t="s">
        <v>954</v>
      </c>
      <c r="I268" s="576" t="s">
        <v>1097</v>
      </c>
      <c r="J268" s="507"/>
    </row>
    <row r="269" spans="1:10">
      <c r="A269" s="612">
        <f t="shared" si="3"/>
        <v>264</v>
      </c>
      <c r="B269" s="575">
        <v>42978</v>
      </c>
      <c r="C269" s="576">
        <v>454151</v>
      </c>
      <c r="D269" s="576" t="s">
        <v>951</v>
      </c>
      <c r="E269" s="576" t="s">
        <v>1096</v>
      </c>
      <c r="F269" s="576" t="s">
        <v>689</v>
      </c>
      <c r="G269" s="525">
        <v>-1055</v>
      </c>
      <c r="H269" s="576" t="s">
        <v>954</v>
      </c>
      <c r="I269" s="576" t="s">
        <v>1097</v>
      </c>
      <c r="J269" s="507"/>
    </row>
    <row r="270" spans="1:10">
      <c r="A270" s="612">
        <f t="shared" si="3"/>
        <v>265</v>
      </c>
      <c r="B270" s="575">
        <v>43008</v>
      </c>
      <c r="C270" s="576">
        <v>454151</v>
      </c>
      <c r="D270" s="576" t="s">
        <v>952</v>
      </c>
      <c r="E270" s="576" t="s">
        <v>1096</v>
      </c>
      <c r="F270" s="576" t="s">
        <v>689</v>
      </c>
      <c r="G270" s="525">
        <v>-1055</v>
      </c>
      <c r="H270" s="576" t="s">
        <v>954</v>
      </c>
      <c r="I270" s="576" t="s">
        <v>1097</v>
      </c>
      <c r="J270" s="507"/>
    </row>
    <row r="271" spans="1:10">
      <c r="A271" s="612">
        <f t="shared" si="3"/>
        <v>266</v>
      </c>
      <c r="B271" s="575">
        <v>43039</v>
      </c>
      <c r="C271" s="576">
        <v>454151</v>
      </c>
      <c r="D271" s="576" t="s">
        <v>953</v>
      </c>
      <c r="E271" s="576" t="s">
        <v>1096</v>
      </c>
      <c r="F271" s="576" t="s">
        <v>689</v>
      </c>
      <c r="G271" s="525">
        <v>-1055</v>
      </c>
      <c r="H271" s="576" t="s">
        <v>954</v>
      </c>
      <c r="I271" s="576" t="s">
        <v>1097</v>
      </c>
    </row>
    <row r="272" spans="1:10">
      <c r="A272" s="612">
        <f t="shared" si="3"/>
        <v>267</v>
      </c>
      <c r="B272" s="575">
        <v>43069</v>
      </c>
      <c r="C272" s="576">
        <v>454151</v>
      </c>
      <c r="D272" s="576" t="s">
        <v>989</v>
      </c>
      <c r="E272" s="576" t="s">
        <v>1096</v>
      </c>
      <c r="F272" s="576" t="s">
        <v>689</v>
      </c>
      <c r="G272" s="525">
        <v>-1055</v>
      </c>
      <c r="H272" s="576" t="s">
        <v>954</v>
      </c>
      <c r="I272" s="576" t="s">
        <v>1097</v>
      </c>
      <c r="J272" s="505"/>
    </row>
    <row r="273" spans="1:10">
      <c r="A273" s="612">
        <f t="shared" si="3"/>
        <v>268</v>
      </c>
      <c r="B273" s="575">
        <v>43100</v>
      </c>
      <c r="C273" s="576">
        <v>454151</v>
      </c>
      <c r="D273" s="576" t="s">
        <v>990</v>
      </c>
      <c r="E273" s="576" t="s">
        <v>1096</v>
      </c>
      <c r="F273" s="576" t="s">
        <v>689</v>
      </c>
      <c r="G273" s="525">
        <v>-1055</v>
      </c>
      <c r="H273" s="576" t="s">
        <v>954</v>
      </c>
      <c r="I273" s="576" t="s">
        <v>1097</v>
      </c>
    </row>
    <row r="274" spans="1:10">
      <c r="A274" s="612">
        <f t="shared" si="3"/>
        <v>269</v>
      </c>
      <c r="B274" s="577">
        <v>43100</v>
      </c>
      <c r="C274" s="576">
        <v>454151</v>
      </c>
      <c r="D274" s="576" t="s">
        <v>146</v>
      </c>
      <c r="E274" s="576" t="s">
        <v>1340</v>
      </c>
      <c r="F274" s="578" t="s">
        <v>908</v>
      </c>
      <c r="G274" s="579">
        <v>-868</v>
      </c>
      <c r="H274" s="576">
        <v>856</v>
      </c>
      <c r="I274" s="576" t="s">
        <v>1035</v>
      </c>
    </row>
    <row r="275" spans="1:10">
      <c r="A275" s="612">
        <f t="shared" si="3"/>
        <v>270</v>
      </c>
      <c r="B275" s="577">
        <v>42766</v>
      </c>
      <c r="C275" s="576" t="s">
        <v>1118</v>
      </c>
      <c r="D275" s="576" t="s">
        <v>764</v>
      </c>
      <c r="E275" s="576" t="s">
        <v>1138</v>
      </c>
      <c r="F275" s="578" t="s">
        <v>908</v>
      </c>
      <c r="G275" s="579">
        <v>-300</v>
      </c>
      <c r="H275" s="576">
        <v>856</v>
      </c>
      <c r="I275" s="576" t="s">
        <v>1036</v>
      </c>
    </row>
    <row r="276" spans="1:10">
      <c r="A276" s="612">
        <f t="shared" si="3"/>
        <v>271</v>
      </c>
      <c r="B276" s="577">
        <v>42766</v>
      </c>
      <c r="C276" s="576">
        <v>454151</v>
      </c>
      <c r="D276" s="576" t="s">
        <v>764</v>
      </c>
      <c r="E276" s="576" t="s">
        <v>1139</v>
      </c>
      <c r="F276" s="578" t="s">
        <v>638</v>
      </c>
      <c r="G276" s="579">
        <v>-50.96</v>
      </c>
      <c r="H276" s="576">
        <v>856</v>
      </c>
      <c r="I276" s="576" t="s">
        <v>1035</v>
      </c>
    </row>
    <row r="277" spans="1:10">
      <c r="A277" s="612">
        <f t="shared" si="3"/>
        <v>272</v>
      </c>
      <c r="B277" s="577">
        <v>42794</v>
      </c>
      <c r="C277" s="576">
        <v>454151</v>
      </c>
      <c r="D277" s="576" t="s">
        <v>765</v>
      </c>
      <c r="E277" s="576" t="s">
        <v>1139</v>
      </c>
      <c r="F277" s="578" t="s">
        <v>638</v>
      </c>
      <c r="G277" s="579">
        <v>-46.03</v>
      </c>
      <c r="H277" s="576">
        <v>856</v>
      </c>
      <c r="I277" s="576" t="s">
        <v>1035</v>
      </c>
      <c r="J277" s="444"/>
    </row>
    <row r="278" spans="1:10">
      <c r="A278" s="612">
        <f t="shared" si="3"/>
        <v>273</v>
      </c>
      <c r="B278" s="577">
        <v>42825</v>
      </c>
      <c r="C278" s="576">
        <v>454151</v>
      </c>
      <c r="D278" s="576" t="s">
        <v>13</v>
      </c>
      <c r="E278" s="576" t="s">
        <v>1139</v>
      </c>
      <c r="F278" s="578" t="s">
        <v>638</v>
      </c>
      <c r="G278" s="579">
        <v>-50.96</v>
      </c>
      <c r="H278" s="576">
        <v>856</v>
      </c>
      <c r="I278" s="576" t="s">
        <v>1035</v>
      </c>
    </row>
    <row r="279" spans="1:10">
      <c r="A279" s="612">
        <f t="shared" ref="A279:A342" si="4">A278+1</f>
        <v>274</v>
      </c>
      <c r="B279" s="577">
        <v>42855</v>
      </c>
      <c r="C279" s="576">
        <v>454151</v>
      </c>
      <c r="D279" s="576" t="s">
        <v>766</v>
      </c>
      <c r="E279" s="576" t="s">
        <v>1139</v>
      </c>
      <c r="F279" s="578" t="s">
        <v>638</v>
      </c>
      <c r="G279" s="579">
        <v>-49.32</v>
      </c>
      <c r="H279" s="576">
        <v>856</v>
      </c>
      <c r="I279" s="576" t="s">
        <v>1035</v>
      </c>
    </row>
    <row r="280" spans="1:10">
      <c r="A280" s="612">
        <f t="shared" si="4"/>
        <v>275</v>
      </c>
      <c r="B280" s="577">
        <v>42886</v>
      </c>
      <c r="C280" s="576">
        <v>454151</v>
      </c>
      <c r="D280" s="576" t="s">
        <v>767</v>
      </c>
      <c r="E280" s="576" t="s">
        <v>1139</v>
      </c>
      <c r="F280" s="578" t="s">
        <v>638</v>
      </c>
      <c r="G280" s="579">
        <v>-50.96</v>
      </c>
      <c r="H280" s="576">
        <v>856</v>
      </c>
      <c r="I280" s="576" t="s">
        <v>1035</v>
      </c>
    </row>
    <row r="281" spans="1:10">
      <c r="A281" s="612">
        <f t="shared" si="4"/>
        <v>276</v>
      </c>
      <c r="B281" s="577">
        <v>42916</v>
      </c>
      <c r="C281" s="576">
        <v>454151</v>
      </c>
      <c r="D281" s="576" t="s">
        <v>768</v>
      </c>
      <c r="E281" s="576" t="s">
        <v>1139</v>
      </c>
      <c r="F281" s="578" t="s">
        <v>638</v>
      </c>
      <c r="G281" s="579">
        <v>-49.32</v>
      </c>
      <c r="H281" s="576">
        <v>856</v>
      </c>
      <c r="I281" s="576" t="s">
        <v>1035</v>
      </c>
    </row>
    <row r="282" spans="1:10">
      <c r="A282" s="612">
        <f t="shared" si="4"/>
        <v>277</v>
      </c>
      <c r="B282" s="577">
        <v>42947</v>
      </c>
      <c r="C282" s="576">
        <v>454151</v>
      </c>
      <c r="D282" s="576" t="s">
        <v>14</v>
      </c>
      <c r="E282" s="576" t="s">
        <v>1139</v>
      </c>
      <c r="F282" s="578" t="s">
        <v>638</v>
      </c>
      <c r="G282" s="579">
        <v>-50.96</v>
      </c>
      <c r="H282" s="576">
        <v>856</v>
      </c>
      <c r="I282" s="576" t="s">
        <v>1035</v>
      </c>
    </row>
    <row r="283" spans="1:10">
      <c r="A283" s="612">
        <f t="shared" si="4"/>
        <v>278</v>
      </c>
      <c r="B283" s="577">
        <v>42978</v>
      </c>
      <c r="C283" s="576">
        <v>454151</v>
      </c>
      <c r="D283" s="576" t="s">
        <v>769</v>
      </c>
      <c r="E283" s="576" t="s">
        <v>1139</v>
      </c>
      <c r="F283" s="578" t="s">
        <v>638</v>
      </c>
      <c r="G283" s="579">
        <v>-50.96</v>
      </c>
      <c r="H283" s="576">
        <v>856</v>
      </c>
      <c r="I283" s="576" t="s">
        <v>1035</v>
      </c>
    </row>
    <row r="284" spans="1:10">
      <c r="A284" s="612">
        <f t="shared" si="4"/>
        <v>279</v>
      </c>
      <c r="B284" s="577">
        <v>43008</v>
      </c>
      <c r="C284" s="576">
        <v>454151</v>
      </c>
      <c r="D284" s="576" t="s">
        <v>770</v>
      </c>
      <c r="E284" s="576" t="s">
        <v>1139</v>
      </c>
      <c r="F284" s="578" t="s">
        <v>638</v>
      </c>
      <c r="G284" s="579">
        <v>-49.32</v>
      </c>
      <c r="H284" s="576">
        <v>856</v>
      </c>
      <c r="I284" s="576" t="s">
        <v>1035</v>
      </c>
    </row>
    <row r="285" spans="1:10">
      <c r="A285" s="612">
        <f t="shared" si="4"/>
        <v>280</v>
      </c>
      <c r="B285" s="577">
        <v>43039</v>
      </c>
      <c r="C285" s="576">
        <v>454151</v>
      </c>
      <c r="D285" s="576" t="s">
        <v>771</v>
      </c>
      <c r="E285" s="576" t="s">
        <v>1139</v>
      </c>
      <c r="F285" s="578" t="s">
        <v>638</v>
      </c>
      <c r="G285" s="579">
        <v>-50.96</v>
      </c>
      <c r="H285" s="576">
        <v>856</v>
      </c>
      <c r="I285" s="576" t="s">
        <v>1035</v>
      </c>
    </row>
    <row r="286" spans="1:10">
      <c r="A286" s="612">
        <f t="shared" si="4"/>
        <v>281</v>
      </c>
      <c r="B286" s="575">
        <v>43069</v>
      </c>
      <c r="C286" s="576">
        <v>454151</v>
      </c>
      <c r="D286" s="576" t="s">
        <v>772</v>
      </c>
      <c r="E286" s="576" t="s">
        <v>1139</v>
      </c>
      <c r="F286" s="576" t="s">
        <v>638</v>
      </c>
      <c r="G286" s="525">
        <v>-49.32</v>
      </c>
      <c r="H286" s="576">
        <v>856</v>
      </c>
      <c r="I286" s="576" t="s">
        <v>1035</v>
      </c>
    </row>
    <row r="287" spans="1:10">
      <c r="A287" s="612">
        <f t="shared" si="4"/>
        <v>282</v>
      </c>
      <c r="B287" s="575">
        <v>43100</v>
      </c>
      <c r="C287" s="576">
        <v>454151</v>
      </c>
      <c r="D287" s="576" t="s">
        <v>146</v>
      </c>
      <c r="E287" s="576" t="s">
        <v>1139</v>
      </c>
      <c r="F287" s="576" t="s">
        <v>638</v>
      </c>
      <c r="G287" s="525">
        <v>-50.93</v>
      </c>
      <c r="H287" s="576">
        <v>856</v>
      </c>
      <c r="I287" s="576" t="s">
        <v>1035</v>
      </c>
    </row>
    <row r="288" spans="1:10">
      <c r="A288" s="612">
        <f t="shared" si="4"/>
        <v>283</v>
      </c>
      <c r="B288" s="575">
        <v>43008</v>
      </c>
      <c r="C288" s="576">
        <v>454151</v>
      </c>
      <c r="D288" s="576" t="s">
        <v>770</v>
      </c>
      <c r="E288" s="576" t="s">
        <v>1140</v>
      </c>
      <c r="F288" s="576" t="s">
        <v>638</v>
      </c>
      <c r="G288" s="525">
        <v>-100</v>
      </c>
      <c r="H288" s="576" t="s">
        <v>1333</v>
      </c>
      <c r="I288" s="576" t="s">
        <v>1036</v>
      </c>
    </row>
    <row r="289" spans="1:9">
      <c r="A289" s="612">
        <f t="shared" si="4"/>
        <v>284</v>
      </c>
      <c r="B289" s="575">
        <v>42766</v>
      </c>
      <c r="C289" s="576" t="s">
        <v>1118</v>
      </c>
      <c r="D289" s="576" t="s">
        <v>764</v>
      </c>
      <c r="E289" s="576" t="s">
        <v>1141</v>
      </c>
      <c r="F289" s="576" t="s">
        <v>908</v>
      </c>
      <c r="G289" s="525">
        <v>-100</v>
      </c>
      <c r="H289" s="576">
        <v>856</v>
      </c>
      <c r="I289" s="576" t="s">
        <v>1036</v>
      </c>
    </row>
    <row r="290" spans="1:9">
      <c r="A290" s="612">
        <f t="shared" si="4"/>
        <v>285</v>
      </c>
      <c r="B290" s="575">
        <v>42766</v>
      </c>
      <c r="C290" s="576">
        <v>454151</v>
      </c>
      <c r="D290" s="576" t="s">
        <v>764</v>
      </c>
      <c r="E290" s="576" t="s">
        <v>1142</v>
      </c>
      <c r="F290" s="576" t="s">
        <v>908</v>
      </c>
      <c r="G290" s="525">
        <v>-41.63</v>
      </c>
      <c r="H290" s="576">
        <v>856</v>
      </c>
      <c r="I290" s="576" t="s">
        <v>1035</v>
      </c>
    </row>
    <row r="291" spans="1:9">
      <c r="A291" s="612">
        <f t="shared" si="4"/>
        <v>286</v>
      </c>
      <c r="B291" s="575">
        <v>42794</v>
      </c>
      <c r="C291" s="576">
        <v>454151</v>
      </c>
      <c r="D291" s="576" t="s">
        <v>765</v>
      </c>
      <c r="E291" s="576" t="s">
        <v>1142</v>
      </c>
      <c r="F291" s="576" t="s">
        <v>908</v>
      </c>
      <c r="G291" s="525">
        <v>-38.36</v>
      </c>
      <c r="H291" s="576">
        <v>856</v>
      </c>
      <c r="I291" s="576" t="s">
        <v>1035</v>
      </c>
    </row>
    <row r="292" spans="1:9">
      <c r="A292" s="612">
        <f t="shared" si="4"/>
        <v>287</v>
      </c>
      <c r="B292" s="575">
        <v>42825</v>
      </c>
      <c r="C292" s="576">
        <v>454151</v>
      </c>
      <c r="D292" s="576" t="s">
        <v>13</v>
      </c>
      <c r="E292" s="576" t="s">
        <v>1142</v>
      </c>
      <c r="F292" s="576" t="s">
        <v>908</v>
      </c>
      <c r="G292" s="525">
        <v>-42.47</v>
      </c>
      <c r="H292" s="576">
        <v>856</v>
      </c>
      <c r="I292" s="576" t="s">
        <v>1035</v>
      </c>
    </row>
    <row r="293" spans="1:9">
      <c r="A293" s="612">
        <f t="shared" si="4"/>
        <v>288</v>
      </c>
      <c r="B293" s="575">
        <v>42855</v>
      </c>
      <c r="C293" s="576">
        <v>454151</v>
      </c>
      <c r="D293" s="576" t="s">
        <v>766</v>
      </c>
      <c r="E293" s="576" t="s">
        <v>1142</v>
      </c>
      <c r="F293" s="576" t="s">
        <v>908</v>
      </c>
      <c r="G293" s="525">
        <v>-41.1</v>
      </c>
      <c r="H293" s="576">
        <v>856</v>
      </c>
      <c r="I293" s="576" t="s">
        <v>1035</v>
      </c>
    </row>
    <row r="294" spans="1:9">
      <c r="A294" s="612">
        <f t="shared" si="4"/>
        <v>289</v>
      </c>
      <c r="B294" s="575">
        <v>42886</v>
      </c>
      <c r="C294" s="576">
        <v>454151</v>
      </c>
      <c r="D294" s="576" t="s">
        <v>767</v>
      </c>
      <c r="E294" s="576" t="s">
        <v>1142</v>
      </c>
      <c r="F294" s="576" t="s">
        <v>908</v>
      </c>
      <c r="G294" s="525">
        <v>-42.47</v>
      </c>
      <c r="H294" s="576">
        <v>856</v>
      </c>
      <c r="I294" s="576" t="s">
        <v>1035</v>
      </c>
    </row>
    <row r="295" spans="1:9">
      <c r="A295" s="612">
        <f t="shared" si="4"/>
        <v>290</v>
      </c>
      <c r="B295" s="575">
        <v>42916</v>
      </c>
      <c r="C295" s="576">
        <v>454151</v>
      </c>
      <c r="D295" s="576" t="s">
        <v>768</v>
      </c>
      <c r="E295" s="576" t="s">
        <v>1142</v>
      </c>
      <c r="F295" s="576" t="s">
        <v>908</v>
      </c>
      <c r="G295" s="525">
        <v>-41.1</v>
      </c>
      <c r="H295" s="576">
        <v>856</v>
      </c>
      <c r="I295" s="576" t="s">
        <v>1035</v>
      </c>
    </row>
    <row r="296" spans="1:9">
      <c r="A296" s="612">
        <f t="shared" si="4"/>
        <v>291</v>
      </c>
      <c r="B296" s="575">
        <v>42947</v>
      </c>
      <c r="C296" s="576">
        <v>454151</v>
      </c>
      <c r="D296" s="576" t="s">
        <v>14</v>
      </c>
      <c r="E296" s="576" t="s">
        <v>1142</v>
      </c>
      <c r="F296" s="576" t="s">
        <v>908</v>
      </c>
      <c r="G296" s="525">
        <v>-42.47</v>
      </c>
      <c r="H296" s="576">
        <v>856</v>
      </c>
      <c r="I296" s="576" t="s">
        <v>1035</v>
      </c>
    </row>
    <row r="297" spans="1:9">
      <c r="A297" s="612">
        <f t="shared" si="4"/>
        <v>292</v>
      </c>
      <c r="B297" s="575">
        <v>42978</v>
      </c>
      <c r="C297" s="576">
        <v>454151</v>
      </c>
      <c r="D297" s="576" t="s">
        <v>769</v>
      </c>
      <c r="E297" s="576" t="s">
        <v>1142</v>
      </c>
      <c r="F297" s="576" t="s">
        <v>908</v>
      </c>
      <c r="G297" s="525">
        <v>-42.47</v>
      </c>
      <c r="H297" s="576">
        <v>856</v>
      </c>
      <c r="I297" s="576" t="s">
        <v>1035</v>
      </c>
    </row>
    <row r="298" spans="1:9">
      <c r="A298" s="612">
        <f t="shared" si="4"/>
        <v>293</v>
      </c>
      <c r="B298" s="575">
        <v>43008</v>
      </c>
      <c r="C298" s="576">
        <v>454151</v>
      </c>
      <c r="D298" s="576" t="s">
        <v>770</v>
      </c>
      <c r="E298" s="576" t="s">
        <v>1142</v>
      </c>
      <c r="F298" s="576" t="s">
        <v>908</v>
      </c>
      <c r="G298" s="525">
        <v>-41.1</v>
      </c>
      <c r="H298" s="576">
        <v>856</v>
      </c>
      <c r="I298" s="576" t="s">
        <v>1035</v>
      </c>
    </row>
    <row r="299" spans="1:9">
      <c r="A299" s="612">
        <f t="shared" si="4"/>
        <v>294</v>
      </c>
      <c r="B299" s="575">
        <v>43039</v>
      </c>
      <c r="C299" s="576">
        <v>454151</v>
      </c>
      <c r="D299" s="576" t="s">
        <v>771</v>
      </c>
      <c r="E299" s="576" t="s">
        <v>1142</v>
      </c>
      <c r="F299" s="576" t="s">
        <v>908</v>
      </c>
      <c r="G299" s="525">
        <v>-42.47</v>
      </c>
      <c r="H299" s="576">
        <v>856</v>
      </c>
      <c r="I299" s="576" t="s">
        <v>1035</v>
      </c>
    </row>
    <row r="300" spans="1:9">
      <c r="A300" s="612">
        <f t="shared" si="4"/>
        <v>295</v>
      </c>
      <c r="B300" s="575">
        <v>43069</v>
      </c>
      <c r="C300" s="576">
        <v>454151</v>
      </c>
      <c r="D300" s="576" t="s">
        <v>772</v>
      </c>
      <c r="E300" s="576" t="s">
        <v>1142</v>
      </c>
      <c r="F300" s="576" t="s">
        <v>908</v>
      </c>
      <c r="G300" s="525">
        <v>-41.1</v>
      </c>
      <c r="H300" s="576">
        <v>856</v>
      </c>
      <c r="I300" s="576" t="s">
        <v>1035</v>
      </c>
    </row>
    <row r="301" spans="1:9">
      <c r="A301" s="612">
        <f t="shared" si="4"/>
        <v>296</v>
      </c>
      <c r="B301" s="575">
        <v>43100</v>
      </c>
      <c r="C301" s="576">
        <v>454151</v>
      </c>
      <c r="D301" s="576" t="s">
        <v>146</v>
      </c>
      <c r="E301" s="576" t="s">
        <v>1142</v>
      </c>
      <c r="F301" s="576" t="s">
        <v>908</v>
      </c>
      <c r="G301" s="525">
        <v>-42.47</v>
      </c>
      <c r="H301" s="576">
        <v>856</v>
      </c>
      <c r="I301" s="576" t="s">
        <v>1035</v>
      </c>
    </row>
    <row r="302" spans="1:9">
      <c r="A302" s="612">
        <f t="shared" si="4"/>
        <v>297</v>
      </c>
      <c r="B302" s="575">
        <v>42766</v>
      </c>
      <c r="C302" s="576">
        <v>454151</v>
      </c>
      <c r="D302" s="576" t="s">
        <v>764</v>
      </c>
      <c r="E302" s="576" t="s">
        <v>1143</v>
      </c>
      <c r="F302" s="576" t="s">
        <v>908</v>
      </c>
      <c r="G302" s="525">
        <v>-66.63</v>
      </c>
      <c r="H302" s="576">
        <v>856</v>
      </c>
      <c r="I302" s="576" t="s">
        <v>1035</v>
      </c>
    </row>
    <row r="303" spans="1:9">
      <c r="A303" s="612">
        <f t="shared" si="4"/>
        <v>298</v>
      </c>
      <c r="B303" s="575">
        <v>42794</v>
      </c>
      <c r="C303" s="576">
        <v>454151</v>
      </c>
      <c r="D303" s="576" t="s">
        <v>765</v>
      </c>
      <c r="E303" s="576" t="s">
        <v>1143</v>
      </c>
      <c r="F303" s="576" t="s">
        <v>908</v>
      </c>
      <c r="G303" s="525">
        <v>-61.37</v>
      </c>
      <c r="H303" s="576">
        <v>856</v>
      </c>
      <c r="I303" s="576" t="s">
        <v>1035</v>
      </c>
    </row>
    <row r="304" spans="1:9">
      <c r="A304" s="612">
        <f t="shared" si="4"/>
        <v>299</v>
      </c>
      <c r="B304" s="575">
        <v>42825</v>
      </c>
      <c r="C304" s="576">
        <v>454151</v>
      </c>
      <c r="D304" s="576" t="s">
        <v>13</v>
      </c>
      <c r="E304" s="576" t="s">
        <v>1143</v>
      </c>
      <c r="F304" s="576" t="s">
        <v>908</v>
      </c>
      <c r="G304" s="525">
        <v>-67.95</v>
      </c>
      <c r="H304" s="576">
        <v>856</v>
      </c>
      <c r="I304" s="576" t="s">
        <v>1035</v>
      </c>
    </row>
    <row r="305" spans="1:9">
      <c r="A305" s="612">
        <f t="shared" si="4"/>
        <v>300</v>
      </c>
      <c r="B305" s="575">
        <v>42855</v>
      </c>
      <c r="C305" s="576">
        <v>454151</v>
      </c>
      <c r="D305" s="576" t="s">
        <v>766</v>
      </c>
      <c r="E305" s="576" t="s">
        <v>1143</v>
      </c>
      <c r="F305" s="576" t="s">
        <v>908</v>
      </c>
      <c r="G305" s="525">
        <v>-65.75</v>
      </c>
      <c r="H305" s="576">
        <v>856</v>
      </c>
      <c r="I305" s="576" t="s">
        <v>1035</v>
      </c>
    </row>
    <row r="306" spans="1:9">
      <c r="A306" s="612">
        <f t="shared" si="4"/>
        <v>301</v>
      </c>
      <c r="B306" s="575">
        <v>42886</v>
      </c>
      <c r="C306" s="576">
        <v>454151</v>
      </c>
      <c r="D306" s="576" t="s">
        <v>767</v>
      </c>
      <c r="E306" s="576" t="s">
        <v>1143</v>
      </c>
      <c r="F306" s="576" t="s">
        <v>908</v>
      </c>
      <c r="G306" s="525">
        <v>-67.95</v>
      </c>
      <c r="H306" s="576">
        <v>856</v>
      </c>
      <c r="I306" s="576" t="s">
        <v>1035</v>
      </c>
    </row>
    <row r="307" spans="1:9">
      <c r="A307" s="612">
        <f t="shared" si="4"/>
        <v>302</v>
      </c>
      <c r="B307" s="575">
        <v>42916</v>
      </c>
      <c r="C307" s="576">
        <v>454151</v>
      </c>
      <c r="D307" s="576" t="s">
        <v>768</v>
      </c>
      <c r="E307" s="576" t="s">
        <v>1143</v>
      </c>
      <c r="F307" s="576" t="s">
        <v>908</v>
      </c>
      <c r="G307" s="525">
        <v>-65.75</v>
      </c>
      <c r="H307" s="576">
        <v>856</v>
      </c>
      <c r="I307" s="576" t="s">
        <v>1035</v>
      </c>
    </row>
    <row r="308" spans="1:9">
      <c r="A308" s="612">
        <f t="shared" si="4"/>
        <v>303</v>
      </c>
      <c r="B308" s="575">
        <v>42947</v>
      </c>
      <c r="C308" s="576">
        <v>454151</v>
      </c>
      <c r="D308" s="576" t="s">
        <v>14</v>
      </c>
      <c r="E308" s="576" t="s">
        <v>1143</v>
      </c>
      <c r="F308" s="576" t="s">
        <v>908</v>
      </c>
      <c r="G308" s="525">
        <v>-67.95</v>
      </c>
      <c r="H308" s="576">
        <v>856</v>
      </c>
      <c r="I308" s="576" t="s">
        <v>1035</v>
      </c>
    </row>
    <row r="309" spans="1:9">
      <c r="A309" s="612">
        <f t="shared" si="4"/>
        <v>304</v>
      </c>
      <c r="B309" s="575">
        <v>42978</v>
      </c>
      <c r="C309" s="576">
        <v>454151</v>
      </c>
      <c r="D309" s="576" t="s">
        <v>769</v>
      </c>
      <c r="E309" s="576" t="s">
        <v>1143</v>
      </c>
      <c r="F309" s="576" t="s">
        <v>908</v>
      </c>
      <c r="G309" s="525">
        <v>-67.95</v>
      </c>
      <c r="H309" s="576">
        <v>856</v>
      </c>
      <c r="I309" s="576" t="s">
        <v>1035</v>
      </c>
    </row>
    <row r="310" spans="1:9">
      <c r="A310" s="612">
        <f t="shared" si="4"/>
        <v>305</v>
      </c>
      <c r="B310" s="577">
        <v>43008</v>
      </c>
      <c r="C310" s="580">
        <v>454151</v>
      </c>
      <c r="D310" s="580" t="s">
        <v>770</v>
      </c>
      <c r="E310" s="580" t="s">
        <v>1143</v>
      </c>
      <c r="F310" s="580" t="s">
        <v>908</v>
      </c>
      <c r="G310" s="579">
        <v>-65.75</v>
      </c>
      <c r="H310" s="580">
        <v>856</v>
      </c>
      <c r="I310" s="576" t="s">
        <v>1035</v>
      </c>
    </row>
    <row r="311" spans="1:9">
      <c r="A311" s="612">
        <f t="shared" si="4"/>
        <v>306</v>
      </c>
      <c r="B311" s="575">
        <v>43039</v>
      </c>
      <c r="C311" s="576">
        <v>454151</v>
      </c>
      <c r="D311" s="576" t="s">
        <v>771</v>
      </c>
      <c r="E311" s="576" t="s">
        <v>1143</v>
      </c>
      <c r="F311" s="576" t="s">
        <v>908</v>
      </c>
      <c r="G311" s="525">
        <v>-67.95</v>
      </c>
      <c r="H311" s="576">
        <v>856</v>
      </c>
      <c r="I311" s="576" t="s">
        <v>1035</v>
      </c>
    </row>
    <row r="312" spans="1:9">
      <c r="A312" s="612">
        <f t="shared" si="4"/>
        <v>307</v>
      </c>
      <c r="B312" s="577">
        <v>43069</v>
      </c>
      <c r="C312" s="576">
        <v>454151</v>
      </c>
      <c r="D312" s="576" t="s">
        <v>772</v>
      </c>
      <c r="E312" s="576" t="s">
        <v>1143</v>
      </c>
      <c r="F312" s="578" t="s">
        <v>908</v>
      </c>
      <c r="G312" s="579">
        <v>-65.75</v>
      </c>
      <c r="H312" s="576">
        <v>856</v>
      </c>
      <c r="I312" s="576" t="s">
        <v>1035</v>
      </c>
    </row>
    <row r="313" spans="1:9">
      <c r="A313" s="612">
        <f t="shared" si="4"/>
        <v>308</v>
      </c>
      <c r="B313" s="577">
        <v>43100</v>
      </c>
      <c r="C313" s="576">
        <v>454151</v>
      </c>
      <c r="D313" s="576" t="s">
        <v>146</v>
      </c>
      <c r="E313" s="576" t="s">
        <v>1143</v>
      </c>
      <c r="F313" s="578" t="s">
        <v>908</v>
      </c>
      <c r="G313" s="579">
        <v>-67.95</v>
      </c>
      <c r="H313" s="576">
        <v>856</v>
      </c>
      <c r="I313" s="576" t="s">
        <v>1035</v>
      </c>
    </row>
    <row r="314" spans="1:9">
      <c r="A314" s="612">
        <f t="shared" si="4"/>
        <v>309</v>
      </c>
      <c r="B314" s="577">
        <v>42825</v>
      </c>
      <c r="C314" s="580">
        <v>454151</v>
      </c>
      <c r="D314" s="580" t="s">
        <v>13</v>
      </c>
      <c r="E314" s="580" t="s">
        <v>1000</v>
      </c>
      <c r="F314" s="580" t="s">
        <v>689</v>
      </c>
      <c r="G314" s="579">
        <v>-553</v>
      </c>
      <c r="H314" s="580">
        <v>856</v>
      </c>
      <c r="I314" s="580" t="s">
        <v>1035</v>
      </c>
    </row>
    <row r="315" spans="1:9">
      <c r="A315" s="612">
        <f t="shared" si="4"/>
        <v>310</v>
      </c>
      <c r="B315" s="577">
        <v>42855</v>
      </c>
      <c r="C315" s="580">
        <v>454151</v>
      </c>
      <c r="D315" s="580" t="s">
        <v>766</v>
      </c>
      <c r="E315" s="580" t="s">
        <v>1000</v>
      </c>
      <c r="F315" s="580" t="s">
        <v>689</v>
      </c>
      <c r="G315" s="579">
        <v>-184</v>
      </c>
      <c r="H315" s="580">
        <v>856</v>
      </c>
      <c r="I315" s="580" t="s">
        <v>1035</v>
      </c>
    </row>
    <row r="316" spans="1:9">
      <c r="A316" s="612">
        <f t="shared" si="4"/>
        <v>311</v>
      </c>
      <c r="B316" s="577">
        <v>42886</v>
      </c>
      <c r="C316" s="580">
        <v>454151</v>
      </c>
      <c r="D316" s="580" t="s">
        <v>767</v>
      </c>
      <c r="E316" s="580" t="s">
        <v>1000</v>
      </c>
      <c r="F316" s="580" t="s">
        <v>689</v>
      </c>
      <c r="G316" s="579">
        <v>-184</v>
      </c>
      <c r="H316" s="580">
        <v>856</v>
      </c>
      <c r="I316" s="580" t="s">
        <v>1035</v>
      </c>
    </row>
    <row r="317" spans="1:9">
      <c r="A317" s="612">
        <f t="shared" si="4"/>
        <v>312</v>
      </c>
      <c r="B317" s="577">
        <v>42916</v>
      </c>
      <c r="C317" s="580">
        <v>454151</v>
      </c>
      <c r="D317" s="580" t="s">
        <v>768</v>
      </c>
      <c r="E317" s="580" t="s">
        <v>1000</v>
      </c>
      <c r="F317" s="580" t="s">
        <v>689</v>
      </c>
      <c r="G317" s="579">
        <v>-184</v>
      </c>
      <c r="H317" s="580">
        <v>856</v>
      </c>
      <c r="I317" s="580" t="s">
        <v>1035</v>
      </c>
    </row>
    <row r="318" spans="1:9">
      <c r="A318" s="612">
        <f t="shared" si="4"/>
        <v>313</v>
      </c>
      <c r="B318" s="577">
        <v>43100</v>
      </c>
      <c r="C318" s="580">
        <v>454151</v>
      </c>
      <c r="D318" s="580" t="s">
        <v>146</v>
      </c>
      <c r="E318" s="580" t="s">
        <v>1000</v>
      </c>
      <c r="F318" s="580" t="s">
        <v>689</v>
      </c>
      <c r="G318" s="579">
        <v>-1105</v>
      </c>
      <c r="H318" s="580" t="s">
        <v>1333</v>
      </c>
      <c r="I318" s="580" t="s">
        <v>1036</v>
      </c>
    </row>
    <row r="319" spans="1:9">
      <c r="A319" s="612">
        <f t="shared" si="4"/>
        <v>314</v>
      </c>
      <c r="B319" s="577">
        <v>42766</v>
      </c>
      <c r="C319" s="580">
        <v>454151</v>
      </c>
      <c r="D319" s="580" t="s">
        <v>764</v>
      </c>
      <c r="E319" s="580" t="s">
        <v>1001</v>
      </c>
      <c r="F319" s="580" t="s">
        <v>908</v>
      </c>
      <c r="G319" s="579">
        <v>-152.87</v>
      </c>
      <c r="H319" s="580">
        <v>856</v>
      </c>
      <c r="I319" s="580" t="s">
        <v>1035</v>
      </c>
    </row>
    <row r="320" spans="1:9">
      <c r="A320" s="612">
        <f t="shared" si="4"/>
        <v>315</v>
      </c>
      <c r="B320" s="577">
        <v>42766</v>
      </c>
      <c r="C320" s="580" t="s">
        <v>1118</v>
      </c>
      <c r="D320" s="580" t="s">
        <v>764</v>
      </c>
      <c r="E320" s="580" t="s">
        <v>1001</v>
      </c>
      <c r="F320" s="580" t="s">
        <v>908</v>
      </c>
      <c r="G320" s="579">
        <v>-179.63</v>
      </c>
      <c r="H320" s="580">
        <v>856</v>
      </c>
      <c r="I320" s="580" t="s">
        <v>1035</v>
      </c>
    </row>
    <row r="321" spans="1:9">
      <c r="A321" s="612">
        <f t="shared" si="4"/>
        <v>316</v>
      </c>
      <c r="B321" s="577">
        <v>42766</v>
      </c>
      <c r="C321" s="580" t="s">
        <v>1118</v>
      </c>
      <c r="D321" s="580" t="s">
        <v>764</v>
      </c>
      <c r="E321" s="580" t="s">
        <v>1001</v>
      </c>
      <c r="F321" s="580" t="s">
        <v>908</v>
      </c>
      <c r="G321" s="579">
        <v>-41.36</v>
      </c>
      <c r="H321" s="580">
        <v>856</v>
      </c>
      <c r="I321" s="580" t="s">
        <v>1035</v>
      </c>
    </row>
    <row r="322" spans="1:9">
      <c r="A322" s="612">
        <f t="shared" si="4"/>
        <v>317</v>
      </c>
      <c r="B322" s="577">
        <v>42766</v>
      </c>
      <c r="C322" s="580" t="s">
        <v>1118</v>
      </c>
      <c r="D322" s="580" t="s">
        <v>764</v>
      </c>
      <c r="E322" s="580" t="s">
        <v>1001</v>
      </c>
      <c r="F322" s="580" t="s">
        <v>908</v>
      </c>
      <c r="G322" s="579">
        <v>-370.85</v>
      </c>
      <c r="H322" s="580">
        <v>856</v>
      </c>
      <c r="I322" s="580" t="s">
        <v>1035</v>
      </c>
    </row>
    <row r="323" spans="1:9">
      <c r="A323" s="612">
        <f t="shared" si="4"/>
        <v>318</v>
      </c>
      <c r="B323" s="577">
        <v>42794</v>
      </c>
      <c r="C323" s="580">
        <v>454151</v>
      </c>
      <c r="D323" s="580" t="s">
        <v>765</v>
      </c>
      <c r="E323" s="580" t="s">
        <v>1001</v>
      </c>
      <c r="F323" s="580" t="s">
        <v>908</v>
      </c>
      <c r="G323" s="579">
        <v>-138.08000000000001</v>
      </c>
      <c r="H323" s="580">
        <v>856</v>
      </c>
      <c r="I323" s="580" t="s">
        <v>1035</v>
      </c>
    </row>
    <row r="324" spans="1:9">
      <c r="A324" s="612">
        <f t="shared" si="4"/>
        <v>319</v>
      </c>
      <c r="B324" s="577">
        <v>42794</v>
      </c>
      <c r="C324" s="580" t="s">
        <v>1118</v>
      </c>
      <c r="D324" s="580" t="s">
        <v>765</v>
      </c>
      <c r="E324" s="580" t="s">
        <v>1001</v>
      </c>
      <c r="F324" s="580" t="s">
        <v>908</v>
      </c>
      <c r="G324" s="579">
        <v>-179.63</v>
      </c>
      <c r="H324" s="580">
        <v>856</v>
      </c>
      <c r="I324" s="580" t="s">
        <v>1035</v>
      </c>
    </row>
    <row r="325" spans="1:9">
      <c r="A325" s="612">
        <f t="shared" si="4"/>
        <v>320</v>
      </c>
      <c r="B325" s="577">
        <v>42794</v>
      </c>
      <c r="C325" s="580" t="s">
        <v>1118</v>
      </c>
      <c r="D325" s="580" t="s">
        <v>765</v>
      </c>
      <c r="E325" s="580" t="s">
        <v>1001</v>
      </c>
      <c r="F325" s="580" t="s">
        <v>908</v>
      </c>
      <c r="G325" s="579">
        <v>-41.36</v>
      </c>
      <c r="H325" s="580">
        <v>856</v>
      </c>
      <c r="I325" s="580" t="s">
        <v>1035</v>
      </c>
    </row>
    <row r="326" spans="1:9">
      <c r="A326" s="612">
        <f t="shared" si="4"/>
        <v>321</v>
      </c>
      <c r="B326" s="577">
        <v>42794</v>
      </c>
      <c r="C326" s="580" t="s">
        <v>1118</v>
      </c>
      <c r="D326" s="580" t="s">
        <v>765</v>
      </c>
      <c r="E326" s="580" t="s">
        <v>1001</v>
      </c>
      <c r="F326" s="580" t="s">
        <v>908</v>
      </c>
      <c r="G326" s="579">
        <v>-334.96</v>
      </c>
      <c r="H326" s="580">
        <v>856</v>
      </c>
      <c r="I326" s="580" t="s">
        <v>1035</v>
      </c>
    </row>
    <row r="327" spans="1:9">
      <c r="A327" s="612">
        <f t="shared" si="4"/>
        <v>322</v>
      </c>
      <c r="B327" s="577">
        <v>42825</v>
      </c>
      <c r="C327" s="580">
        <v>454151</v>
      </c>
      <c r="D327" s="580" t="s">
        <v>13</v>
      </c>
      <c r="E327" s="580" t="s">
        <v>1001</v>
      </c>
      <c r="F327" s="580" t="s">
        <v>908</v>
      </c>
      <c r="G327" s="579">
        <v>-152.87</v>
      </c>
      <c r="H327" s="580">
        <v>856</v>
      </c>
      <c r="I327" s="580" t="s">
        <v>1035</v>
      </c>
    </row>
    <row r="328" spans="1:9">
      <c r="A328" s="612">
        <f t="shared" si="4"/>
        <v>323</v>
      </c>
      <c r="B328" s="577">
        <v>42825</v>
      </c>
      <c r="C328" s="580" t="s">
        <v>1118</v>
      </c>
      <c r="D328" s="580" t="s">
        <v>13</v>
      </c>
      <c r="E328" s="580" t="s">
        <v>1001</v>
      </c>
      <c r="F328" s="580" t="s">
        <v>908</v>
      </c>
      <c r="G328" s="579">
        <v>-179.62</v>
      </c>
      <c r="H328" s="580">
        <v>856</v>
      </c>
      <c r="I328" s="580" t="s">
        <v>1035</v>
      </c>
    </row>
    <row r="329" spans="1:9">
      <c r="A329" s="612">
        <f t="shared" si="4"/>
        <v>324</v>
      </c>
      <c r="B329" s="577">
        <v>42825</v>
      </c>
      <c r="C329" s="580" t="s">
        <v>1118</v>
      </c>
      <c r="D329" s="580" t="s">
        <v>13</v>
      </c>
      <c r="E329" s="580" t="s">
        <v>1001</v>
      </c>
      <c r="F329" s="580" t="s">
        <v>908</v>
      </c>
      <c r="G329" s="579">
        <v>-41.36</v>
      </c>
      <c r="H329" s="580">
        <v>856</v>
      </c>
      <c r="I329" s="580" t="s">
        <v>1035</v>
      </c>
    </row>
    <row r="330" spans="1:9">
      <c r="A330" s="612">
        <f t="shared" si="4"/>
        <v>325</v>
      </c>
      <c r="B330" s="577">
        <v>42825</v>
      </c>
      <c r="C330" s="580" t="s">
        <v>1118</v>
      </c>
      <c r="D330" s="580" t="s">
        <v>13</v>
      </c>
      <c r="E330" s="580" t="s">
        <v>1001</v>
      </c>
      <c r="F330" s="580" t="s">
        <v>908</v>
      </c>
      <c r="G330" s="579">
        <v>-370.85</v>
      </c>
      <c r="H330" s="580">
        <v>856</v>
      </c>
      <c r="I330" s="580" t="s">
        <v>1035</v>
      </c>
    </row>
    <row r="331" spans="1:9">
      <c r="A331" s="612">
        <f t="shared" si="4"/>
        <v>326</v>
      </c>
      <c r="B331" s="577">
        <v>42855</v>
      </c>
      <c r="C331" s="580">
        <v>454151</v>
      </c>
      <c r="D331" s="580" t="s">
        <v>766</v>
      </c>
      <c r="E331" s="580" t="s">
        <v>1001</v>
      </c>
      <c r="F331" s="580" t="s">
        <v>908</v>
      </c>
      <c r="G331" s="579">
        <v>-147.94</v>
      </c>
      <c r="H331" s="580">
        <v>856</v>
      </c>
      <c r="I331" s="580" t="s">
        <v>1035</v>
      </c>
    </row>
    <row r="332" spans="1:9">
      <c r="A332" s="612">
        <f t="shared" si="4"/>
        <v>327</v>
      </c>
      <c r="B332" s="577">
        <v>42855</v>
      </c>
      <c r="C332" s="580" t="s">
        <v>1118</v>
      </c>
      <c r="D332" s="580" t="s">
        <v>766</v>
      </c>
      <c r="E332" s="580" t="s">
        <v>1001</v>
      </c>
      <c r="F332" s="580" t="s">
        <v>908</v>
      </c>
      <c r="G332" s="579">
        <v>-159</v>
      </c>
      <c r="H332" s="580">
        <v>856</v>
      </c>
      <c r="I332" s="580" t="s">
        <v>1035</v>
      </c>
    </row>
    <row r="333" spans="1:9">
      <c r="A333" s="612">
        <f t="shared" si="4"/>
        <v>328</v>
      </c>
      <c r="B333" s="577">
        <v>42855</v>
      </c>
      <c r="C333" s="580" t="s">
        <v>1118</v>
      </c>
      <c r="D333" s="580" t="s">
        <v>766</v>
      </c>
      <c r="E333" s="580" t="s">
        <v>1001</v>
      </c>
      <c r="F333" s="580" t="s">
        <v>908</v>
      </c>
      <c r="G333" s="579">
        <v>-41.36</v>
      </c>
      <c r="H333" s="580">
        <v>856</v>
      </c>
      <c r="I333" s="580" t="s">
        <v>1035</v>
      </c>
    </row>
    <row r="334" spans="1:9">
      <c r="A334" s="612">
        <f t="shared" si="4"/>
        <v>329</v>
      </c>
      <c r="B334" s="577">
        <v>42855</v>
      </c>
      <c r="C334" s="580" t="s">
        <v>1118</v>
      </c>
      <c r="D334" s="580" t="s">
        <v>766</v>
      </c>
      <c r="E334" s="580" t="s">
        <v>1001</v>
      </c>
      <c r="F334" s="580" t="s">
        <v>908</v>
      </c>
      <c r="G334" s="579">
        <v>-358.88</v>
      </c>
      <c r="H334" s="580">
        <v>856</v>
      </c>
      <c r="I334" s="580" t="s">
        <v>1035</v>
      </c>
    </row>
    <row r="335" spans="1:9">
      <c r="A335" s="612">
        <f t="shared" si="4"/>
        <v>330</v>
      </c>
      <c r="B335" s="577">
        <v>42886</v>
      </c>
      <c r="C335" s="580">
        <v>454151</v>
      </c>
      <c r="D335" s="580" t="s">
        <v>767</v>
      </c>
      <c r="E335" s="580" t="s">
        <v>1001</v>
      </c>
      <c r="F335" s="580" t="s">
        <v>908</v>
      </c>
      <c r="G335" s="579">
        <v>-152.87</v>
      </c>
      <c r="H335" s="580">
        <v>856</v>
      </c>
      <c r="I335" s="580" t="s">
        <v>1035</v>
      </c>
    </row>
    <row r="336" spans="1:9">
      <c r="A336" s="612">
        <f t="shared" si="4"/>
        <v>331</v>
      </c>
      <c r="B336" s="577">
        <v>42886</v>
      </c>
      <c r="C336" s="580" t="s">
        <v>1118</v>
      </c>
      <c r="D336" s="580" t="s">
        <v>767</v>
      </c>
      <c r="E336" s="580" t="s">
        <v>1001</v>
      </c>
      <c r="F336" s="580" t="s">
        <v>908</v>
      </c>
      <c r="G336" s="579">
        <v>-197</v>
      </c>
      <c r="H336" s="580">
        <v>856</v>
      </c>
      <c r="I336" s="580" t="s">
        <v>1035</v>
      </c>
    </row>
    <row r="337" spans="1:9">
      <c r="A337" s="612">
        <f t="shared" si="4"/>
        <v>332</v>
      </c>
      <c r="B337" s="577">
        <v>42886</v>
      </c>
      <c r="C337" s="580" t="s">
        <v>1118</v>
      </c>
      <c r="D337" s="580" t="s">
        <v>767</v>
      </c>
      <c r="E337" s="580" t="s">
        <v>1001</v>
      </c>
      <c r="F337" s="580" t="s">
        <v>908</v>
      </c>
      <c r="G337" s="579">
        <v>-41.38</v>
      </c>
      <c r="H337" s="580">
        <v>856</v>
      </c>
      <c r="I337" s="580" t="s">
        <v>1035</v>
      </c>
    </row>
    <row r="338" spans="1:9">
      <c r="A338" s="612">
        <f t="shared" si="4"/>
        <v>333</v>
      </c>
      <c r="B338" s="575">
        <v>42886</v>
      </c>
      <c r="C338" s="576" t="s">
        <v>1118</v>
      </c>
      <c r="D338" s="576" t="s">
        <v>767</v>
      </c>
      <c r="E338" s="576" t="s">
        <v>1001</v>
      </c>
      <c r="F338" s="576" t="s">
        <v>908</v>
      </c>
      <c r="G338" s="525">
        <v>-370.85</v>
      </c>
      <c r="H338" s="576">
        <v>856</v>
      </c>
      <c r="I338" s="576" t="s">
        <v>1035</v>
      </c>
    </row>
    <row r="339" spans="1:9">
      <c r="A339" s="612">
        <f t="shared" si="4"/>
        <v>334</v>
      </c>
      <c r="B339" s="575">
        <v>42916</v>
      </c>
      <c r="C339" s="576" t="s">
        <v>1118</v>
      </c>
      <c r="D339" s="576" t="s">
        <v>768</v>
      </c>
      <c r="E339" s="576" t="s">
        <v>1001</v>
      </c>
      <c r="F339" s="576" t="s">
        <v>908</v>
      </c>
      <c r="G339" s="525">
        <v>-358.88</v>
      </c>
      <c r="H339" s="576">
        <v>856</v>
      </c>
      <c r="I339" s="576" t="s">
        <v>1035</v>
      </c>
    </row>
    <row r="340" spans="1:9">
      <c r="A340" s="612">
        <f t="shared" si="4"/>
        <v>335</v>
      </c>
      <c r="B340" s="575">
        <v>42916</v>
      </c>
      <c r="C340" s="576" t="s">
        <v>1118</v>
      </c>
      <c r="D340" s="576" t="s">
        <v>768</v>
      </c>
      <c r="E340" s="576" t="s">
        <v>1001</v>
      </c>
      <c r="F340" s="576" t="s">
        <v>908</v>
      </c>
      <c r="G340" s="525">
        <v>-191</v>
      </c>
      <c r="H340" s="576">
        <v>856</v>
      </c>
      <c r="I340" s="576" t="s">
        <v>1035</v>
      </c>
    </row>
    <row r="341" spans="1:9">
      <c r="A341" s="612">
        <f t="shared" si="4"/>
        <v>336</v>
      </c>
      <c r="B341" s="575">
        <v>42916</v>
      </c>
      <c r="C341" s="576" t="s">
        <v>1118</v>
      </c>
      <c r="D341" s="576" t="s">
        <v>768</v>
      </c>
      <c r="E341" s="576" t="s">
        <v>1001</v>
      </c>
      <c r="F341" s="576" t="s">
        <v>908</v>
      </c>
      <c r="G341" s="525">
        <v>-153.12</v>
      </c>
      <c r="H341" s="576" t="s">
        <v>1333</v>
      </c>
      <c r="I341" s="576" t="s">
        <v>1035</v>
      </c>
    </row>
    <row r="342" spans="1:9">
      <c r="A342" s="612">
        <f t="shared" si="4"/>
        <v>337</v>
      </c>
      <c r="B342" s="575">
        <v>42916</v>
      </c>
      <c r="C342" s="576" t="s">
        <v>1118</v>
      </c>
      <c r="D342" s="576" t="s">
        <v>768</v>
      </c>
      <c r="E342" s="576" t="s">
        <v>1001</v>
      </c>
      <c r="F342" s="576" t="s">
        <v>908</v>
      </c>
      <c r="G342" s="525">
        <v>-202.62</v>
      </c>
      <c r="H342" s="576" t="s">
        <v>1333</v>
      </c>
      <c r="I342" s="576" t="s">
        <v>1035</v>
      </c>
    </row>
    <row r="343" spans="1:9">
      <c r="A343" s="612">
        <f t="shared" ref="A343:A406" si="5">A342+1</f>
        <v>338</v>
      </c>
      <c r="B343" s="575">
        <v>42916</v>
      </c>
      <c r="C343" s="576" t="s">
        <v>1118</v>
      </c>
      <c r="D343" s="576" t="s">
        <v>768</v>
      </c>
      <c r="E343" s="576" t="s">
        <v>1001</v>
      </c>
      <c r="F343" s="576" t="s">
        <v>908</v>
      </c>
      <c r="G343" s="525">
        <v>-44.38</v>
      </c>
      <c r="H343" s="576" t="s">
        <v>1333</v>
      </c>
      <c r="I343" s="576" t="s">
        <v>1035</v>
      </c>
    </row>
    <row r="344" spans="1:9">
      <c r="A344" s="612">
        <f t="shared" si="5"/>
        <v>339</v>
      </c>
      <c r="B344" s="575">
        <v>42916</v>
      </c>
      <c r="C344" s="576" t="s">
        <v>1118</v>
      </c>
      <c r="D344" s="576" t="s">
        <v>768</v>
      </c>
      <c r="E344" s="576" t="s">
        <v>1001</v>
      </c>
      <c r="F344" s="576" t="s">
        <v>908</v>
      </c>
      <c r="G344" s="525">
        <v>-130.83000000000001</v>
      </c>
      <c r="H344" s="576" t="s">
        <v>1333</v>
      </c>
      <c r="I344" s="576" t="s">
        <v>1035</v>
      </c>
    </row>
    <row r="345" spans="1:9">
      <c r="A345" s="612">
        <f t="shared" si="5"/>
        <v>340</v>
      </c>
      <c r="B345" s="575">
        <v>42947</v>
      </c>
      <c r="C345" s="576" t="s">
        <v>1118</v>
      </c>
      <c r="D345" s="576" t="s">
        <v>14</v>
      </c>
      <c r="E345" s="576" t="s">
        <v>1001</v>
      </c>
      <c r="F345" s="576" t="s">
        <v>908</v>
      </c>
      <c r="G345" s="525">
        <v>-370.85</v>
      </c>
      <c r="H345" s="576">
        <v>856</v>
      </c>
      <c r="I345" s="576" t="s">
        <v>1035</v>
      </c>
    </row>
    <row r="346" spans="1:9">
      <c r="A346" s="612">
        <f t="shared" si="5"/>
        <v>341</v>
      </c>
      <c r="B346" s="575">
        <v>42947</v>
      </c>
      <c r="C346" s="576" t="s">
        <v>1118</v>
      </c>
      <c r="D346" s="576" t="s">
        <v>14</v>
      </c>
      <c r="E346" s="576" t="s">
        <v>1001</v>
      </c>
      <c r="F346" s="576" t="s">
        <v>908</v>
      </c>
      <c r="G346" s="525">
        <v>-197</v>
      </c>
      <c r="H346" s="576">
        <v>856</v>
      </c>
      <c r="I346" s="576" t="s">
        <v>1035</v>
      </c>
    </row>
    <row r="347" spans="1:9">
      <c r="A347" s="612">
        <f t="shared" si="5"/>
        <v>342</v>
      </c>
      <c r="B347" s="575">
        <v>42947</v>
      </c>
      <c r="C347" s="576" t="s">
        <v>1118</v>
      </c>
      <c r="D347" s="576" t="s">
        <v>14</v>
      </c>
      <c r="E347" s="576" t="s">
        <v>1001</v>
      </c>
      <c r="F347" s="576" t="s">
        <v>908</v>
      </c>
      <c r="G347" s="525">
        <v>-158.22999999999999</v>
      </c>
      <c r="H347" s="576" t="s">
        <v>1333</v>
      </c>
      <c r="I347" s="576" t="s">
        <v>1035</v>
      </c>
    </row>
    <row r="348" spans="1:9">
      <c r="A348" s="612">
        <f t="shared" si="5"/>
        <v>343</v>
      </c>
      <c r="B348" s="575">
        <v>42947</v>
      </c>
      <c r="C348" s="576" t="s">
        <v>1118</v>
      </c>
      <c r="D348" s="576" t="s">
        <v>14</v>
      </c>
      <c r="E348" s="576" t="s">
        <v>1001</v>
      </c>
      <c r="F348" s="576" t="s">
        <v>908</v>
      </c>
      <c r="G348" s="525">
        <v>-45.86</v>
      </c>
      <c r="H348" s="576" t="s">
        <v>1333</v>
      </c>
      <c r="I348" s="576" t="s">
        <v>1035</v>
      </c>
    </row>
    <row r="349" spans="1:9">
      <c r="A349" s="612">
        <f t="shared" si="5"/>
        <v>344</v>
      </c>
      <c r="B349" s="575">
        <v>42947</v>
      </c>
      <c r="C349" s="576" t="s">
        <v>1118</v>
      </c>
      <c r="D349" s="576" t="s">
        <v>14</v>
      </c>
      <c r="E349" s="576" t="s">
        <v>1001</v>
      </c>
      <c r="F349" s="576" t="s">
        <v>908</v>
      </c>
      <c r="G349" s="525">
        <v>-135.19</v>
      </c>
      <c r="H349" s="576" t="s">
        <v>1333</v>
      </c>
      <c r="I349" s="576" t="s">
        <v>1035</v>
      </c>
    </row>
    <row r="350" spans="1:9">
      <c r="A350" s="612">
        <f t="shared" si="5"/>
        <v>345</v>
      </c>
      <c r="B350" s="575">
        <v>42978</v>
      </c>
      <c r="C350" s="576" t="s">
        <v>1118</v>
      </c>
      <c r="D350" s="576" t="s">
        <v>769</v>
      </c>
      <c r="E350" s="576" t="s">
        <v>1001</v>
      </c>
      <c r="F350" s="576" t="s">
        <v>908</v>
      </c>
      <c r="G350" s="525">
        <v>-370.85</v>
      </c>
      <c r="H350" s="576">
        <v>856</v>
      </c>
      <c r="I350" s="576" t="s">
        <v>1035</v>
      </c>
    </row>
    <row r="351" spans="1:9">
      <c r="A351" s="612">
        <f t="shared" si="5"/>
        <v>346</v>
      </c>
      <c r="B351" s="575">
        <v>42978</v>
      </c>
      <c r="C351" s="576" t="s">
        <v>1118</v>
      </c>
      <c r="D351" s="576" t="s">
        <v>769</v>
      </c>
      <c r="E351" s="576" t="s">
        <v>1001</v>
      </c>
      <c r="F351" s="576" t="s">
        <v>908</v>
      </c>
      <c r="G351" s="525">
        <v>-197</v>
      </c>
      <c r="H351" s="576">
        <v>856</v>
      </c>
      <c r="I351" s="576" t="s">
        <v>1035</v>
      </c>
    </row>
    <row r="352" spans="1:9">
      <c r="A352" s="612">
        <f t="shared" si="5"/>
        <v>347</v>
      </c>
      <c r="B352" s="575">
        <v>42978</v>
      </c>
      <c r="C352" s="576" t="s">
        <v>1118</v>
      </c>
      <c r="D352" s="576" t="s">
        <v>769</v>
      </c>
      <c r="E352" s="576" t="s">
        <v>1001</v>
      </c>
      <c r="F352" s="576" t="s">
        <v>908</v>
      </c>
      <c r="G352" s="525">
        <v>-158.22999999999999</v>
      </c>
      <c r="H352" s="576" t="s">
        <v>1333</v>
      </c>
      <c r="I352" s="576" t="s">
        <v>1035</v>
      </c>
    </row>
    <row r="353" spans="1:9">
      <c r="A353" s="612">
        <f t="shared" si="5"/>
        <v>348</v>
      </c>
      <c r="B353" s="575">
        <v>42978</v>
      </c>
      <c r="C353" s="576" t="s">
        <v>1118</v>
      </c>
      <c r="D353" s="576" t="s">
        <v>769</v>
      </c>
      <c r="E353" s="576" t="s">
        <v>1001</v>
      </c>
      <c r="F353" s="576" t="s">
        <v>908</v>
      </c>
      <c r="G353" s="525">
        <v>-45.86</v>
      </c>
      <c r="H353" s="576" t="s">
        <v>1333</v>
      </c>
      <c r="I353" s="576" t="s">
        <v>1035</v>
      </c>
    </row>
    <row r="354" spans="1:9">
      <c r="A354" s="612">
        <f t="shared" si="5"/>
        <v>349</v>
      </c>
      <c r="B354" s="575">
        <v>42978</v>
      </c>
      <c r="C354" s="576" t="s">
        <v>1118</v>
      </c>
      <c r="D354" s="576" t="s">
        <v>769</v>
      </c>
      <c r="E354" s="576" t="s">
        <v>1001</v>
      </c>
      <c r="F354" s="576" t="s">
        <v>908</v>
      </c>
      <c r="G354" s="525">
        <v>-135.19</v>
      </c>
      <c r="H354" s="576" t="s">
        <v>1333</v>
      </c>
      <c r="I354" s="576" t="s">
        <v>1035</v>
      </c>
    </row>
    <row r="355" spans="1:9">
      <c r="A355" s="612">
        <f t="shared" si="5"/>
        <v>350</v>
      </c>
      <c r="B355" s="575">
        <v>43008</v>
      </c>
      <c r="C355" s="576" t="s">
        <v>1118</v>
      </c>
      <c r="D355" s="576" t="s">
        <v>770</v>
      </c>
      <c r="E355" s="576" t="s">
        <v>1001</v>
      </c>
      <c r="F355" s="576" t="s">
        <v>908</v>
      </c>
      <c r="G355" s="525">
        <v>-358.88</v>
      </c>
      <c r="H355" s="576">
        <v>856</v>
      </c>
      <c r="I355" s="576" t="s">
        <v>1035</v>
      </c>
    </row>
    <row r="356" spans="1:9">
      <c r="A356" s="612">
        <f t="shared" si="5"/>
        <v>351</v>
      </c>
      <c r="B356" s="575">
        <v>43008</v>
      </c>
      <c r="C356" s="576" t="s">
        <v>1118</v>
      </c>
      <c r="D356" s="576" t="s">
        <v>770</v>
      </c>
      <c r="E356" s="576" t="s">
        <v>1001</v>
      </c>
      <c r="F356" s="576" t="s">
        <v>908</v>
      </c>
      <c r="G356" s="525">
        <v>-191</v>
      </c>
      <c r="H356" s="576">
        <v>856</v>
      </c>
      <c r="I356" s="576" t="s">
        <v>1035</v>
      </c>
    </row>
    <row r="357" spans="1:9">
      <c r="A357" s="612">
        <f t="shared" si="5"/>
        <v>352</v>
      </c>
      <c r="B357" s="575">
        <v>43008</v>
      </c>
      <c r="C357" s="576" t="s">
        <v>1118</v>
      </c>
      <c r="D357" s="576" t="s">
        <v>770</v>
      </c>
      <c r="E357" s="576" t="s">
        <v>1001</v>
      </c>
      <c r="F357" s="576" t="s">
        <v>908</v>
      </c>
      <c r="G357" s="525">
        <v>-153.12</v>
      </c>
      <c r="H357" s="576" t="s">
        <v>1333</v>
      </c>
      <c r="I357" s="576" t="s">
        <v>1035</v>
      </c>
    </row>
    <row r="358" spans="1:9">
      <c r="A358" s="612">
        <f t="shared" si="5"/>
        <v>353</v>
      </c>
      <c r="B358" s="575">
        <v>43008</v>
      </c>
      <c r="C358" s="576" t="s">
        <v>1118</v>
      </c>
      <c r="D358" s="576" t="s">
        <v>770</v>
      </c>
      <c r="E358" s="576" t="s">
        <v>1001</v>
      </c>
      <c r="F358" s="576" t="s">
        <v>908</v>
      </c>
      <c r="G358" s="525">
        <v>-44.38</v>
      </c>
      <c r="H358" s="576" t="s">
        <v>1333</v>
      </c>
      <c r="I358" s="576" t="s">
        <v>1035</v>
      </c>
    </row>
    <row r="359" spans="1:9">
      <c r="A359" s="612">
        <f t="shared" si="5"/>
        <v>354</v>
      </c>
      <c r="B359" s="575">
        <v>43008</v>
      </c>
      <c r="C359" s="576" t="s">
        <v>1118</v>
      </c>
      <c r="D359" s="576" t="s">
        <v>770</v>
      </c>
      <c r="E359" s="576" t="s">
        <v>1001</v>
      </c>
      <c r="F359" s="576" t="s">
        <v>908</v>
      </c>
      <c r="G359" s="525">
        <v>-130.83000000000001</v>
      </c>
      <c r="H359" s="576" t="s">
        <v>1333</v>
      </c>
      <c r="I359" s="576" t="s">
        <v>1035</v>
      </c>
    </row>
    <row r="360" spans="1:9">
      <c r="A360" s="612">
        <f t="shared" si="5"/>
        <v>355</v>
      </c>
      <c r="B360" s="575">
        <v>43039</v>
      </c>
      <c r="C360" s="576" t="s">
        <v>1118</v>
      </c>
      <c r="D360" s="576" t="s">
        <v>771</v>
      </c>
      <c r="E360" s="576" t="s">
        <v>1001</v>
      </c>
      <c r="F360" s="576" t="s">
        <v>908</v>
      </c>
      <c r="G360" s="525">
        <v>-370.85</v>
      </c>
      <c r="H360" s="576">
        <v>856</v>
      </c>
      <c r="I360" s="576" t="s">
        <v>1035</v>
      </c>
    </row>
    <row r="361" spans="1:9">
      <c r="A361" s="612">
        <f t="shared" si="5"/>
        <v>356</v>
      </c>
      <c r="B361" s="575">
        <v>43039</v>
      </c>
      <c r="C361" s="576" t="s">
        <v>1118</v>
      </c>
      <c r="D361" s="576" t="s">
        <v>771</v>
      </c>
      <c r="E361" s="576" t="s">
        <v>1001</v>
      </c>
      <c r="F361" s="576" t="s">
        <v>908</v>
      </c>
      <c r="G361" s="525">
        <v>-197</v>
      </c>
      <c r="H361" s="576">
        <v>856</v>
      </c>
      <c r="I361" s="576" t="s">
        <v>1035</v>
      </c>
    </row>
    <row r="362" spans="1:9">
      <c r="A362" s="612">
        <f t="shared" si="5"/>
        <v>357</v>
      </c>
      <c r="B362" s="575">
        <v>43039</v>
      </c>
      <c r="C362" s="576" t="s">
        <v>1118</v>
      </c>
      <c r="D362" s="576" t="s">
        <v>771</v>
      </c>
      <c r="E362" s="576" t="s">
        <v>1001</v>
      </c>
      <c r="F362" s="576" t="s">
        <v>908</v>
      </c>
      <c r="G362" s="525">
        <v>-158.22999999999999</v>
      </c>
      <c r="H362" s="576" t="s">
        <v>1333</v>
      </c>
      <c r="I362" s="576" t="s">
        <v>1035</v>
      </c>
    </row>
    <row r="363" spans="1:9">
      <c r="A363" s="612">
        <f t="shared" si="5"/>
        <v>358</v>
      </c>
      <c r="B363" s="575">
        <v>43039</v>
      </c>
      <c r="C363" s="576" t="s">
        <v>1118</v>
      </c>
      <c r="D363" s="576" t="s">
        <v>771</v>
      </c>
      <c r="E363" s="576" t="s">
        <v>1001</v>
      </c>
      <c r="F363" s="576" t="s">
        <v>908</v>
      </c>
      <c r="G363" s="525">
        <v>-45.86</v>
      </c>
      <c r="H363" s="576" t="s">
        <v>1333</v>
      </c>
      <c r="I363" s="576" t="s">
        <v>1035</v>
      </c>
    </row>
    <row r="364" spans="1:9">
      <c r="A364" s="612">
        <f t="shared" si="5"/>
        <v>359</v>
      </c>
      <c r="B364" s="575">
        <v>43039</v>
      </c>
      <c r="C364" s="576" t="s">
        <v>1118</v>
      </c>
      <c r="D364" s="576" t="s">
        <v>771</v>
      </c>
      <c r="E364" s="576" t="s">
        <v>1001</v>
      </c>
      <c r="F364" s="576" t="s">
        <v>908</v>
      </c>
      <c r="G364" s="525">
        <v>-135.19</v>
      </c>
      <c r="H364" s="576" t="s">
        <v>1333</v>
      </c>
      <c r="I364" s="576" t="s">
        <v>1035</v>
      </c>
    </row>
    <row r="365" spans="1:9">
      <c r="A365" s="612">
        <f t="shared" si="5"/>
        <v>360</v>
      </c>
      <c r="B365" s="575">
        <v>43069</v>
      </c>
      <c r="C365" s="576" t="s">
        <v>1118</v>
      </c>
      <c r="D365" s="576" t="s">
        <v>772</v>
      </c>
      <c r="E365" s="576" t="s">
        <v>1001</v>
      </c>
      <c r="F365" s="576" t="s">
        <v>908</v>
      </c>
      <c r="G365" s="525">
        <v>-358.88</v>
      </c>
      <c r="H365" s="576">
        <v>856</v>
      </c>
      <c r="I365" s="576" t="s">
        <v>1035</v>
      </c>
    </row>
    <row r="366" spans="1:9">
      <c r="A366" s="612">
        <f t="shared" si="5"/>
        <v>361</v>
      </c>
      <c r="B366" s="575">
        <v>43069</v>
      </c>
      <c r="C366" s="576" t="s">
        <v>1118</v>
      </c>
      <c r="D366" s="576" t="s">
        <v>772</v>
      </c>
      <c r="E366" s="576" t="s">
        <v>1001</v>
      </c>
      <c r="F366" s="576" t="s">
        <v>908</v>
      </c>
      <c r="G366" s="525">
        <v>-191</v>
      </c>
      <c r="H366" s="576">
        <v>856</v>
      </c>
      <c r="I366" s="576" t="s">
        <v>1035</v>
      </c>
    </row>
    <row r="367" spans="1:9">
      <c r="A367" s="612">
        <f t="shared" si="5"/>
        <v>362</v>
      </c>
      <c r="B367" s="575">
        <v>43069</v>
      </c>
      <c r="C367" s="576" t="s">
        <v>1118</v>
      </c>
      <c r="D367" s="576" t="s">
        <v>772</v>
      </c>
      <c r="E367" s="576" t="s">
        <v>1001</v>
      </c>
      <c r="F367" s="576" t="s">
        <v>908</v>
      </c>
      <c r="G367" s="525">
        <v>-153.12</v>
      </c>
      <c r="H367" s="576" t="s">
        <v>1333</v>
      </c>
      <c r="I367" s="576" t="s">
        <v>1035</v>
      </c>
    </row>
    <row r="368" spans="1:9">
      <c r="A368" s="612">
        <f t="shared" si="5"/>
        <v>363</v>
      </c>
      <c r="B368" s="575">
        <v>43069</v>
      </c>
      <c r="C368" s="576" t="s">
        <v>1118</v>
      </c>
      <c r="D368" s="576" t="s">
        <v>772</v>
      </c>
      <c r="E368" s="576" t="s">
        <v>1001</v>
      </c>
      <c r="F368" s="576" t="s">
        <v>908</v>
      </c>
      <c r="G368" s="525">
        <v>-44.38</v>
      </c>
      <c r="H368" s="576" t="s">
        <v>1333</v>
      </c>
      <c r="I368" s="576" t="s">
        <v>1035</v>
      </c>
    </row>
    <row r="369" spans="1:9">
      <c r="A369" s="612">
        <f t="shared" si="5"/>
        <v>364</v>
      </c>
      <c r="B369" s="575">
        <v>43069</v>
      </c>
      <c r="C369" s="576" t="s">
        <v>1118</v>
      </c>
      <c r="D369" s="576" t="s">
        <v>772</v>
      </c>
      <c r="E369" s="576" t="s">
        <v>1001</v>
      </c>
      <c r="F369" s="576" t="s">
        <v>908</v>
      </c>
      <c r="G369" s="525">
        <v>-130.83000000000001</v>
      </c>
      <c r="H369" s="576" t="s">
        <v>1333</v>
      </c>
      <c r="I369" s="576" t="s">
        <v>1035</v>
      </c>
    </row>
    <row r="370" spans="1:9">
      <c r="A370" s="612">
        <f t="shared" si="5"/>
        <v>365</v>
      </c>
      <c r="B370" s="575">
        <v>43100</v>
      </c>
      <c r="C370" s="576" t="s">
        <v>1118</v>
      </c>
      <c r="D370" s="576" t="s">
        <v>146</v>
      </c>
      <c r="E370" s="576" t="s">
        <v>1001</v>
      </c>
      <c r="F370" s="576" t="s">
        <v>908</v>
      </c>
      <c r="G370" s="525">
        <v>-370.83</v>
      </c>
      <c r="H370" s="576">
        <v>856</v>
      </c>
      <c r="I370" s="576" t="s">
        <v>1035</v>
      </c>
    </row>
    <row r="371" spans="1:9">
      <c r="A371" s="612">
        <f t="shared" si="5"/>
        <v>366</v>
      </c>
      <c r="B371" s="575">
        <v>43100</v>
      </c>
      <c r="C371" s="576" t="s">
        <v>1118</v>
      </c>
      <c r="D371" s="576" t="s">
        <v>146</v>
      </c>
      <c r="E371" s="576" t="s">
        <v>1001</v>
      </c>
      <c r="F371" s="576" t="s">
        <v>908</v>
      </c>
      <c r="G371" s="525">
        <v>-197</v>
      </c>
      <c r="H371" s="576">
        <v>856</v>
      </c>
      <c r="I371" s="576" t="s">
        <v>1035</v>
      </c>
    </row>
    <row r="372" spans="1:9">
      <c r="A372" s="612">
        <f t="shared" si="5"/>
        <v>367</v>
      </c>
      <c r="B372" s="575">
        <v>43100</v>
      </c>
      <c r="C372" s="576" t="s">
        <v>1118</v>
      </c>
      <c r="D372" s="576" t="s">
        <v>146</v>
      </c>
      <c r="E372" s="576" t="s">
        <v>1001</v>
      </c>
      <c r="F372" s="576" t="s">
        <v>908</v>
      </c>
      <c r="G372" s="525">
        <v>-158.22999999999999</v>
      </c>
      <c r="H372" s="576" t="s">
        <v>1333</v>
      </c>
      <c r="I372" s="576" t="s">
        <v>1035</v>
      </c>
    </row>
    <row r="373" spans="1:9">
      <c r="A373" s="612">
        <f t="shared" si="5"/>
        <v>368</v>
      </c>
      <c r="B373" s="575">
        <v>43100</v>
      </c>
      <c r="C373" s="576" t="s">
        <v>1118</v>
      </c>
      <c r="D373" s="576" t="s">
        <v>146</v>
      </c>
      <c r="E373" s="576" t="s">
        <v>1001</v>
      </c>
      <c r="F373" s="576" t="s">
        <v>908</v>
      </c>
      <c r="G373" s="525">
        <v>-45.86</v>
      </c>
      <c r="H373" s="576" t="s">
        <v>1333</v>
      </c>
      <c r="I373" s="576" t="s">
        <v>1035</v>
      </c>
    </row>
    <row r="374" spans="1:9">
      <c r="A374" s="612">
        <f t="shared" si="5"/>
        <v>369</v>
      </c>
      <c r="B374" s="575">
        <v>43100</v>
      </c>
      <c r="C374" s="576" t="s">
        <v>1118</v>
      </c>
      <c r="D374" s="576" t="s">
        <v>146</v>
      </c>
      <c r="E374" s="576" t="s">
        <v>1001</v>
      </c>
      <c r="F374" s="576" t="s">
        <v>908</v>
      </c>
      <c r="G374" s="525">
        <v>-135.19</v>
      </c>
      <c r="H374" s="576" t="s">
        <v>1333</v>
      </c>
      <c r="I374" s="576" t="s">
        <v>1035</v>
      </c>
    </row>
    <row r="375" spans="1:9">
      <c r="A375" s="612">
        <f t="shared" si="5"/>
        <v>370</v>
      </c>
      <c r="B375" s="575">
        <v>42766</v>
      </c>
      <c r="C375" s="576">
        <v>454151</v>
      </c>
      <c r="D375" s="576" t="s">
        <v>764</v>
      </c>
      <c r="E375" s="576" t="s">
        <v>1098</v>
      </c>
      <c r="F375" s="576" t="s">
        <v>689</v>
      </c>
      <c r="G375" s="525">
        <v>-3496.73</v>
      </c>
      <c r="H375" s="576">
        <v>856</v>
      </c>
      <c r="I375" s="576" t="s">
        <v>1035</v>
      </c>
    </row>
    <row r="376" spans="1:9">
      <c r="A376" s="612">
        <f t="shared" si="5"/>
        <v>371</v>
      </c>
      <c r="B376" s="575">
        <v>42794</v>
      </c>
      <c r="C376" s="576">
        <v>454151</v>
      </c>
      <c r="D376" s="576" t="s">
        <v>765</v>
      </c>
      <c r="E376" s="576" t="s">
        <v>1098</v>
      </c>
      <c r="F376" s="576" t="s">
        <v>689</v>
      </c>
      <c r="G376" s="525">
        <v>-3496.73</v>
      </c>
      <c r="H376" s="576">
        <v>856</v>
      </c>
      <c r="I376" s="576" t="s">
        <v>1035</v>
      </c>
    </row>
    <row r="377" spans="1:9">
      <c r="A377" s="612">
        <f t="shared" si="5"/>
        <v>372</v>
      </c>
      <c r="B377" s="575">
        <v>42825</v>
      </c>
      <c r="C377" s="576">
        <v>454151</v>
      </c>
      <c r="D377" s="576" t="s">
        <v>13</v>
      </c>
      <c r="E377" s="576" t="s">
        <v>1098</v>
      </c>
      <c r="F377" s="576" t="s">
        <v>689</v>
      </c>
      <c r="G377" s="525">
        <v>-3496.73</v>
      </c>
      <c r="H377" s="576">
        <v>856</v>
      </c>
      <c r="I377" s="576" t="s">
        <v>1035</v>
      </c>
    </row>
    <row r="378" spans="1:9">
      <c r="A378" s="612">
        <f t="shared" si="5"/>
        <v>373</v>
      </c>
      <c r="B378" s="575">
        <v>42855</v>
      </c>
      <c r="C378" s="576">
        <v>454151</v>
      </c>
      <c r="D378" s="576" t="s">
        <v>766</v>
      </c>
      <c r="E378" s="576" t="s">
        <v>1098</v>
      </c>
      <c r="F378" s="576" t="s">
        <v>689</v>
      </c>
      <c r="G378" s="525">
        <v>-3496.73</v>
      </c>
      <c r="H378" s="576">
        <v>856</v>
      </c>
      <c r="I378" s="576" t="s">
        <v>1035</v>
      </c>
    </row>
    <row r="379" spans="1:9">
      <c r="A379" s="612">
        <f t="shared" si="5"/>
        <v>374</v>
      </c>
      <c r="B379" s="575">
        <v>42886</v>
      </c>
      <c r="C379" s="576">
        <v>454151</v>
      </c>
      <c r="D379" s="576" t="s">
        <v>767</v>
      </c>
      <c r="E379" s="576" t="s">
        <v>1098</v>
      </c>
      <c r="F379" s="576" t="s">
        <v>689</v>
      </c>
      <c r="G379" s="525">
        <v>-3496.73</v>
      </c>
      <c r="H379" s="576">
        <v>856</v>
      </c>
      <c r="I379" s="576" t="s">
        <v>1035</v>
      </c>
    </row>
    <row r="380" spans="1:9">
      <c r="A380" s="612">
        <f t="shared" si="5"/>
        <v>375</v>
      </c>
      <c r="B380" s="575">
        <v>42886</v>
      </c>
      <c r="C380" s="576">
        <v>454151</v>
      </c>
      <c r="D380" s="576" t="s">
        <v>767</v>
      </c>
      <c r="E380" s="576" t="s">
        <v>1098</v>
      </c>
      <c r="F380" s="576" t="s">
        <v>689</v>
      </c>
      <c r="G380" s="525">
        <v>54.56</v>
      </c>
      <c r="H380" s="576">
        <v>856</v>
      </c>
      <c r="I380" s="576" t="s">
        <v>1093</v>
      </c>
    </row>
    <row r="381" spans="1:9">
      <c r="A381" s="612">
        <f t="shared" si="5"/>
        <v>376</v>
      </c>
      <c r="B381" s="575">
        <v>42916</v>
      </c>
      <c r="C381" s="576">
        <v>454151</v>
      </c>
      <c r="D381" s="576" t="s">
        <v>768</v>
      </c>
      <c r="E381" s="576" t="s">
        <v>1098</v>
      </c>
      <c r="F381" s="576" t="s">
        <v>689</v>
      </c>
      <c r="G381" s="525">
        <v>-3496.73</v>
      </c>
      <c r="H381" s="576">
        <v>856</v>
      </c>
      <c r="I381" s="576" t="s">
        <v>1035</v>
      </c>
    </row>
    <row r="382" spans="1:9">
      <c r="A382" s="612">
        <f t="shared" si="5"/>
        <v>377</v>
      </c>
      <c r="B382" s="575">
        <v>42947</v>
      </c>
      <c r="C382" s="576">
        <v>454151</v>
      </c>
      <c r="D382" s="576" t="s">
        <v>14</v>
      </c>
      <c r="E382" s="576" t="s">
        <v>1098</v>
      </c>
      <c r="F382" s="576" t="s">
        <v>689</v>
      </c>
      <c r="G382" s="525">
        <v>-3496.73</v>
      </c>
      <c r="H382" s="576">
        <v>856</v>
      </c>
      <c r="I382" s="576" t="s">
        <v>1035</v>
      </c>
    </row>
    <row r="383" spans="1:9">
      <c r="A383" s="612">
        <f t="shared" si="5"/>
        <v>378</v>
      </c>
      <c r="B383" s="575">
        <v>42978</v>
      </c>
      <c r="C383" s="576">
        <v>454151</v>
      </c>
      <c r="D383" s="576" t="s">
        <v>769</v>
      </c>
      <c r="E383" s="576" t="s">
        <v>1098</v>
      </c>
      <c r="F383" s="576" t="s">
        <v>689</v>
      </c>
      <c r="G383" s="525">
        <v>-3601.63</v>
      </c>
      <c r="H383" s="576">
        <v>856</v>
      </c>
      <c r="I383" s="576" t="s">
        <v>1035</v>
      </c>
    </row>
    <row r="384" spans="1:9">
      <c r="A384" s="612">
        <f t="shared" si="5"/>
        <v>379</v>
      </c>
      <c r="B384" s="575">
        <v>43008</v>
      </c>
      <c r="C384" s="576">
        <v>454151</v>
      </c>
      <c r="D384" s="576" t="s">
        <v>770</v>
      </c>
      <c r="E384" s="576" t="s">
        <v>1098</v>
      </c>
      <c r="F384" s="576" t="s">
        <v>689</v>
      </c>
      <c r="G384" s="525">
        <v>1.3</v>
      </c>
      <c r="H384" s="576">
        <v>856</v>
      </c>
      <c r="I384" s="576" t="s">
        <v>1093</v>
      </c>
    </row>
    <row r="385" spans="1:9">
      <c r="A385" s="612">
        <f t="shared" si="5"/>
        <v>380</v>
      </c>
      <c r="B385" s="575">
        <v>43008</v>
      </c>
      <c r="C385" s="576">
        <v>454151</v>
      </c>
      <c r="D385" s="576" t="s">
        <v>770</v>
      </c>
      <c r="E385" s="576" t="s">
        <v>1098</v>
      </c>
      <c r="F385" s="576" t="s">
        <v>689</v>
      </c>
      <c r="G385" s="525">
        <v>-3601.63</v>
      </c>
      <c r="H385" s="576">
        <v>856</v>
      </c>
      <c r="I385" s="576" t="s">
        <v>1035</v>
      </c>
    </row>
    <row r="386" spans="1:9">
      <c r="A386" s="612">
        <f t="shared" si="5"/>
        <v>381</v>
      </c>
      <c r="B386" s="575">
        <v>43039</v>
      </c>
      <c r="C386" s="576">
        <v>454151</v>
      </c>
      <c r="D386" s="576" t="s">
        <v>771</v>
      </c>
      <c r="E386" s="576" t="s">
        <v>1098</v>
      </c>
      <c r="F386" s="576" t="s">
        <v>689</v>
      </c>
      <c r="G386" s="525">
        <v>-3601.63</v>
      </c>
      <c r="H386" s="576">
        <v>856</v>
      </c>
      <c r="I386" s="576" t="s">
        <v>1035</v>
      </c>
    </row>
    <row r="387" spans="1:9">
      <c r="A387" s="612">
        <f t="shared" si="5"/>
        <v>382</v>
      </c>
      <c r="B387" s="575">
        <v>43069</v>
      </c>
      <c r="C387" s="576">
        <v>454151</v>
      </c>
      <c r="D387" s="576" t="s">
        <v>772</v>
      </c>
      <c r="E387" s="576" t="s">
        <v>1098</v>
      </c>
      <c r="F387" s="576" t="s">
        <v>689</v>
      </c>
      <c r="G387" s="525">
        <v>-3601.63</v>
      </c>
      <c r="H387" s="576">
        <v>856</v>
      </c>
      <c r="I387" s="576" t="s">
        <v>1035</v>
      </c>
    </row>
    <row r="388" spans="1:9">
      <c r="A388" s="612">
        <f t="shared" si="5"/>
        <v>383</v>
      </c>
      <c r="B388" s="575">
        <v>43069</v>
      </c>
      <c r="C388" s="576">
        <v>454151</v>
      </c>
      <c r="D388" s="576" t="s">
        <v>770</v>
      </c>
      <c r="E388" s="576" t="s">
        <v>1098</v>
      </c>
      <c r="F388" s="576" t="s">
        <v>689</v>
      </c>
      <c r="G388" s="525">
        <v>209.8</v>
      </c>
      <c r="H388" s="576">
        <v>856</v>
      </c>
      <c r="I388" s="576" t="s">
        <v>1093</v>
      </c>
    </row>
    <row r="389" spans="1:9">
      <c r="A389" s="612">
        <f t="shared" si="5"/>
        <v>384</v>
      </c>
      <c r="B389" s="575">
        <v>43100</v>
      </c>
      <c r="C389" s="576">
        <v>454151</v>
      </c>
      <c r="D389" s="576" t="s">
        <v>146</v>
      </c>
      <c r="E389" s="576" t="s">
        <v>1098</v>
      </c>
      <c r="F389" s="576" t="s">
        <v>689</v>
      </c>
      <c r="G389" s="525">
        <v>-3496.73</v>
      </c>
      <c r="H389" s="576">
        <v>856</v>
      </c>
      <c r="I389" s="576" t="s">
        <v>1035</v>
      </c>
    </row>
    <row r="390" spans="1:9">
      <c r="A390" s="612">
        <f t="shared" si="5"/>
        <v>385</v>
      </c>
      <c r="B390" s="575">
        <v>42766</v>
      </c>
      <c r="C390" s="576">
        <v>454151</v>
      </c>
      <c r="D390" s="576" t="s">
        <v>764</v>
      </c>
      <c r="E390" s="576" t="s">
        <v>1099</v>
      </c>
      <c r="F390" s="576" t="s">
        <v>638</v>
      </c>
      <c r="G390" s="525">
        <v>-2291.54</v>
      </c>
      <c r="H390" s="576">
        <v>856</v>
      </c>
      <c r="I390" s="576" t="s">
        <v>1035</v>
      </c>
    </row>
    <row r="391" spans="1:9">
      <c r="A391" s="612">
        <f t="shared" si="5"/>
        <v>386</v>
      </c>
      <c r="B391" s="575">
        <v>42794</v>
      </c>
      <c r="C391" s="576">
        <v>454151</v>
      </c>
      <c r="D391" s="576" t="s">
        <v>765</v>
      </c>
      <c r="E391" s="576" t="s">
        <v>1099</v>
      </c>
      <c r="F391" s="576" t="s">
        <v>638</v>
      </c>
      <c r="G391" s="525">
        <v>-2291.54</v>
      </c>
      <c r="H391" s="576">
        <v>856</v>
      </c>
      <c r="I391" s="576" t="s">
        <v>1035</v>
      </c>
    </row>
    <row r="392" spans="1:9">
      <c r="A392" s="612">
        <f t="shared" si="5"/>
        <v>387</v>
      </c>
      <c r="B392" s="575">
        <v>42825</v>
      </c>
      <c r="C392" s="576">
        <v>454151</v>
      </c>
      <c r="D392" s="576" t="s">
        <v>13</v>
      </c>
      <c r="E392" s="576" t="s">
        <v>1099</v>
      </c>
      <c r="F392" s="576" t="s">
        <v>638</v>
      </c>
      <c r="G392" s="525">
        <v>-2291.54</v>
      </c>
      <c r="H392" s="576">
        <v>856</v>
      </c>
      <c r="I392" s="576" t="s">
        <v>1035</v>
      </c>
    </row>
    <row r="393" spans="1:9">
      <c r="A393" s="612">
        <f t="shared" si="5"/>
        <v>388</v>
      </c>
      <c r="B393" s="575">
        <v>42855</v>
      </c>
      <c r="C393" s="576">
        <v>454151</v>
      </c>
      <c r="D393" s="576" t="s">
        <v>766</v>
      </c>
      <c r="E393" s="576" t="s">
        <v>1099</v>
      </c>
      <c r="F393" s="576" t="s">
        <v>638</v>
      </c>
      <c r="G393" s="525">
        <v>-2291.54</v>
      </c>
      <c r="H393" s="576">
        <v>856</v>
      </c>
      <c r="I393" s="576" t="s">
        <v>1035</v>
      </c>
    </row>
    <row r="394" spans="1:9">
      <c r="A394" s="612">
        <f t="shared" si="5"/>
        <v>389</v>
      </c>
      <c r="B394" s="575">
        <v>42886</v>
      </c>
      <c r="C394" s="576">
        <v>454151</v>
      </c>
      <c r="D394" s="576" t="s">
        <v>767</v>
      </c>
      <c r="E394" s="576" t="s">
        <v>1099</v>
      </c>
      <c r="F394" s="576" t="s">
        <v>638</v>
      </c>
      <c r="G394" s="525">
        <v>-2291.54</v>
      </c>
      <c r="H394" s="576">
        <v>856</v>
      </c>
      <c r="I394" s="576" t="s">
        <v>1035</v>
      </c>
    </row>
    <row r="395" spans="1:9">
      <c r="A395" s="612">
        <f t="shared" si="5"/>
        <v>390</v>
      </c>
      <c r="B395" s="575">
        <v>42916</v>
      </c>
      <c r="C395" s="576">
        <v>454151</v>
      </c>
      <c r="D395" s="576" t="s">
        <v>768</v>
      </c>
      <c r="E395" s="576" t="s">
        <v>1099</v>
      </c>
      <c r="F395" s="576" t="s">
        <v>638</v>
      </c>
      <c r="G395" s="525">
        <v>-2291.54</v>
      </c>
      <c r="H395" s="576">
        <v>856</v>
      </c>
      <c r="I395" s="576" t="s">
        <v>1035</v>
      </c>
    </row>
    <row r="396" spans="1:9">
      <c r="A396" s="612">
        <f t="shared" si="5"/>
        <v>391</v>
      </c>
      <c r="B396" s="575">
        <v>42947</v>
      </c>
      <c r="C396" s="576">
        <v>454151</v>
      </c>
      <c r="D396" s="576" t="s">
        <v>14</v>
      </c>
      <c r="E396" s="576" t="s">
        <v>1099</v>
      </c>
      <c r="F396" s="576" t="s">
        <v>638</v>
      </c>
      <c r="G396" s="525">
        <v>-2291.54</v>
      </c>
      <c r="H396" s="576">
        <v>856</v>
      </c>
      <c r="I396" s="576" t="s">
        <v>1035</v>
      </c>
    </row>
    <row r="397" spans="1:9">
      <c r="A397" s="612">
        <f t="shared" si="5"/>
        <v>392</v>
      </c>
      <c r="B397" s="575">
        <v>42978</v>
      </c>
      <c r="C397" s="576">
        <v>454151</v>
      </c>
      <c r="D397" s="576" t="s">
        <v>769</v>
      </c>
      <c r="E397" s="576" t="s">
        <v>1099</v>
      </c>
      <c r="F397" s="576" t="s">
        <v>638</v>
      </c>
      <c r="G397" s="525">
        <v>-2291.54</v>
      </c>
      <c r="H397" s="576">
        <v>856</v>
      </c>
      <c r="I397" s="576" t="s">
        <v>1035</v>
      </c>
    </row>
    <row r="398" spans="1:9">
      <c r="A398" s="612">
        <f t="shared" si="5"/>
        <v>393</v>
      </c>
      <c r="B398" s="575">
        <v>43008</v>
      </c>
      <c r="C398" s="576">
        <v>454151</v>
      </c>
      <c r="D398" s="576" t="s">
        <v>770</v>
      </c>
      <c r="E398" s="576" t="s">
        <v>1099</v>
      </c>
      <c r="F398" s="576" t="s">
        <v>638</v>
      </c>
      <c r="G398" s="525">
        <v>-2291.54</v>
      </c>
      <c r="H398" s="576">
        <v>856</v>
      </c>
      <c r="I398" s="576" t="s">
        <v>1035</v>
      </c>
    </row>
    <row r="399" spans="1:9">
      <c r="A399" s="612">
        <f t="shared" si="5"/>
        <v>394</v>
      </c>
      <c r="B399" s="575">
        <v>43039</v>
      </c>
      <c r="C399" s="576">
        <v>454151</v>
      </c>
      <c r="D399" s="576" t="s">
        <v>771</v>
      </c>
      <c r="E399" s="576" t="s">
        <v>1099</v>
      </c>
      <c r="F399" s="576" t="s">
        <v>638</v>
      </c>
      <c r="G399" s="525">
        <v>-2291.54</v>
      </c>
      <c r="H399" s="576">
        <v>856</v>
      </c>
      <c r="I399" s="576" t="s">
        <v>1035</v>
      </c>
    </row>
    <row r="400" spans="1:9">
      <c r="A400" s="612">
        <f t="shared" si="5"/>
        <v>395</v>
      </c>
      <c r="B400" s="575">
        <v>43069</v>
      </c>
      <c r="C400" s="576">
        <v>454151</v>
      </c>
      <c r="D400" s="576" t="s">
        <v>772</v>
      </c>
      <c r="E400" s="576" t="s">
        <v>1099</v>
      </c>
      <c r="F400" s="576" t="s">
        <v>638</v>
      </c>
      <c r="G400" s="525">
        <v>-2291.54</v>
      </c>
      <c r="H400" s="576">
        <v>856</v>
      </c>
      <c r="I400" s="576" t="s">
        <v>1035</v>
      </c>
    </row>
    <row r="401" spans="1:9">
      <c r="A401" s="612">
        <f t="shared" si="5"/>
        <v>396</v>
      </c>
      <c r="B401" s="575">
        <v>43100</v>
      </c>
      <c r="C401" s="576">
        <v>454151</v>
      </c>
      <c r="D401" s="576" t="s">
        <v>146</v>
      </c>
      <c r="E401" s="576" t="s">
        <v>1099</v>
      </c>
      <c r="F401" s="576" t="s">
        <v>638</v>
      </c>
      <c r="G401" s="525">
        <v>-2360.3000000000002</v>
      </c>
      <c r="H401" s="576">
        <v>856</v>
      </c>
      <c r="I401" s="576" t="s">
        <v>1035</v>
      </c>
    </row>
    <row r="402" spans="1:9">
      <c r="A402" s="612">
        <f t="shared" si="5"/>
        <v>397</v>
      </c>
      <c r="B402" s="575">
        <v>42766</v>
      </c>
      <c r="C402" s="576">
        <v>454151</v>
      </c>
      <c r="D402" s="576" t="s">
        <v>764</v>
      </c>
      <c r="E402" s="576" t="s">
        <v>1144</v>
      </c>
      <c r="F402" s="576" t="s">
        <v>689</v>
      </c>
      <c r="G402" s="525">
        <v>-99.18</v>
      </c>
      <c r="H402" s="576">
        <v>856</v>
      </c>
      <c r="I402" s="576" t="s">
        <v>1035</v>
      </c>
    </row>
    <row r="403" spans="1:9">
      <c r="A403" s="612">
        <f t="shared" si="5"/>
        <v>398</v>
      </c>
      <c r="B403" s="575">
        <v>42794</v>
      </c>
      <c r="C403" s="576">
        <v>454151</v>
      </c>
      <c r="D403" s="576" t="s">
        <v>765</v>
      </c>
      <c r="E403" s="576" t="s">
        <v>1144</v>
      </c>
      <c r="F403" s="576" t="s">
        <v>689</v>
      </c>
      <c r="G403" s="525">
        <v>-99.18</v>
      </c>
      <c r="H403" s="576">
        <v>856</v>
      </c>
      <c r="I403" s="576" t="s">
        <v>1035</v>
      </c>
    </row>
    <row r="404" spans="1:9">
      <c r="A404" s="612">
        <f t="shared" si="5"/>
        <v>399</v>
      </c>
      <c r="B404" s="575">
        <v>42825</v>
      </c>
      <c r="C404" s="576">
        <v>454151</v>
      </c>
      <c r="D404" s="576" t="s">
        <v>13</v>
      </c>
      <c r="E404" s="576" t="s">
        <v>1144</v>
      </c>
      <c r="F404" s="576" t="s">
        <v>689</v>
      </c>
      <c r="G404" s="525">
        <v>-99.18</v>
      </c>
      <c r="H404" s="576">
        <v>856</v>
      </c>
      <c r="I404" s="576" t="s">
        <v>1035</v>
      </c>
    </row>
    <row r="405" spans="1:9">
      <c r="A405" s="612">
        <f t="shared" si="5"/>
        <v>400</v>
      </c>
      <c r="B405" s="575">
        <v>42855</v>
      </c>
      <c r="C405" s="576">
        <v>454151</v>
      </c>
      <c r="D405" s="576" t="s">
        <v>766</v>
      </c>
      <c r="E405" s="576" t="s">
        <v>1144</v>
      </c>
      <c r="F405" s="576" t="s">
        <v>689</v>
      </c>
      <c r="G405" s="525">
        <v>-99.18</v>
      </c>
      <c r="H405" s="576">
        <v>856</v>
      </c>
      <c r="I405" s="576" t="s">
        <v>1035</v>
      </c>
    </row>
    <row r="406" spans="1:9">
      <c r="A406" s="612">
        <f t="shared" si="5"/>
        <v>401</v>
      </c>
      <c r="B406" s="575">
        <v>42886</v>
      </c>
      <c r="C406" s="576">
        <v>454151</v>
      </c>
      <c r="D406" s="576" t="s">
        <v>767</v>
      </c>
      <c r="E406" s="576" t="s">
        <v>1144</v>
      </c>
      <c r="F406" s="576" t="s">
        <v>689</v>
      </c>
      <c r="G406" s="525">
        <v>-99.18</v>
      </c>
      <c r="H406" s="576">
        <v>856</v>
      </c>
      <c r="I406" s="576" t="s">
        <v>1035</v>
      </c>
    </row>
    <row r="407" spans="1:9">
      <c r="A407" s="612">
        <f t="shared" ref="A407:A470" si="6">A406+1</f>
        <v>402</v>
      </c>
      <c r="B407" s="575">
        <v>42916</v>
      </c>
      <c r="C407" s="576">
        <v>454151</v>
      </c>
      <c r="D407" s="576" t="s">
        <v>768</v>
      </c>
      <c r="E407" s="576" t="s">
        <v>1144</v>
      </c>
      <c r="F407" s="576" t="s">
        <v>689</v>
      </c>
      <c r="G407" s="525">
        <v>-99.160000000000011</v>
      </c>
      <c r="H407" s="576">
        <v>856</v>
      </c>
      <c r="I407" s="576" t="s">
        <v>1035</v>
      </c>
    </row>
    <row r="408" spans="1:9">
      <c r="A408" s="612">
        <f t="shared" si="6"/>
        <v>403</v>
      </c>
      <c r="B408" s="575">
        <v>42947</v>
      </c>
      <c r="C408" s="576">
        <v>454151</v>
      </c>
      <c r="D408" s="576" t="s">
        <v>14</v>
      </c>
      <c r="E408" s="576" t="s">
        <v>1144</v>
      </c>
      <c r="F408" s="576" t="s">
        <v>689</v>
      </c>
      <c r="G408" s="525">
        <v>-125</v>
      </c>
      <c r="H408" s="576">
        <v>856</v>
      </c>
      <c r="I408" s="576" t="s">
        <v>1035</v>
      </c>
    </row>
    <row r="409" spans="1:9">
      <c r="A409" s="612">
        <f t="shared" si="6"/>
        <v>404</v>
      </c>
      <c r="B409" s="575">
        <v>42978</v>
      </c>
      <c r="C409" s="576">
        <v>454151</v>
      </c>
      <c r="D409" s="576" t="s">
        <v>769</v>
      </c>
      <c r="E409" s="576" t="s">
        <v>1144</v>
      </c>
      <c r="F409" s="576" t="s">
        <v>689</v>
      </c>
      <c r="G409" s="525">
        <v>-236</v>
      </c>
      <c r="H409" s="576">
        <v>856</v>
      </c>
      <c r="I409" s="576" t="s">
        <v>1035</v>
      </c>
    </row>
    <row r="410" spans="1:9">
      <c r="A410" s="612">
        <f t="shared" si="6"/>
        <v>405</v>
      </c>
      <c r="B410" s="575">
        <v>43008</v>
      </c>
      <c r="C410" s="576">
        <v>454151</v>
      </c>
      <c r="D410" s="576" t="s">
        <v>770</v>
      </c>
      <c r="E410" s="576" t="s">
        <v>1144</v>
      </c>
      <c r="F410" s="576" t="s">
        <v>689</v>
      </c>
      <c r="G410" s="525">
        <v>-175</v>
      </c>
      <c r="H410" s="576">
        <v>856</v>
      </c>
      <c r="I410" s="576" t="s">
        <v>1035</v>
      </c>
    </row>
    <row r="411" spans="1:9">
      <c r="A411" s="612">
        <f t="shared" si="6"/>
        <v>406</v>
      </c>
      <c r="B411" s="575">
        <v>43039</v>
      </c>
      <c r="C411" s="576">
        <v>454151</v>
      </c>
      <c r="D411" s="576" t="s">
        <v>771</v>
      </c>
      <c r="E411" s="576" t="s">
        <v>1144</v>
      </c>
      <c r="F411" s="576" t="s">
        <v>689</v>
      </c>
      <c r="G411" s="525">
        <v>-181</v>
      </c>
      <c r="H411" s="576">
        <v>856</v>
      </c>
      <c r="I411" s="576" t="s">
        <v>1035</v>
      </c>
    </row>
    <row r="412" spans="1:9">
      <c r="A412" s="612">
        <f t="shared" si="6"/>
        <v>407</v>
      </c>
      <c r="B412" s="575">
        <v>43069</v>
      </c>
      <c r="C412" s="576">
        <v>454151</v>
      </c>
      <c r="D412" s="576" t="s">
        <v>772</v>
      </c>
      <c r="E412" s="576" t="s">
        <v>1144</v>
      </c>
      <c r="F412" s="576" t="s">
        <v>689</v>
      </c>
      <c r="G412" s="525">
        <v>-175</v>
      </c>
      <c r="H412" s="576">
        <v>856</v>
      </c>
      <c r="I412" s="576" t="s">
        <v>1035</v>
      </c>
    </row>
    <row r="413" spans="1:9">
      <c r="A413" s="612">
        <f t="shared" si="6"/>
        <v>408</v>
      </c>
      <c r="B413" s="575">
        <v>43100</v>
      </c>
      <c r="C413" s="576">
        <v>454151</v>
      </c>
      <c r="D413" s="576" t="s">
        <v>146</v>
      </c>
      <c r="E413" s="576" t="s">
        <v>1144</v>
      </c>
      <c r="F413" s="576" t="s">
        <v>689</v>
      </c>
      <c r="G413" s="525">
        <v>-181</v>
      </c>
      <c r="H413" s="576">
        <v>856</v>
      </c>
      <c r="I413" s="576" t="s">
        <v>1035</v>
      </c>
    </row>
    <row r="414" spans="1:9">
      <c r="A414" s="612">
        <f t="shared" si="6"/>
        <v>409</v>
      </c>
      <c r="B414" s="575">
        <v>42766</v>
      </c>
      <c r="C414" s="576">
        <v>454151</v>
      </c>
      <c r="D414" s="576" t="s">
        <v>764</v>
      </c>
      <c r="E414" s="576" t="s">
        <v>1341</v>
      </c>
      <c r="F414" s="576" t="s">
        <v>638</v>
      </c>
      <c r="G414" s="525">
        <v>-509.59</v>
      </c>
      <c r="H414" s="576">
        <v>856</v>
      </c>
      <c r="I414" s="576" t="s">
        <v>1035</v>
      </c>
    </row>
    <row r="415" spans="1:9">
      <c r="A415" s="612">
        <f t="shared" si="6"/>
        <v>410</v>
      </c>
      <c r="B415" s="575">
        <v>42794</v>
      </c>
      <c r="C415" s="576">
        <v>454151</v>
      </c>
      <c r="D415" s="576" t="s">
        <v>765</v>
      </c>
      <c r="E415" s="576" t="s">
        <v>1341</v>
      </c>
      <c r="F415" s="576" t="s">
        <v>638</v>
      </c>
      <c r="G415" s="525">
        <v>-460.27</v>
      </c>
      <c r="H415" s="576">
        <v>856</v>
      </c>
      <c r="I415" s="576" t="s">
        <v>1035</v>
      </c>
    </row>
    <row r="416" spans="1:9">
      <c r="A416" s="612">
        <f t="shared" si="6"/>
        <v>411</v>
      </c>
      <c r="B416" s="575">
        <v>42825</v>
      </c>
      <c r="C416" s="576">
        <v>454151</v>
      </c>
      <c r="D416" s="576" t="s">
        <v>13</v>
      </c>
      <c r="E416" s="576" t="s">
        <v>1341</v>
      </c>
      <c r="F416" s="576" t="s">
        <v>638</v>
      </c>
      <c r="G416" s="525">
        <v>-509.59</v>
      </c>
      <c r="H416" s="576">
        <v>856</v>
      </c>
      <c r="I416" s="576" t="s">
        <v>1035</v>
      </c>
    </row>
    <row r="417" spans="1:9">
      <c r="A417" s="612">
        <f t="shared" si="6"/>
        <v>412</v>
      </c>
      <c r="B417" s="575">
        <v>42855</v>
      </c>
      <c r="C417" s="576">
        <v>454151</v>
      </c>
      <c r="D417" s="576" t="s">
        <v>766</v>
      </c>
      <c r="E417" s="576" t="s">
        <v>1341</v>
      </c>
      <c r="F417" s="576" t="s">
        <v>638</v>
      </c>
      <c r="G417" s="525">
        <v>-493.15</v>
      </c>
      <c r="H417" s="576">
        <v>856</v>
      </c>
      <c r="I417" s="576" t="s">
        <v>1035</v>
      </c>
    </row>
    <row r="418" spans="1:9">
      <c r="A418" s="612">
        <f t="shared" si="6"/>
        <v>413</v>
      </c>
      <c r="B418" s="575">
        <v>42886</v>
      </c>
      <c r="C418" s="576">
        <v>454151</v>
      </c>
      <c r="D418" s="576" t="s">
        <v>767</v>
      </c>
      <c r="E418" s="576" t="s">
        <v>1341</v>
      </c>
      <c r="F418" s="576" t="s">
        <v>638</v>
      </c>
      <c r="G418" s="525">
        <v>-509.59</v>
      </c>
      <c r="H418" s="576">
        <v>856</v>
      </c>
      <c r="I418" s="576" t="s">
        <v>1035</v>
      </c>
    </row>
    <row r="419" spans="1:9">
      <c r="A419" s="612">
        <f t="shared" si="6"/>
        <v>414</v>
      </c>
      <c r="B419" s="575">
        <v>42916</v>
      </c>
      <c r="C419" s="576">
        <v>454151</v>
      </c>
      <c r="D419" s="576" t="s">
        <v>768</v>
      </c>
      <c r="E419" s="576" t="s">
        <v>1341</v>
      </c>
      <c r="F419" s="576" t="s">
        <v>638</v>
      </c>
      <c r="G419" s="525">
        <v>-493.15</v>
      </c>
      <c r="H419" s="576">
        <v>856</v>
      </c>
      <c r="I419" s="576" t="s">
        <v>1035</v>
      </c>
    </row>
    <row r="420" spans="1:9">
      <c r="A420" s="612">
        <f t="shared" si="6"/>
        <v>415</v>
      </c>
      <c r="B420" s="575">
        <v>42947</v>
      </c>
      <c r="C420" s="576">
        <v>454151</v>
      </c>
      <c r="D420" s="576" t="s">
        <v>14</v>
      </c>
      <c r="E420" s="576" t="s">
        <v>1341</v>
      </c>
      <c r="F420" s="576" t="s">
        <v>638</v>
      </c>
      <c r="G420" s="525">
        <v>-509.59</v>
      </c>
      <c r="H420" s="576">
        <v>856</v>
      </c>
      <c r="I420" s="576" t="s">
        <v>1035</v>
      </c>
    </row>
    <row r="421" spans="1:9">
      <c r="A421" s="612">
        <f t="shared" si="6"/>
        <v>416</v>
      </c>
      <c r="B421" s="575">
        <v>42978</v>
      </c>
      <c r="C421" s="576">
        <v>454151</v>
      </c>
      <c r="D421" s="576" t="s">
        <v>769</v>
      </c>
      <c r="E421" s="576" t="s">
        <v>1341</v>
      </c>
      <c r="F421" s="576" t="s">
        <v>638</v>
      </c>
      <c r="G421" s="525">
        <v>-509.59</v>
      </c>
      <c r="H421" s="576">
        <v>856</v>
      </c>
      <c r="I421" s="576" t="s">
        <v>1035</v>
      </c>
    </row>
    <row r="422" spans="1:9">
      <c r="A422" s="612">
        <f t="shared" si="6"/>
        <v>417</v>
      </c>
      <c r="B422" s="575">
        <v>43008</v>
      </c>
      <c r="C422" s="576">
        <v>454151</v>
      </c>
      <c r="D422" s="576" t="s">
        <v>770</v>
      </c>
      <c r="E422" s="576" t="s">
        <v>1341</v>
      </c>
      <c r="F422" s="576" t="s">
        <v>638</v>
      </c>
      <c r="G422" s="525">
        <v>-493.15</v>
      </c>
      <c r="H422" s="576">
        <v>856</v>
      </c>
      <c r="I422" s="576" t="s">
        <v>1035</v>
      </c>
    </row>
    <row r="423" spans="1:9">
      <c r="A423" s="612">
        <f t="shared" si="6"/>
        <v>418</v>
      </c>
      <c r="B423" s="575">
        <v>43039</v>
      </c>
      <c r="C423" s="576">
        <v>454151</v>
      </c>
      <c r="D423" s="576" t="s">
        <v>771</v>
      </c>
      <c r="E423" s="576" t="s">
        <v>1341</v>
      </c>
      <c r="F423" s="576" t="s">
        <v>638</v>
      </c>
      <c r="G423" s="525">
        <v>-509.59</v>
      </c>
      <c r="H423" s="576">
        <v>856</v>
      </c>
      <c r="I423" s="576" t="s">
        <v>1035</v>
      </c>
    </row>
    <row r="424" spans="1:9">
      <c r="A424" s="612">
        <f t="shared" si="6"/>
        <v>419</v>
      </c>
      <c r="B424" s="575">
        <v>43069</v>
      </c>
      <c r="C424" s="576">
        <v>454151</v>
      </c>
      <c r="D424" s="576" t="s">
        <v>772</v>
      </c>
      <c r="E424" s="576" t="s">
        <v>1341</v>
      </c>
      <c r="F424" s="576" t="s">
        <v>638</v>
      </c>
      <c r="G424" s="525">
        <v>-493.15</v>
      </c>
      <c r="H424" s="576">
        <v>856</v>
      </c>
      <c r="I424" s="576" t="s">
        <v>1035</v>
      </c>
    </row>
    <row r="425" spans="1:9">
      <c r="A425" s="612">
        <f t="shared" si="6"/>
        <v>420</v>
      </c>
      <c r="B425" s="575">
        <v>43100</v>
      </c>
      <c r="C425" s="576">
        <v>454151</v>
      </c>
      <c r="D425" s="576" t="s">
        <v>146</v>
      </c>
      <c r="E425" s="576" t="s">
        <v>1341</v>
      </c>
      <c r="F425" s="576" t="s">
        <v>638</v>
      </c>
      <c r="G425" s="525">
        <v>-509.59</v>
      </c>
      <c r="H425" s="576">
        <v>856</v>
      </c>
      <c r="I425" s="576" t="s">
        <v>1035</v>
      </c>
    </row>
    <row r="426" spans="1:9">
      <c r="A426" s="612">
        <f t="shared" si="6"/>
        <v>421</v>
      </c>
      <c r="B426" s="575">
        <v>42766</v>
      </c>
      <c r="C426" s="576">
        <v>454151</v>
      </c>
      <c r="D426" s="576" t="s">
        <v>764</v>
      </c>
      <c r="E426" s="576" t="s">
        <v>1145</v>
      </c>
      <c r="F426" s="576" t="s">
        <v>907</v>
      </c>
      <c r="G426" s="525">
        <v>-175</v>
      </c>
      <c r="H426" s="576">
        <v>856</v>
      </c>
      <c r="I426" s="576" t="s">
        <v>1036</v>
      </c>
    </row>
    <row r="427" spans="1:9">
      <c r="A427" s="612">
        <f t="shared" si="6"/>
        <v>422</v>
      </c>
      <c r="B427" s="575">
        <v>43008</v>
      </c>
      <c r="C427" s="576">
        <v>454151</v>
      </c>
      <c r="D427" s="576" t="s">
        <v>770</v>
      </c>
      <c r="E427" s="576" t="s">
        <v>1342</v>
      </c>
      <c r="F427" s="576" t="s">
        <v>689</v>
      </c>
      <c r="G427" s="525">
        <v>-1094.1600000000001</v>
      </c>
      <c r="H427" s="576">
        <v>856</v>
      </c>
      <c r="I427" s="576" t="s">
        <v>1036</v>
      </c>
    </row>
    <row r="428" spans="1:9">
      <c r="A428" s="612">
        <f t="shared" si="6"/>
        <v>423</v>
      </c>
      <c r="B428" s="575">
        <v>42766</v>
      </c>
      <c r="C428" s="576">
        <v>454151</v>
      </c>
      <c r="D428" s="576" t="s">
        <v>764</v>
      </c>
      <c r="E428" s="576" t="s">
        <v>1100</v>
      </c>
      <c r="F428" s="576" t="s">
        <v>907</v>
      </c>
      <c r="G428" s="525">
        <v>-2822.42</v>
      </c>
      <c r="H428" s="576">
        <v>856</v>
      </c>
      <c r="I428" s="576" t="s">
        <v>1035</v>
      </c>
    </row>
    <row r="429" spans="1:9">
      <c r="A429" s="612">
        <f t="shared" si="6"/>
        <v>424</v>
      </c>
      <c r="B429" s="575">
        <v>42794</v>
      </c>
      <c r="C429" s="576">
        <v>454151</v>
      </c>
      <c r="D429" s="576" t="s">
        <v>765</v>
      </c>
      <c r="E429" s="576" t="s">
        <v>1100</v>
      </c>
      <c r="F429" s="576" t="s">
        <v>907</v>
      </c>
      <c r="G429" s="525">
        <v>-2870.12</v>
      </c>
      <c r="H429" s="576">
        <v>856</v>
      </c>
      <c r="I429" s="576" t="s">
        <v>1035</v>
      </c>
    </row>
    <row r="430" spans="1:9">
      <c r="A430" s="612">
        <f t="shared" si="6"/>
        <v>425</v>
      </c>
      <c r="B430" s="575">
        <v>42825</v>
      </c>
      <c r="C430" s="576">
        <v>454151</v>
      </c>
      <c r="D430" s="576" t="s">
        <v>13</v>
      </c>
      <c r="E430" s="576" t="s">
        <v>1100</v>
      </c>
      <c r="F430" s="576" t="s">
        <v>907</v>
      </c>
      <c r="G430" s="525">
        <v>-2870.12</v>
      </c>
      <c r="H430" s="576">
        <v>856</v>
      </c>
      <c r="I430" s="576" t="s">
        <v>1035</v>
      </c>
    </row>
    <row r="431" spans="1:9">
      <c r="A431" s="612">
        <f t="shared" si="6"/>
        <v>426</v>
      </c>
      <c r="B431" s="575">
        <v>42855</v>
      </c>
      <c r="C431" s="576">
        <v>454151</v>
      </c>
      <c r="D431" s="576" t="s">
        <v>766</v>
      </c>
      <c r="E431" s="576" t="s">
        <v>1100</v>
      </c>
      <c r="F431" s="576" t="s">
        <v>907</v>
      </c>
      <c r="G431" s="525">
        <v>-2870.12</v>
      </c>
      <c r="H431" s="576">
        <v>856</v>
      </c>
      <c r="I431" s="576" t="s">
        <v>1035</v>
      </c>
    </row>
    <row r="432" spans="1:9">
      <c r="A432" s="612">
        <f t="shared" si="6"/>
        <v>427</v>
      </c>
      <c r="B432" s="575">
        <v>42886</v>
      </c>
      <c r="C432" s="576">
        <v>454151</v>
      </c>
      <c r="D432" s="576" t="s">
        <v>767</v>
      </c>
      <c r="E432" s="576" t="s">
        <v>1100</v>
      </c>
      <c r="F432" s="576" t="s">
        <v>907</v>
      </c>
      <c r="G432" s="525">
        <v>-2870.12</v>
      </c>
      <c r="H432" s="576">
        <v>856</v>
      </c>
      <c r="I432" s="576" t="s">
        <v>1035</v>
      </c>
    </row>
    <row r="433" spans="1:9">
      <c r="A433" s="612">
        <f t="shared" si="6"/>
        <v>428</v>
      </c>
      <c r="B433" s="575">
        <v>42916</v>
      </c>
      <c r="C433" s="576">
        <v>454151</v>
      </c>
      <c r="D433" s="576" t="s">
        <v>768</v>
      </c>
      <c r="E433" s="576" t="s">
        <v>1100</v>
      </c>
      <c r="F433" s="576" t="s">
        <v>907</v>
      </c>
      <c r="G433" s="525">
        <v>-2870.12</v>
      </c>
      <c r="H433" s="576">
        <v>856</v>
      </c>
      <c r="I433" s="576" t="s">
        <v>1035</v>
      </c>
    </row>
    <row r="434" spans="1:9">
      <c r="A434" s="612">
        <f t="shared" si="6"/>
        <v>429</v>
      </c>
      <c r="B434" s="575">
        <v>42947</v>
      </c>
      <c r="C434" s="576">
        <v>454151</v>
      </c>
      <c r="D434" s="576" t="s">
        <v>14</v>
      </c>
      <c r="E434" s="576" t="s">
        <v>1100</v>
      </c>
      <c r="F434" s="576" t="s">
        <v>907</v>
      </c>
      <c r="G434" s="525">
        <v>-2870.12</v>
      </c>
      <c r="H434" s="576">
        <v>856</v>
      </c>
      <c r="I434" s="576" t="s">
        <v>1035</v>
      </c>
    </row>
    <row r="435" spans="1:9">
      <c r="A435" s="612">
        <f t="shared" si="6"/>
        <v>430</v>
      </c>
      <c r="B435" s="575">
        <v>42978</v>
      </c>
      <c r="C435" s="576">
        <v>454151</v>
      </c>
      <c r="D435" s="576" t="s">
        <v>769</v>
      </c>
      <c r="E435" s="576" t="s">
        <v>1100</v>
      </c>
      <c r="F435" s="576" t="s">
        <v>907</v>
      </c>
      <c r="G435" s="525">
        <v>-2870.12</v>
      </c>
      <c r="H435" s="576">
        <v>856</v>
      </c>
      <c r="I435" s="576" t="s">
        <v>1035</v>
      </c>
    </row>
    <row r="436" spans="1:9">
      <c r="A436" s="612">
        <f t="shared" si="6"/>
        <v>431</v>
      </c>
      <c r="B436" s="575">
        <v>43008</v>
      </c>
      <c r="C436" s="576">
        <v>454151</v>
      </c>
      <c r="D436" s="576" t="s">
        <v>770</v>
      </c>
      <c r="E436" s="576" t="s">
        <v>1100</v>
      </c>
      <c r="F436" s="576" t="s">
        <v>907</v>
      </c>
      <c r="G436" s="525">
        <v>52.14</v>
      </c>
      <c r="H436" s="576">
        <v>856</v>
      </c>
      <c r="I436" s="576" t="s">
        <v>1093</v>
      </c>
    </row>
    <row r="437" spans="1:9">
      <c r="A437" s="612">
        <f t="shared" si="6"/>
        <v>432</v>
      </c>
      <c r="B437" s="575">
        <v>43008</v>
      </c>
      <c r="C437" s="576">
        <v>454151</v>
      </c>
      <c r="D437" s="576" t="s">
        <v>770</v>
      </c>
      <c r="E437" s="576" t="s">
        <v>1100</v>
      </c>
      <c r="F437" s="576" t="s">
        <v>907</v>
      </c>
      <c r="G437" s="525">
        <v>-2870.12</v>
      </c>
      <c r="H437" s="576">
        <v>856</v>
      </c>
      <c r="I437" s="576" t="s">
        <v>1035</v>
      </c>
    </row>
    <row r="438" spans="1:9">
      <c r="A438" s="612">
        <f t="shared" si="6"/>
        <v>433</v>
      </c>
      <c r="B438" s="575">
        <v>43039</v>
      </c>
      <c r="C438" s="576">
        <v>454151</v>
      </c>
      <c r="D438" s="576" t="s">
        <v>771</v>
      </c>
      <c r="E438" s="576" t="s">
        <v>1100</v>
      </c>
      <c r="F438" s="576" t="s">
        <v>907</v>
      </c>
      <c r="G438" s="525">
        <v>-2870.12</v>
      </c>
      <c r="H438" s="576">
        <v>856</v>
      </c>
      <c r="I438" s="576" t="s">
        <v>1035</v>
      </c>
    </row>
    <row r="439" spans="1:9">
      <c r="A439" s="612">
        <f t="shared" si="6"/>
        <v>434</v>
      </c>
      <c r="B439" s="575">
        <v>43069</v>
      </c>
      <c r="C439" s="576">
        <v>454151</v>
      </c>
      <c r="D439" s="576" t="s">
        <v>772</v>
      </c>
      <c r="E439" s="576" t="s">
        <v>1100</v>
      </c>
      <c r="F439" s="576" t="s">
        <v>907</v>
      </c>
      <c r="G439" s="525">
        <v>-2870.12</v>
      </c>
      <c r="H439" s="576">
        <v>856</v>
      </c>
      <c r="I439" s="576" t="s">
        <v>1035</v>
      </c>
    </row>
    <row r="440" spans="1:9">
      <c r="A440" s="612">
        <f t="shared" si="6"/>
        <v>435</v>
      </c>
      <c r="B440" s="575">
        <v>43100</v>
      </c>
      <c r="C440" s="576">
        <v>454151</v>
      </c>
      <c r="D440" s="576" t="s">
        <v>146</v>
      </c>
      <c r="E440" s="576" t="s">
        <v>1100</v>
      </c>
      <c r="F440" s="576" t="s">
        <v>907</v>
      </c>
      <c r="G440" s="525">
        <v>-2870.12</v>
      </c>
      <c r="H440" s="576">
        <v>856</v>
      </c>
      <c r="I440" s="576" t="s">
        <v>1035</v>
      </c>
    </row>
    <row r="441" spans="1:9">
      <c r="A441" s="612">
        <f t="shared" si="6"/>
        <v>436</v>
      </c>
      <c r="B441" s="575">
        <v>43100</v>
      </c>
      <c r="C441" s="576">
        <v>454151</v>
      </c>
      <c r="D441" s="576" t="s">
        <v>146</v>
      </c>
      <c r="E441" s="576" t="s">
        <v>1100</v>
      </c>
      <c r="F441" s="576" t="s">
        <v>907</v>
      </c>
      <c r="G441" s="525">
        <v>6.78</v>
      </c>
      <c r="H441" s="576">
        <v>856</v>
      </c>
      <c r="I441" s="576" t="s">
        <v>1093</v>
      </c>
    </row>
    <row r="442" spans="1:9">
      <c r="A442" s="612">
        <f t="shared" si="6"/>
        <v>437</v>
      </c>
      <c r="B442" s="575">
        <v>42766</v>
      </c>
      <c r="C442" s="576">
        <v>454151</v>
      </c>
      <c r="D442" s="576" t="s">
        <v>764</v>
      </c>
      <c r="E442" s="576" t="s">
        <v>1146</v>
      </c>
      <c r="F442" s="576" t="s">
        <v>689</v>
      </c>
      <c r="G442" s="525">
        <v>-647.42999999999995</v>
      </c>
      <c r="H442" s="576">
        <v>856</v>
      </c>
      <c r="I442" s="576" t="s">
        <v>1035</v>
      </c>
    </row>
    <row r="443" spans="1:9">
      <c r="A443" s="612">
        <f t="shared" si="6"/>
        <v>438</v>
      </c>
      <c r="B443" s="575">
        <v>42794</v>
      </c>
      <c r="C443" s="576">
        <v>454151</v>
      </c>
      <c r="D443" s="576" t="s">
        <v>765</v>
      </c>
      <c r="E443" s="576" t="s">
        <v>1146</v>
      </c>
      <c r="F443" s="576" t="s">
        <v>689</v>
      </c>
      <c r="G443" s="525">
        <v>-647.42999999999995</v>
      </c>
      <c r="H443" s="576">
        <v>856</v>
      </c>
      <c r="I443" s="576" t="s">
        <v>1035</v>
      </c>
    </row>
    <row r="444" spans="1:9">
      <c r="A444" s="612">
        <f t="shared" si="6"/>
        <v>439</v>
      </c>
      <c r="B444" s="575">
        <v>42825</v>
      </c>
      <c r="C444" s="576">
        <v>454151</v>
      </c>
      <c r="D444" s="576" t="s">
        <v>13</v>
      </c>
      <c r="E444" s="576" t="s">
        <v>1146</v>
      </c>
      <c r="F444" s="576" t="s">
        <v>689</v>
      </c>
      <c r="G444" s="525">
        <v>-647.42999999999995</v>
      </c>
      <c r="H444" s="576">
        <v>856</v>
      </c>
      <c r="I444" s="576" t="s">
        <v>1035</v>
      </c>
    </row>
    <row r="445" spans="1:9">
      <c r="A445" s="612">
        <f t="shared" si="6"/>
        <v>440</v>
      </c>
      <c r="B445" s="575">
        <v>42855</v>
      </c>
      <c r="C445" s="576">
        <v>454151</v>
      </c>
      <c r="D445" s="576" t="s">
        <v>766</v>
      </c>
      <c r="E445" s="576" t="s">
        <v>1146</v>
      </c>
      <c r="F445" s="576" t="s">
        <v>689</v>
      </c>
      <c r="G445" s="525">
        <v>-647.42999999999995</v>
      </c>
      <c r="H445" s="576">
        <v>856</v>
      </c>
      <c r="I445" s="576" t="s">
        <v>1035</v>
      </c>
    </row>
    <row r="446" spans="1:9">
      <c r="A446" s="612">
        <f t="shared" si="6"/>
        <v>441</v>
      </c>
      <c r="B446" s="575">
        <v>42886</v>
      </c>
      <c r="C446" s="576">
        <v>454151</v>
      </c>
      <c r="D446" s="576" t="s">
        <v>767</v>
      </c>
      <c r="E446" s="576" t="s">
        <v>1146</v>
      </c>
      <c r="F446" s="576" t="s">
        <v>689</v>
      </c>
      <c r="G446" s="525">
        <v>-647.42999999999995</v>
      </c>
      <c r="H446" s="576">
        <v>856</v>
      </c>
      <c r="I446" s="576" t="s">
        <v>1035</v>
      </c>
    </row>
    <row r="447" spans="1:9">
      <c r="A447" s="612">
        <f t="shared" si="6"/>
        <v>442</v>
      </c>
      <c r="B447" s="575">
        <v>42886</v>
      </c>
      <c r="C447" s="576">
        <v>454151</v>
      </c>
      <c r="D447" s="576" t="s">
        <v>767</v>
      </c>
      <c r="E447" s="576" t="s">
        <v>1146</v>
      </c>
      <c r="F447" s="576" t="s">
        <v>689</v>
      </c>
      <c r="G447" s="525">
        <v>11.26</v>
      </c>
      <c r="H447" s="576">
        <v>856</v>
      </c>
      <c r="I447" s="576" t="s">
        <v>1093</v>
      </c>
    </row>
    <row r="448" spans="1:9">
      <c r="A448" s="612">
        <f t="shared" si="6"/>
        <v>443</v>
      </c>
      <c r="B448" s="575">
        <v>42916</v>
      </c>
      <c r="C448" s="576">
        <v>454151</v>
      </c>
      <c r="D448" s="576" t="s">
        <v>768</v>
      </c>
      <c r="E448" s="576" t="s">
        <v>1034</v>
      </c>
      <c r="F448" s="576" t="s">
        <v>689</v>
      </c>
      <c r="G448" s="525">
        <v>-647.42999999999995</v>
      </c>
      <c r="H448" s="576">
        <v>856</v>
      </c>
      <c r="I448" s="576" t="s">
        <v>1035</v>
      </c>
    </row>
    <row r="449" spans="1:9">
      <c r="A449" s="612">
        <f t="shared" si="6"/>
        <v>444</v>
      </c>
      <c r="B449" s="575">
        <v>42947</v>
      </c>
      <c r="C449" s="576">
        <v>454151</v>
      </c>
      <c r="D449" s="576" t="s">
        <v>14</v>
      </c>
      <c r="E449" s="576" t="s">
        <v>1034</v>
      </c>
      <c r="F449" s="576" t="s">
        <v>689</v>
      </c>
      <c r="G449" s="525">
        <v>-647.42999999999995</v>
      </c>
      <c r="H449" s="576">
        <v>856</v>
      </c>
      <c r="I449" s="576" t="s">
        <v>1035</v>
      </c>
    </row>
    <row r="450" spans="1:9">
      <c r="A450" s="612">
        <f t="shared" si="6"/>
        <v>445</v>
      </c>
      <c r="B450" s="575">
        <v>42978</v>
      </c>
      <c r="C450" s="576">
        <v>454151</v>
      </c>
      <c r="D450" s="576" t="s">
        <v>769</v>
      </c>
      <c r="E450" s="576" t="s">
        <v>1034</v>
      </c>
      <c r="F450" s="576" t="s">
        <v>689</v>
      </c>
      <c r="G450" s="525">
        <v>-663</v>
      </c>
      <c r="H450" s="576" t="s">
        <v>1333</v>
      </c>
      <c r="I450" s="576" t="s">
        <v>1035</v>
      </c>
    </row>
    <row r="451" spans="1:9">
      <c r="A451" s="612">
        <f t="shared" si="6"/>
        <v>446</v>
      </c>
      <c r="B451" s="575">
        <v>43008</v>
      </c>
      <c r="C451" s="576">
        <v>454151</v>
      </c>
      <c r="D451" s="576" t="s">
        <v>770</v>
      </c>
      <c r="E451" s="576" t="s">
        <v>1034</v>
      </c>
      <c r="F451" s="576" t="s">
        <v>689</v>
      </c>
      <c r="G451" s="525">
        <v>-641</v>
      </c>
      <c r="H451" s="576" t="s">
        <v>1333</v>
      </c>
      <c r="I451" s="576" t="s">
        <v>1035</v>
      </c>
    </row>
    <row r="452" spans="1:9">
      <c r="A452" s="612">
        <f t="shared" si="6"/>
        <v>447</v>
      </c>
      <c r="B452" s="575">
        <v>43039</v>
      </c>
      <c r="C452" s="576">
        <v>454151</v>
      </c>
      <c r="D452" s="576" t="s">
        <v>771</v>
      </c>
      <c r="E452" s="576" t="s">
        <v>1034</v>
      </c>
      <c r="F452" s="576" t="s">
        <v>689</v>
      </c>
      <c r="G452" s="525">
        <v>-663</v>
      </c>
      <c r="H452" s="576" t="s">
        <v>1333</v>
      </c>
      <c r="I452" s="576" t="s">
        <v>1035</v>
      </c>
    </row>
    <row r="453" spans="1:9">
      <c r="A453" s="612">
        <f t="shared" si="6"/>
        <v>448</v>
      </c>
      <c r="B453" s="575">
        <v>43069</v>
      </c>
      <c r="C453" s="576">
        <v>454151</v>
      </c>
      <c r="D453" s="576" t="s">
        <v>772</v>
      </c>
      <c r="E453" s="576" t="s">
        <v>1034</v>
      </c>
      <c r="F453" s="576" t="s">
        <v>689</v>
      </c>
      <c r="G453" s="525">
        <v>-641</v>
      </c>
      <c r="H453" s="576" t="s">
        <v>1333</v>
      </c>
      <c r="I453" s="576" t="s">
        <v>1035</v>
      </c>
    </row>
    <row r="454" spans="1:9">
      <c r="A454" s="612">
        <f t="shared" si="6"/>
        <v>449</v>
      </c>
      <c r="B454" s="575">
        <v>43100</v>
      </c>
      <c r="C454" s="576">
        <v>454151</v>
      </c>
      <c r="D454" s="576" t="s">
        <v>146</v>
      </c>
      <c r="E454" s="576" t="s">
        <v>1034</v>
      </c>
      <c r="F454" s="576" t="s">
        <v>689</v>
      </c>
      <c r="G454" s="525">
        <v>-663</v>
      </c>
      <c r="H454" s="576" t="s">
        <v>1333</v>
      </c>
      <c r="I454" s="576" t="s">
        <v>1035</v>
      </c>
    </row>
    <row r="455" spans="1:9">
      <c r="A455" s="612">
        <f t="shared" si="6"/>
        <v>450</v>
      </c>
      <c r="B455" s="575">
        <v>43008</v>
      </c>
      <c r="C455" s="576">
        <v>454151</v>
      </c>
      <c r="D455" s="576" t="s">
        <v>770</v>
      </c>
      <c r="E455" s="576" t="s">
        <v>1002</v>
      </c>
      <c r="F455" s="576" t="s">
        <v>908</v>
      </c>
      <c r="G455" s="525">
        <v>-130</v>
      </c>
      <c r="H455" s="576" t="s">
        <v>1333</v>
      </c>
      <c r="I455" s="576" t="s">
        <v>1036</v>
      </c>
    </row>
    <row r="456" spans="1:9">
      <c r="A456" s="612">
        <f t="shared" si="6"/>
        <v>451</v>
      </c>
      <c r="B456" s="575">
        <v>42766</v>
      </c>
      <c r="C456" s="576" t="s">
        <v>1118</v>
      </c>
      <c r="D456" s="576" t="s">
        <v>764</v>
      </c>
      <c r="E456" s="576" t="s">
        <v>1101</v>
      </c>
      <c r="F456" s="576" t="s">
        <v>908</v>
      </c>
      <c r="G456" s="525">
        <v>-50</v>
      </c>
      <c r="H456" s="576">
        <v>856</v>
      </c>
      <c r="I456" s="576" t="s">
        <v>1035</v>
      </c>
    </row>
    <row r="457" spans="1:9">
      <c r="A457" s="612">
        <f t="shared" si="6"/>
        <v>452</v>
      </c>
      <c r="B457" s="575">
        <v>42794</v>
      </c>
      <c r="C457" s="576" t="s">
        <v>1118</v>
      </c>
      <c r="D457" s="576" t="s">
        <v>765</v>
      </c>
      <c r="E457" s="576" t="s">
        <v>1101</v>
      </c>
      <c r="F457" s="576" t="s">
        <v>908</v>
      </c>
      <c r="G457" s="525">
        <v>-50</v>
      </c>
      <c r="H457" s="576">
        <v>856</v>
      </c>
      <c r="I457" s="576" t="s">
        <v>1035</v>
      </c>
    </row>
    <row r="458" spans="1:9">
      <c r="A458" s="612">
        <f t="shared" si="6"/>
        <v>453</v>
      </c>
      <c r="B458" s="575">
        <v>42825</v>
      </c>
      <c r="C458" s="576" t="s">
        <v>1118</v>
      </c>
      <c r="D458" s="576" t="s">
        <v>13</v>
      </c>
      <c r="E458" s="576" t="s">
        <v>1101</v>
      </c>
      <c r="F458" s="576" t="s">
        <v>908</v>
      </c>
      <c r="G458" s="525">
        <v>-50</v>
      </c>
      <c r="H458" s="576">
        <v>856</v>
      </c>
      <c r="I458" s="576" t="s">
        <v>1035</v>
      </c>
    </row>
    <row r="459" spans="1:9">
      <c r="A459" s="612">
        <f t="shared" si="6"/>
        <v>454</v>
      </c>
      <c r="B459" s="575">
        <v>42855</v>
      </c>
      <c r="C459" s="576" t="s">
        <v>1118</v>
      </c>
      <c r="D459" s="576" t="s">
        <v>766</v>
      </c>
      <c r="E459" s="576" t="s">
        <v>1101</v>
      </c>
      <c r="F459" s="576" t="s">
        <v>908</v>
      </c>
      <c r="G459" s="525">
        <v>-50</v>
      </c>
      <c r="H459" s="576">
        <v>856</v>
      </c>
      <c r="I459" s="576" t="s">
        <v>1035</v>
      </c>
    </row>
    <row r="460" spans="1:9">
      <c r="A460" s="612">
        <f t="shared" si="6"/>
        <v>455</v>
      </c>
      <c r="B460" s="575">
        <v>42886</v>
      </c>
      <c r="C460" s="576" t="s">
        <v>1118</v>
      </c>
      <c r="D460" s="576" t="s">
        <v>767</v>
      </c>
      <c r="E460" s="576" t="s">
        <v>1101</v>
      </c>
      <c r="F460" s="576" t="s">
        <v>908</v>
      </c>
      <c r="G460" s="525">
        <v>-50</v>
      </c>
      <c r="H460" s="576">
        <v>856</v>
      </c>
      <c r="I460" s="576" t="s">
        <v>1035</v>
      </c>
    </row>
    <row r="461" spans="1:9">
      <c r="A461" s="612">
        <f t="shared" si="6"/>
        <v>456</v>
      </c>
      <c r="B461" s="575">
        <v>42916</v>
      </c>
      <c r="C461" s="576" t="s">
        <v>1118</v>
      </c>
      <c r="D461" s="576" t="s">
        <v>768</v>
      </c>
      <c r="E461" s="576" t="s">
        <v>1101</v>
      </c>
      <c r="F461" s="576" t="s">
        <v>908</v>
      </c>
      <c r="G461" s="525">
        <v>-50</v>
      </c>
      <c r="H461" s="576">
        <v>856</v>
      </c>
      <c r="I461" s="576" t="s">
        <v>1035</v>
      </c>
    </row>
    <row r="462" spans="1:9">
      <c r="A462" s="612">
        <f t="shared" si="6"/>
        <v>457</v>
      </c>
      <c r="B462" s="575">
        <v>42947</v>
      </c>
      <c r="C462" s="576" t="s">
        <v>1118</v>
      </c>
      <c r="D462" s="576" t="s">
        <v>14</v>
      </c>
      <c r="E462" s="576" t="s">
        <v>1101</v>
      </c>
      <c r="F462" s="576" t="s">
        <v>908</v>
      </c>
      <c r="G462" s="525">
        <v>-50</v>
      </c>
      <c r="H462" s="576">
        <v>856</v>
      </c>
      <c r="I462" s="576" t="s">
        <v>1035</v>
      </c>
    </row>
    <row r="463" spans="1:9">
      <c r="A463" s="612">
        <f t="shared" si="6"/>
        <v>458</v>
      </c>
      <c r="B463" s="575">
        <v>42978</v>
      </c>
      <c r="C463" s="576" t="s">
        <v>1118</v>
      </c>
      <c r="D463" s="576" t="s">
        <v>769</v>
      </c>
      <c r="E463" s="576" t="s">
        <v>1101</v>
      </c>
      <c r="F463" s="576" t="s">
        <v>908</v>
      </c>
      <c r="G463" s="525">
        <v>-50</v>
      </c>
      <c r="H463" s="576">
        <v>856</v>
      </c>
      <c r="I463" s="576" t="s">
        <v>1035</v>
      </c>
    </row>
    <row r="464" spans="1:9">
      <c r="A464" s="612">
        <f t="shared" si="6"/>
        <v>459</v>
      </c>
      <c r="B464" s="575">
        <v>43008</v>
      </c>
      <c r="C464" s="576" t="s">
        <v>1118</v>
      </c>
      <c r="D464" s="576" t="s">
        <v>770</v>
      </c>
      <c r="E464" s="576" t="s">
        <v>1101</v>
      </c>
      <c r="F464" s="576" t="s">
        <v>908</v>
      </c>
      <c r="G464" s="525">
        <v>-50</v>
      </c>
      <c r="H464" s="576">
        <v>856</v>
      </c>
      <c r="I464" s="576" t="s">
        <v>1035</v>
      </c>
    </row>
    <row r="465" spans="1:9">
      <c r="A465" s="612">
        <f t="shared" si="6"/>
        <v>460</v>
      </c>
      <c r="B465" s="575">
        <v>43039</v>
      </c>
      <c r="C465" s="576" t="s">
        <v>1118</v>
      </c>
      <c r="D465" s="576" t="s">
        <v>771</v>
      </c>
      <c r="E465" s="576" t="s">
        <v>1101</v>
      </c>
      <c r="F465" s="576" t="s">
        <v>908</v>
      </c>
      <c r="G465" s="525">
        <v>-50</v>
      </c>
      <c r="H465" s="576">
        <v>856</v>
      </c>
      <c r="I465" s="576" t="s">
        <v>1035</v>
      </c>
    </row>
    <row r="466" spans="1:9">
      <c r="A466" s="612">
        <f t="shared" si="6"/>
        <v>461</v>
      </c>
      <c r="B466" s="575">
        <v>43069</v>
      </c>
      <c r="C466" s="576" t="s">
        <v>1118</v>
      </c>
      <c r="D466" s="576" t="s">
        <v>772</v>
      </c>
      <c r="E466" s="576" t="s">
        <v>1101</v>
      </c>
      <c r="F466" s="576" t="s">
        <v>908</v>
      </c>
      <c r="G466" s="525">
        <v>-50</v>
      </c>
      <c r="H466" s="576">
        <v>856</v>
      </c>
      <c r="I466" s="576" t="s">
        <v>1035</v>
      </c>
    </row>
    <row r="467" spans="1:9">
      <c r="A467" s="612">
        <f t="shared" si="6"/>
        <v>462</v>
      </c>
      <c r="B467" s="577">
        <v>43100</v>
      </c>
      <c r="C467" s="576" t="s">
        <v>1118</v>
      </c>
      <c r="D467" s="576" t="s">
        <v>146</v>
      </c>
      <c r="E467" s="576" t="s">
        <v>1101</v>
      </c>
      <c r="F467" s="578" t="s">
        <v>908</v>
      </c>
      <c r="G467" s="579">
        <v>-50</v>
      </c>
      <c r="H467" s="576">
        <v>856</v>
      </c>
      <c r="I467" s="576" t="s">
        <v>1035</v>
      </c>
    </row>
    <row r="468" spans="1:9">
      <c r="A468" s="612">
        <f t="shared" si="6"/>
        <v>463</v>
      </c>
      <c r="B468" s="577">
        <v>42766</v>
      </c>
      <c r="C468" s="576" t="s">
        <v>1118</v>
      </c>
      <c r="D468" s="576" t="s">
        <v>764</v>
      </c>
      <c r="E468" s="576" t="s">
        <v>1147</v>
      </c>
      <c r="F468" s="578" t="s">
        <v>908</v>
      </c>
      <c r="G468" s="579">
        <v>-100</v>
      </c>
      <c r="H468" s="576">
        <v>856</v>
      </c>
      <c r="I468" s="576" t="s">
        <v>1036</v>
      </c>
    </row>
    <row r="469" spans="1:9">
      <c r="A469" s="612">
        <f t="shared" si="6"/>
        <v>464</v>
      </c>
      <c r="B469" s="577">
        <v>42766</v>
      </c>
      <c r="C469" s="576">
        <v>454151</v>
      </c>
      <c r="D469" s="576" t="s">
        <v>764</v>
      </c>
      <c r="E469" s="576" t="s">
        <v>1003</v>
      </c>
      <c r="F469" s="578" t="s">
        <v>689</v>
      </c>
      <c r="G469" s="579">
        <v>-771.87</v>
      </c>
      <c r="H469" s="576">
        <v>856</v>
      </c>
      <c r="I469" s="576" t="s">
        <v>1035</v>
      </c>
    </row>
    <row r="470" spans="1:9">
      <c r="A470" s="612">
        <f t="shared" si="6"/>
        <v>465</v>
      </c>
      <c r="B470" s="577">
        <v>42794</v>
      </c>
      <c r="C470" s="576">
        <v>454151</v>
      </c>
      <c r="D470" s="576" t="s">
        <v>765</v>
      </c>
      <c r="E470" s="576" t="s">
        <v>1003</v>
      </c>
      <c r="F470" s="578" t="s">
        <v>689</v>
      </c>
      <c r="G470" s="579">
        <v>-697.18</v>
      </c>
      <c r="H470" s="576">
        <v>856</v>
      </c>
      <c r="I470" s="576" t="s">
        <v>1035</v>
      </c>
    </row>
    <row r="471" spans="1:9">
      <c r="A471" s="612">
        <f t="shared" ref="A471:A534" si="7">A470+1</f>
        <v>466</v>
      </c>
      <c r="B471" s="577">
        <v>42825</v>
      </c>
      <c r="C471" s="576">
        <v>454151</v>
      </c>
      <c r="D471" s="576" t="s">
        <v>13</v>
      </c>
      <c r="E471" s="576" t="s">
        <v>1003</v>
      </c>
      <c r="F471" s="578" t="s">
        <v>689</v>
      </c>
      <c r="G471" s="579">
        <v>-771.87</v>
      </c>
      <c r="H471" s="576">
        <v>856</v>
      </c>
      <c r="I471" s="576" t="s">
        <v>1035</v>
      </c>
    </row>
    <row r="472" spans="1:9">
      <c r="A472" s="612">
        <f t="shared" si="7"/>
        <v>467</v>
      </c>
      <c r="B472" s="577">
        <v>42855</v>
      </c>
      <c r="C472" s="576">
        <v>454151</v>
      </c>
      <c r="D472" s="576" t="s">
        <v>766</v>
      </c>
      <c r="E472" s="576" t="s">
        <v>1003</v>
      </c>
      <c r="F472" s="578" t="s">
        <v>689</v>
      </c>
      <c r="G472" s="579">
        <v>-746.98</v>
      </c>
      <c r="H472" s="576">
        <v>856</v>
      </c>
      <c r="I472" s="576" t="s">
        <v>1035</v>
      </c>
    </row>
    <row r="473" spans="1:9">
      <c r="A473" s="612">
        <f t="shared" si="7"/>
        <v>468</v>
      </c>
      <c r="B473" s="577">
        <v>42886</v>
      </c>
      <c r="C473" s="576">
        <v>454151</v>
      </c>
      <c r="D473" s="576" t="s">
        <v>767</v>
      </c>
      <c r="E473" s="576" t="s">
        <v>1003</v>
      </c>
      <c r="F473" s="578" t="s">
        <v>689</v>
      </c>
      <c r="G473" s="579">
        <v>-771.87</v>
      </c>
      <c r="H473" s="576">
        <v>856</v>
      </c>
      <c r="I473" s="576" t="s">
        <v>1035</v>
      </c>
    </row>
    <row r="474" spans="1:9">
      <c r="A474" s="612">
        <f t="shared" si="7"/>
        <v>469</v>
      </c>
      <c r="B474" s="577">
        <v>42916</v>
      </c>
      <c r="C474" s="576">
        <v>454151</v>
      </c>
      <c r="D474" s="576" t="s">
        <v>768</v>
      </c>
      <c r="E474" s="576" t="s">
        <v>1003</v>
      </c>
      <c r="F474" s="578" t="s">
        <v>689</v>
      </c>
      <c r="G474" s="579">
        <v>-746.98</v>
      </c>
      <c r="H474" s="576">
        <v>856</v>
      </c>
      <c r="I474" s="576" t="s">
        <v>1035</v>
      </c>
    </row>
    <row r="475" spans="1:9">
      <c r="A475" s="612">
        <f t="shared" si="7"/>
        <v>470</v>
      </c>
      <c r="B475" s="577">
        <v>42947</v>
      </c>
      <c r="C475" s="576">
        <v>454151</v>
      </c>
      <c r="D475" s="576" t="s">
        <v>14</v>
      </c>
      <c r="E475" s="576" t="s">
        <v>1003</v>
      </c>
      <c r="F475" s="578" t="s">
        <v>689</v>
      </c>
      <c r="G475" s="579">
        <v>-771.87</v>
      </c>
      <c r="H475" s="576">
        <v>856</v>
      </c>
      <c r="I475" s="576" t="s">
        <v>1035</v>
      </c>
    </row>
    <row r="476" spans="1:9">
      <c r="A476" s="612">
        <f t="shared" si="7"/>
        <v>471</v>
      </c>
      <c r="B476" s="577">
        <v>42978</v>
      </c>
      <c r="C476" s="576">
        <v>454151</v>
      </c>
      <c r="D476" s="576" t="s">
        <v>769</v>
      </c>
      <c r="E476" s="576" t="s">
        <v>1003</v>
      </c>
      <c r="F476" s="578" t="s">
        <v>689</v>
      </c>
      <c r="G476" s="579">
        <v>-771.87</v>
      </c>
      <c r="H476" s="576">
        <v>856</v>
      </c>
      <c r="I476" s="576" t="s">
        <v>1035</v>
      </c>
    </row>
    <row r="477" spans="1:9">
      <c r="A477" s="612">
        <f t="shared" si="7"/>
        <v>472</v>
      </c>
      <c r="B477" s="577">
        <v>43008</v>
      </c>
      <c r="C477" s="576">
        <v>454151</v>
      </c>
      <c r="D477" s="576" t="s">
        <v>770</v>
      </c>
      <c r="E477" s="576" t="s">
        <v>1003</v>
      </c>
      <c r="F477" s="578" t="s">
        <v>689</v>
      </c>
      <c r="G477" s="579">
        <v>-746.98</v>
      </c>
      <c r="H477" s="576">
        <v>856</v>
      </c>
      <c r="I477" s="576" t="s">
        <v>1035</v>
      </c>
    </row>
    <row r="478" spans="1:9">
      <c r="A478" s="612">
        <f t="shared" si="7"/>
        <v>473</v>
      </c>
      <c r="B478" s="577">
        <v>43039</v>
      </c>
      <c r="C478" s="576">
        <v>454151</v>
      </c>
      <c r="D478" s="576" t="s">
        <v>771</v>
      </c>
      <c r="E478" s="576" t="s">
        <v>1003</v>
      </c>
      <c r="F478" s="578" t="s">
        <v>689</v>
      </c>
      <c r="G478" s="579">
        <v>-771.87</v>
      </c>
      <c r="H478" s="576">
        <v>856</v>
      </c>
      <c r="I478" s="576" t="s">
        <v>1035</v>
      </c>
    </row>
    <row r="479" spans="1:9">
      <c r="A479" s="612">
        <f t="shared" si="7"/>
        <v>474</v>
      </c>
      <c r="B479" s="577">
        <v>43069</v>
      </c>
      <c r="C479" s="576">
        <v>454151</v>
      </c>
      <c r="D479" s="576" t="s">
        <v>772</v>
      </c>
      <c r="E479" s="576" t="s">
        <v>1003</v>
      </c>
      <c r="F479" s="578" t="s">
        <v>689</v>
      </c>
      <c r="G479" s="579">
        <v>-746.98</v>
      </c>
      <c r="H479" s="576">
        <v>856</v>
      </c>
      <c r="I479" s="576" t="s">
        <v>1035</v>
      </c>
    </row>
    <row r="480" spans="1:9">
      <c r="A480" s="612">
        <f t="shared" si="7"/>
        <v>475</v>
      </c>
      <c r="B480" s="577">
        <v>43100</v>
      </c>
      <c r="C480" s="576">
        <v>454151</v>
      </c>
      <c r="D480" s="576" t="s">
        <v>146</v>
      </c>
      <c r="E480" s="576" t="s">
        <v>1003</v>
      </c>
      <c r="F480" s="578" t="s">
        <v>689</v>
      </c>
      <c r="G480" s="579">
        <v>-771.88</v>
      </c>
      <c r="H480" s="576">
        <v>856</v>
      </c>
      <c r="I480" s="576" t="s">
        <v>1035</v>
      </c>
    </row>
    <row r="481" spans="1:9">
      <c r="A481" s="612">
        <f t="shared" si="7"/>
        <v>476</v>
      </c>
      <c r="B481" s="577">
        <v>42766</v>
      </c>
      <c r="C481" s="576">
        <v>454151</v>
      </c>
      <c r="D481" s="576" t="s">
        <v>764</v>
      </c>
      <c r="E481" s="576" t="s">
        <v>1148</v>
      </c>
      <c r="F481" s="578" t="s">
        <v>638</v>
      </c>
      <c r="G481" s="579">
        <v>-1166</v>
      </c>
      <c r="H481" s="576">
        <v>856</v>
      </c>
      <c r="I481" s="576" t="s">
        <v>1035</v>
      </c>
    </row>
    <row r="482" spans="1:9">
      <c r="A482" s="612">
        <f t="shared" si="7"/>
        <v>477</v>
      </c>
      <c r="B482" s="577">
        <v>42794</v>
      </c>
      <c r="C482" s="576">
        <v>454151</v>
      </c>
      <c r="D482" s="576" t="s">
        <v>765</v>
      </c>
      <c r="E482" s="576" t="s">
        <v>1148</v>
      </c>
      <c r="F482" s="578" t="s">
        <v>638</v>
      </c>
      <c r="G482" s="579">
        <v>-1166</v>
      </c>
      <c r="H482" s="576">
        <v>856</v>
      </c>
      <c r="I482" s="576" t="s">
        <v>1035</v>
      </c>
    </row>
    <row r="483" spans="1:9">
      <c r="A483" s="612">
        <f t="shared" si="7"/>
        <v>478</v>
      </c>
      <c r="B483" s="577">
        <v>42825</v>
      </c>
      <c r="C483" s="576">
        <v>454151</v>
      </c>
      <c r="D483" s="576" t="s">
        <v>13</v>
      </c>
      <c r="E483" s="576" t="s">
        <v>1148</v>
      </c>
      <c r="F483" s="578" t="s">
        <v>638</v>
      </c>
      <c r="G483" s="579">
        <v>-1188</v>
      </c>
      <c r="H483" s="576">
        <v>856</v>
      </c>
      <c r="I483" s="576" t="s">
        <v>1035</v>
      </c>
    </row>
    <row r="484" spans="1:9">
      <c r="A484" s="612">
        <f t="shared" si="7"/>
        <v>479</v>
      </c>
      <c r="B484" s="577">
        <v>42855</v>
      </c>
      <c r="C484" s="576">
        <v>454151</v>
      </c>
      <c r="D484" s="576" t="s">
        <v>766</v>
      </c>
      <c r="E484" s="576" t="s">
        <v>1148</v>
      </c>
      <c r="F484" s="578" t="s">
        <v>638</v>
      </c>
      <c r="G484" s="579">
        <v>-1150</v>
      </c>
      <c r="H484" s="576">
        <v>856</v>
      </c>
      <c r="I484" s="576" t="s">
        <v>1035</v>
      </c>
    </row>
    <row r="485" spans="1:9">
      <c r="A485" s="612">
        <f t="shared" si="7"/>
        <v>480</v>
      </c>
      <c r="B485" s="577">
        <v>42886</v>
      </c>
      <c r="C485" s="576">
        <v>454151</v>
      </c>
      <c r="D485" s="576" t="s">
        <v>767</v>
      </c>
      <c r="E485" s="576" t="s">
        <v>1148</v>
      </c>
      <c r="F485" s="578" t="s">
        <v>638</v>
      </c>
      <c r="G485" s="579">
        <v>-1188</v>
      </c>
      <c r="H485" s="576">
        <v>856</v>
      </c>
      <c r="I485" s="576" t="s">
        <v>1035</v>
      </c>
    </row>
    <row r="486" spans="1:9">
      <c r="A486" s="612">
        <f t="shared" si="7"/>
        <v>481</v>
      </c>
      <c r="B486" s="577">
        <v>42916</v>
      </c>
      <c r="C486" s="576">
        <v>454151</v>
      </c>
      <c r="D486" s="576" t="s">
        <v>768</v>
      </c>
      <c r="E486" s="576" t="s">
        <v>1148</v>
      </c>
      <c r="F486" s="578" t="s">
        <v>638</v>
      </c>
      <c r="G486" s="579">
        <v>-1150</v>
      </c>
      <c r="H486" s="576">
        <v>856</v>
      </c>
      <c r="I486" s="576" t="s">
        <v>1035</v>
      </c>
    </row>
    <row r="487" spans="1:9">
      <c r="A487" s="612">
        <f t="shared" si="7"/>
        <v>482</v>
      </c>
      <c r="B487" s="577">
        <v>42947</v>
      </c>
      <c r="C487" s="576">
        <v>454151</v>
      </c>
      <c r="D487" s="576" t="s">
        <v>14</v>
      </c>
      <c r="E487" s="576" t="s">
        <v>1148</v>
      </c>
      <c r="F487" s="578" t="s">
        <v>638</v>
      </c>
      <c r="G487" s="579">
        <v>-1188</v>
      </c>
      <c r="H487" s="576">
        <v>856</v>
      </c>
      <c r="I487" s="576" t="s">
        <v>1035</v>
      </c>
    </row>
    <row r="488" spans="1:9">
      <c r="A488" s="612">
        <f t="shared" si="7"/>
        <v>483</v>
      </c>
      <c r="B488" s="577">
        <v>42978</v>
      </c>
      <c r="C488" s="576">
        <v>454151</v>
      </c>
      <c r="D488" s="576" t="s">
        <v>769</v>
      </c>
      <c r="E488" s="576" t="s">
        <v>1148</v>
      </c>
      <c r="F488" s="578" t="s">
        <v>638</v>
      </c>
      <c r="G488" s="579">
        <v>-1188</v>
      </c>
      <c r="H488" s="576">
        <v>856</v>
      </c>
      <c r="I488" s="576" t="s">
        <v>1035</v>
      </c>
    </row>
    <row r="489" spans="1:9">
      <c r="A489" s="612">
        <f t="shared" si="7"/>
        <v>484</v>
      </c>
      <c r="B489" s="577">
        <v>43008</v>
      </c>
      <c r="C489" s="576">
        <v>454151</v>
      </c>
      <c r="D489" s="576" t="s">
        <v>770</v>
      </c>
      <c r="E489" s="576" t="s">
        <v>1148</v>
      </c>
      <c r="F489" s="578" t="s">
        <v>638</v>
      </c>
      <c r="G489" s="579">
        <v>-1150</v>
      </c>
      <c r="H489" s="576">
        <v>856</v>
      </c>
      <c r="I489" s="576" t="s">
        <v>1035</v>
      </c>
    </row>
    <row r="490" spans="1:9">
      <c r="A490" s="612">
        <f t="shared" si="7"/>
        <v>485</v>
      </c>
      <c r="B490" s="577">
        <v>43039</v>
      </c>
      <c r="C490" s="576">
        <v>454151</v>
      </c>
      <c r="D490" s="576" t="s">
        <v>771</v>
      </c>
      <c r="E490" s="576" t="s">
        <v>1148</v>
      </c>
      <c r="F490" s="578" t="s">
        <v>638</v>
      </c>
      <c r="G490" s="579">
        <v>-1188</v>
      </c>
      <c r="H490" s="576">
        <v>856</v>
      </c>
      <c r="I490" s="576" t="s">
        <v>1035</v>
      </c>
    </row>
    <row r="491" spans="1:9">
      <c r="A491" s="612">
        <f t="shared" si="7"/>
        <v>486</v>
      </c>
      <c r="B491" s="577">
        <v>43069</v>
      </c>
      <c r="C491" s="576">
        <v>454151</v>
      </c>
      <c r="D491" s="576" t="s">
        <v>772</v>
      </c>
      <c r="E491" s="576" t="s">
        <v>1148</v>
      </c>
      <c r="F491" s="578" t="s">
        <v>638</v>
      </c>
      <c r="G491" s="579">
        <v>-1150</v>
      </c>
      <c r="H491" s="576">
        <v>856</v>
      </c>
      <c r="I491" s="576" t="s">
        <v>1035</v>
      </c>
    </row>
    <row r="492" spans="1:9">
      <c r="A492" s="612">
        <f t="shared" si="7"/>
        <v>487</v>
      </c>
      <c r="B492" s="575">
        <v>43100</v>
      </c>
      <c r="C492" s="576">
        <v>454151</v>
      </c>
      <c r="D492" s="576" t="s">
        <v>146</v>
      </c>
      <c r="E492" s="576" t="s">
        <v>1148</v>
      </c>
      <c r="F492" s="576" t="s">
        <v>638</v>
      </c>
      <c r="G492" s="525">
        <v>-1188</v>
      </c>
      <c r="H492" s="576">
        <v>856</v>
      </c>
      <c r="I492" s="576" t="s">
        <v>1035</v>
      </c>
    </row>
    <row r="493" spans="1:9">
      <c r="A493" s="612">
        <f t="shared" si="7"/>
        <v>488</v>
      </c>
      <c r="B493" s="575">
        <v>43069</v>
      </c>
      <c r="C493" s="576" t="s">
        <v>1118</v>
      </c>
      <c r="D493" s="576" t="s">
        <v>772</v>
      </c>
      <c r="E493" s="576" t="s">
        <v>1102</v>
      </c>
      <c r="F493" s="576" t="s">
        <v>908</v>
      </c>
      <c r="G493" s="525">
        <v>-100</v>
      </c>
      <c r="H493" s="576" t="s">
        <v>1333</v>
      </c>
      <c r="I493" s="576" t="s">
        <v>1036</v>
      </c>
    </row>
    <row r="494" spans="1:9">
      <c r="A494" s="612">
        <f t="shared" si="7"/>
        <v>489</v>
      </c>
      <c r="B494" s="575">
        <v>42766</v>
      </c>
      <c r="C494" s="576">
        <v>454151</v>
      </c>
      <c r="D494" s="576" t="s">
        <v>764</v>
      </c>
      <c r="E494" s="576" t="s">
        <v>1149</v>
      </c>
      <c r="F494" s="576" t="s">
        <v>908</v>
      </c>
      <c r="G494" s="525">
        <v>-188.52</v>
      </c>
      <c r="H494" s="576">
        <v>856</v>
      </c>
      <c r="I494" s="576" t="s">
        <v>1035</v>
      </c>
    </row>
    <row r="495" spans="1:9">
      <c r="A495" s="612">
        <f t="shared" si="7"/>
        <v>490</v>
      </c>
      <c r="B495" s="575">
        <v>42794</v>
      </c>
      <c r="C495" s="576">
        <v>454151</v>
      </c>
      <c r="D495" s="576" t="s">
        <v>765</v>
      </c>
      <c r="E495" s="576" t="s">
        <v>1149</v>
      </c>
      <c r="F495" s="576" t="s">
        <v>908</v>
      </c>
      <c r="G495" s="525">
        <v>-188.52</v>
      </c>
      <c r="H495" s="576">
        <v>856</v>
      </c>
      <c r="I495" s="576" t="s">
        <v>1035</v>
      </c>
    </row>
    <row r="496" spans="1:9">
      <c r="A496" s="612">
        <f t="shared" si="7"/>
        <v>491</v>
      </c>
      <c r="B496" s="575">
        <v>42825</v>
      </c>
      <c r="C496" s="576">
        <v>454151</v>
      </c>
      <c r="D496" s="576" t="s">
        <v>13</v>
      </c>
      <c r="E496" s="576" t="s">
        <v>1149</v>
      </c>
      <c r="F496" s="576" t="s">
        <v>908</v>
      </c>
      <c r="G496" s="525">
        <v>-188.52</v>
      </c>
      <c r="H496" s="576">
        <v>856</v>
      </c>
      <c r="I496" s="576" t="s">
        <v>1035</v>
      </c>
    </row>
    <row r="497" spans="1:9">
      <c r="A497" s="612">
        <f t="shared" si="7"/>
        <v>492</v>
      </c>
      <c r="B497" s="575">
        <v>42855</v>
      </c>
      <c r="C497" s="576">
        <v>454151</v>
      </c>
      <c r="D497" s="576" t="s">
        <v>766</v>
      </c>
      <c r="E497" s="576" t="s">
        <v>1149</v>
      </c>
      <c r="F497" s="576" t="s">
        <v>908</v>
      </c>
      <c r="G497" s="525">
        <v>-188.52</v>
      </c>
      <c r="H497" s="576">
        <v>856</v>
      </c>
      <c r="I497" s="576" t="s">
        <v>1035</v>
      </c>
    </row>
    <row r="498" spans="1:9">
      <c r="A498" s="612">
        <f t="shared" si="7"/>
        <v>493</v>
      </c>
      <c r="B498" s="575">
        <v>42886</v>
      </c>
      <c r="C498" s="576">
        <v>454151</v>
      </c>
      <c r="D498" s="576" t="s">
        <v>767</v>
      </c>
      <c r="E498" s="576" t="s">
        <v>1149</v>
      </c>
      <c r="F498" s="576" t="s">
        <v>908</v>
      </c>
      <c r="G498" s="525">
        <v>-188.52</v>
      </c>
      <c r="H498" s="576">
        <v>856</v>
      </c>
      <c r="I498" s="576" t="s">
        <v>1035</v>
      </c>
    </row>
    <row r="499" spans="1:9">
      <c r="A499" s="612">
        <f t="shared" si="7"/>
        <v>494</v>
      </c>
      <c r="B499" s="575">
        <v>42916</v>
      </c>
      <c r="C499" s="576">
        <v>454151</v>
      </c>
      <c r="D499" s="576" t="s">
        <v>768</v>
      </c>
      <c r="E499" s="576" t="s">
        <v>1149</v>
      </c>
      <c r="F499" s="576" t="s">
        <v>908</v>
      </c>
      <c r="G499" s="525">
        <v>-188.52</v>
      </c>
      <c r="H499" s="576">
        <v>856</v>
      </c>
      <c r="I499" s="576" t="s">
        <v>1035</v>
      </c>
    </row>
    <row r="500" spans="1:9">
      <c r="A500" s="612">
        <f t="shared" si="7"/>
        <v>495</v>
      </c>
      <c r="B500" s="575">
        <v>42947</v>
      </c>
      <c r="C500" s="576">
        <v>454151</v>
      </c>
      <c r="D500" s="576" t="s">
        <v>14</v>
      </c>
      <c r="E500" s="576" t="s">
        <v>1149</v>
      </c>
      <c r="F500" s="576" t="s">
        <v>908</v>
      </c>
      <c r="G500" s="525">
        <v>-188.52</v>
      </c>
      <c r="H500" s="576">
        <v>856</v>
      </c>
      <c r="I500" s="576" t="s">
        <v>1035</v>
      </c>
    </row>
    <row r="501" spans="1:9">
      <c r="A501" s="612">
        <f t="shared" si="7"/>
        <v>496</v>
      </c>
      <c r="B501" s="575">
        <v>42978</v>
      </c>
      <c r="C501" s="576">
        <v>454151</v>
      </c>
      <c r="D501" s="576" t="s">
        <v>769</v>
      </c>
      <c r="E501" s="576" t="s">
        <v>1149</v>
      </c>
      <c r="F501" s="576" t="s">
        <v>908</v>
      </c>
      <c r="G501" s="525">
        <v>-198.75</v>
      </c>
      <c r="H501" s="576" t="s">
        <v>1333</v>
      </c>
      <c r="I501" s="576" t="s">
        <v>1035</v>
      </c>
    </row>
    <row r="502" spans="1:9">
      <c r="A502" s="612">
        <f t="shared" si="7"/>
        <v>497</v>
      </c>
      <c r="B502" s="575">
        <v>43008</v>
      </c>
      <c r="C502" s="576">
        <v>454151</v>
      </c>
      <c r="D502" s="576" t="s">
        <v>770</v>
      </c>
      <c r="E502" s="576" t="s">
        <v>1149</v>
      </c>
      <c r="F502" s="576" t="s">
        <v>908</v>
      </c>
      <c r="G502" s="525">
        <v>-192.34</v>
      </c>
      <c r="H502" s="576" t="s">
        <v>1333</v>
      </c>
      <c r="I502" s="576" t="s">
        <v>1035</v>
      </c>
    </row>
    <row r="503" spans="1:9">
      <c r="A503" s="612">
        <f t="shared" si="7"/>
        <v>498</v>
      </c>
      <c r="B503" s="575">
        <v>43039</v>
      </c>
      <c r="C503" s="576">
        <v>454151</v>
      </c>
      <c r="D503" s="576" t="s">
        <v>771</v>
      </c>
      <c r="E503" s="576" t="s">
        <v>1149</v>
      </c>
      <c r="F503" s="576" t="s">
        <v>908</v>
      </c>
      <c r="G503" s="525">
        <v>-198.75</v>
      </c>
      <c r="H503" s="576" t="s">
        <v>1333</v>
      </c>
      <c r="I503" s="576" t="s">
        <v>1035</v>
      </c>
    </row>
    <row r="504" spans="1:9">
      <c r="A504" s="612">
        <f t="shared" si="7"/>
        <v>499</v>
      </c>
      <c r="B504" s="575">
        <v>43069</v>
      </c>
      <c r="C504" s="576">
        <v>454151</v>
      </c>
      <c r="D504" s="576" t="s">
        <v>772</v>
      </c>
      <c r="E504" s="576" t="s">
        <v>1149</v>
      </c>
      <c r="F504" s="576" t="s">
        <v>908</v>
      </c>
      <c r="G504" s="525">
        <v>-192.34</v>
      </c>
      <c r="H504" s="576" t="s">
        <v>1333</v>
      </c>
      <c r="I504" s="576" t="s">
        <v>1035</v>
      </c>
    </row>
    <row r="505" spans="1:9">
      <c r="A505" s="612">
        <f t="shared" si="7"/>
        <v>500</v>
      </c>
      <c r="B505" s="575">
        <v>43100</v>
      </c>
      <c r="C505" s="576">
        <v>454151</v>
      </c>
      <c r="D505" s="576" t="s">
        <v>146</v>
      </c>
      <c r="E505" s="576" t="s">
        <v>1149</v>
      </c>
      <c r="F505" s="576" t="s">
        <v>908</v>
      </c>
      <c r="G505" s="525">
        <v>-198.75</v>
      </c>
      <c r="H505" s="576" t="s">
        <v>1333</v>
      </c>
      <c r="I505" s="576" t="s">
        <v>1035</v>
      </c>
    </row>
    <row r="506" spans="1:9">
      <c r="A506" s="612">
        <f t="shared" si="7"/>
        <v>501</v>
      </c>
      <c r="B506" s="575">
        <v>42766</v>
      </c>
      <c r="C506" s="576">
        <v>454151</v>
      </c>
      <c r="D506" s="576" t="s">
        <v>764</v>
      </c>
      <c r="E506" s="576" t="s">
        <v>1150</v>
      </c>
      <c r="F506" s="576" t="s">
        <v>907</v>
      </c>
      <c r="G506" s="525">
        <v>-424.28</v>
      </c>
      <c r="H506" s="576">
        <v>856</v>
      </c>
      <c r="I506" s="576" t="s">
        <v>1035</v>
      </c>
    </row>
    <row r="507" spans="1:9">
      <c r="A507" s="612">
        <f t="shared" si="7"/>
        <v>502</v>
      </c>
      <c r="B507" s="575">
        <v>42794</v>
      </c>
      <c r="C507" s="576">
        <v>454151</v>
      </c>
      <c r="D507" s="576" t="s">
        <v>765</v>
      </c>
      <c r="E507" s="576" t="s">
        <v>1150</v>
      </c>
      <c r="F507" s="576" t="s">
        <v>907</v>
      </c>
      <c r="G507" s="525">
        <v>-383.22</v>
      </c>
      <c r="H507" s="576">
        <v>856</v>
      </c>
      <c r="I507" s="576" t="s">
        <v>1035</v>
      </c>
    </row>
    <row r="508" spans="1:9">
      <c r="A508" s="612">
        <f t="shared" si="7"/>
        <v>503</v>
      </c>
      <c r="B508" s="575">
        <v>42825</v>
      </c>
      <c r="C508" s="576">
        <v>454151</v>
      </c>
      <c r="D508" s="576" t="s">
        <v>13</v>
      </c>
      <c r="E508" s="576" t="s">
        <v>1150</v>
      </c>
      <c r="F508" s="576" t="s">
        <v>907</v>
      </c>
      <c r="G508" s="525">
        <v>-424.28</v>
      </c>
      <c r="H508" s="576">
        <v>856</v>
      </c>
      <c r="I508" s="576" t="s">
        <v>1035</v>
      </c>
    </row>
    <row r="509" spans="1:9">
      <c r="A509" s="612">
        <f t="shared" si="7"/>
        <v>504</v>
      </c>
      <c r="B509" s="575">
        <v>42855</v>
      </c>
      <c r="C509" s="576">
        <v>454151</v>
      </c>
      <c r="D509" s="576" t="s">
        <v>766</v>
      </c>
      <c r="E509" s="576" t="s">
        <v>1150</v>
      </c>
      <c r="F509" s="576" t="s">
        <v>907</v>
      </c>
      <c r="G509" s="525">
        <v>-410.6</v>
      </c>
      <c r="H509" s="576">
        <v>856</v>
      </c>
      <c r="I509" s="576" t="s">
        <v>1035</v>
      </c>
    </row>
    <row r="510" spans="1:9">
      <c r="A510" s="612">
        <f t="shared" si="7"/>
        <v>505</v>
      </c>
      <c r="B510" s="575">
        <v>42886</v>
      </c>
      <c r="C510" s="576">
        <v>454151</v>
      </c>
      <c r="D510" s="576" t="s">
        <v>767</v>
      </c>
      <c r="E510" s="576" t="s">
        <v>1150</v>
      </c>
      <c r="F510" s="576" t="s">
        <v>907</v>
      </c>
      <c r="G510" s="525">
        <v>-424</v>
      </c>
      <c r="H510" s="576">
        <v>856</v>
      </c>
      <c r="I510" s="576" t="s">
        <v>1035</v>
      </c>
    </row>
    <row r="511" spans="1:9">
      <c r="A511" s="612">
        <f t="shared" si="7"/>
        <v>506</v>
      </c>
      <c r="B511" s="575">
        <v>42916</v>
      </c>
      <c r="C511" s="576">
        <v>454151</v>
      </c>
      <c r="D511" s="576" t="s">
        <v>768</v>
      </c>
      <c r="E511" s="576" t="s">
        <v>1150</v>
      </c>
      <c r="F511" s="576" t="s">
        <v>907</v>
      </c>
      <c r="G511" s="525">
        <v>-411</v>
      </c>
      <c r="H511" s="576">
        <v>856</v>
      </c>
      <c r="I511" s="576" t="s">
        <v>1035</v>
      </c>
    </row>
    <row r="512" spans="1:9">
      <c r="A512" s="612">
        <f t="shared" si="7"/>
        <v>507</v>
      </c>
      <c r="B512" s="575">
        <v>42947</v>
      </c>
      <c r="C512" s="576">
        <v>454151</v>
      </c>
      <c r="D512" s="576" t="s">
        <v>14</v>
      </c>
      <c r="E512" s="576" t="s">
        <v>1150</v>
      </c>
      <c r="F512" s="576" t="s">
        <v>907</v>
      </c>
      <c r="G512" s="525">
        <v>-424</v>
      </c>
      <c r="H512" s="576">
        <v>856</v>
      </c>
      <c r="I512" s="576" t="s">
        <v>1035</v>
      </c>
    </row>
    <row r="513" spans="1:10">
      <c r="A513" s="612">
        <f t="shared" si="7"/>
        <v>508</v>
      </c>
      <c r="B513" s="575">
        <v>42978</v>
      </c>
      <c r="C513" s="576">
        <v>454151</v>
      </c>
      <c r="D513" s="576" t="s">
        <v>769</v>
      </c>
      <c r="E513" s="576" t="s">
        <v>1150</v>
      </c>
      <c r="F513" s="576" t="s">
        <v>907</v>
      </c>
      <c r="G513" s="525">
        <v>-424</v>
      </c>
      <c r="H513" s="576">
        <v>856</v>
      </c>
      <c r="I513" s="576" t="s">
        <v>1035</v>
      </c>
    </row>
    <row r="514" spans="1:10">
      <c r="A514" s="612">
        <f t="shared" si="7"/>
        <v>509</v>
      </c>
      <c r="B514" s="575">
        <v>43008</v>
      </c>
      <c r="C514" s="576">
        <v>454151</v>
      </c>
      <c r="D514" s="576" t="s">
        <v>770</v>
      </c>
      <c r="E514" s="576" t="s">
        <v>1150</v>
      </c>
      <c r="F514" s="576" t="s">
        <v>907</v>
      </c>
      <c r="G514" s="525">
        <v>-411</v>
      </c>
      <c r="H514" s="576">
        <v>856</v>
      </c>
      <c r="I514" s="576" t="s">
        <v>1035</v>
      </c>
    </row>
    <row r="515" spans="1:10">
      <c r="A515" s="612">
        <f t="shared" si="7"/>
        <v>510</v>
      </c>
      <c r="B515" s="575">
        <v>43039</v>
      </c>
      <c r="C515" s="576">
        <v>454151</v>
      </c>
      <c r="D515" s="576" t="s">
        <v>771</v>
      </c>
      <c r="E515" s="576" t="s">
        <v>1150</v>
      </c>
      <c r="F515" s="576" t="s">
        <v>907</v>
      </c>
      <c r="G515" s="525">
        <v>-424</v>
      </c>
      <c r="H515" s="576">
        <v>856</v>
      </c>
      <c r="I515" s="576" t="s">
        <v>1035</v>
      </c>
    </row>
    <row r="516" spans="1:10">
      <c r="A516" s="612">
        <f t="shared" si="7"/>
        <v>511</v>
      </c>
      <c r="B516" s="575">
        <v>43069</v>
      </c>
      <c r="C516" s="576">
        <v>454151</v>
      </c>
      <c r="D516" s="576" t="s">
        <v>772</v>
      </c>
      <c r="E516" s="576" t="s">
        <v>1150</v>
      </c>
      <c r="F516" s="576" t="s">
        <v>907</v>
      </c>
      <c r="G516" s="525">
        <v>-411</v>
      </c>
      <c r="H516" s="576">
        <v>856</v>
      </c>
      <c r="I516" s="576" t="s">
        <v>1035</v>
      </c>
    </row>
    <row r="517" spans="1:10">
      <c r="A517" s="612">
        <f t="shared" si="7"/>
        <v>512</v>
      </c>
      <c r="B517" s="575">
        <v>43100</v>
      </c>
      <c r="C517" s="576">
        <v>454151</v>
      </c>
      <c r="D517" s="576" t="s">
        <v>146</v>
      </c>
      <c r="E517" s="576" t="s">
        <v>1150</v>
      </c>
      <c r="F517" s="576" t="s">
        <v>907</v>
      </c>
      <c r="G517" s="525">
        <v>-424</v>
      </c>
      <c r="H517" s="576">
        <v>856</v>
      </c>
      <c r="I517" s="576" t="s">
        <v>1035</v>
      </c>
    </row>
    <row r="518" spans="1:10">
      <c r="A518" s="612">
        <f t="shared" si="7"/>
        <v>513</v>
      </c>
      <c r="B518" s="575"/>
      <c r="C518" s="576"/>
      <c r="D518" s="576"/>
      <c r="E518" s="576"/>
      <c r="F518" s="576"/>
      <c r="G518" s="525"/>
      <c r="H518" s="576"/>
      <c r="I518" s="576"/>
    </row>
    <row r="519" spans="1:10">
      <c r="A519" s="612">
        <f t="shared" si="7"/>
        <v>514</v>
      </c>
      <c r="B519" s="581"/>
      <c r="C519" s="576"/>
      <c r="D519" s="576"/>
      <c r="E519" s="576"/>
      <c r="F519" s="582"/>
      <c r="G519" s="525"/>
      <c r="H519" s="576"/>
      <c r="I519" s="576"/>
    </row>
    <row r="520" spans="1:10">
      <c r="A520" s="612">
        <f t="shared" si="7"/>
        <v>515</v>
      </c>
      <c r="B520" s="244"/>
      <c r="C520" s="445"/>
      <c r="D520" s="445"/>
      <c r="E520" s="444"/>
      <c r="F520" s="445" t="s">
        <v>442</v>
      </c>
      <c r="G520" s="446">
        <f>SUM(G6:G517)</f>
        <v>-248968.53499999995</v>
      </c>
      <c r="H520" s="445"/>
      <c r="I520" s="444"/>
      <c r="J520" s="444"/>
    </row>
    <row r="521" spans="1:10">
      <c r="A521" s="612">
        <f t="shared" si="7"/>
        <v>516</v>
      </c>
      <c r="E521" s="152"/>
    </row>
    <row r="522" spans="1:10">
      <c r="A522" s="612">
        <f t="shared" si="7"/>
        <v>517</v>
      </c>
      <c r="E522" s="152"/>
      <c r="F522" s="612" t="s">
        <v>736</v>
      </c>
      <c r="G522" s="439">
        <f>SUMIF($F$6:$F$519,"=PP",$G$6:$G$519)</f>
        <v>-34940.634999999973</v>
      </c>
      <c r="I522" s="444"/>
      <c r="J522" s="444"/>
    </row>
    <row r="523" spans="1:10">
      <c r="A523" s="612">
        <f t="shared" si="7"/>
        <v>518</v>
      </c>
      <c r="E523" s="152"/>
      <c r="F523" s="612" t="s">
        <v>732</v>
      </c>
      <c r="G523" s="439">
        <f>SUMIF($F$6:$F$519,"=G",$G$6:$G$519)</f>
        <v>-123459.45999999988</v>
      </c>
    </row>
    <row r="524" spans="1:10">
      <c r="A524" s="612">
        <f t="shared" si="7"/>
        <v>519</v>
      </c>
      <c r="E524" s="152"/>
      <c r="F524" s="612" t="s">
        <v>737</v>
      </c>
      <c r="G524" s="439">
        <f>SUMIF($F$6:$F$519,"=T",$G$6:$G$519)</f>
        <v>-39505.19999999999</v>
      </c>
    </row>
    <row r="525" spans="1:10">
      <c r="A525" s="612">
        <f t="shared" si="7"/>
        <v>520</v>
      </c>
      <c r="E525" s="152"/>
      <c r="F525" s="612" t="s">
        <v>738</v>
      </c>
      <c r="G525" s="439">
        <f>SUMIF($F$6:$F$519,"=D",$G$6:$G$519)</f>
        <v>-51063.239999999991</v>
      </c>
    </row>
    <row r="526" spans="1:10">
      <c r="A526" s="612">
        <f t="shared" si="7"/>
        <v>521</v>
      </c>
      <c r="E526" s="152"/>
      <c r="I526" s="248"/>
      <c r="J526" s="248"/>
    </row>
    <row r="527" spans="1:10">
      <c r="A527" s="612">
        <f t="shared" si="7"/>
        <v>522</v>
      </c>
      <c r="E527" s="152"/>
      <c r="F527" s="612" t="s">
        <v>537</v>
      </c>
      <c r="G527" s="439">
        <f>SUM(G522:G526)</f>
        <v>-248968.53499999983</v>
      </c>
      <c r="I527" s="439"/>
      <c r="J527" s="439"/>
    </row>
    <row r="528" spans="1:10">
      <c r="A528" s="612">
        <f t="shared" si="7"/>
        <v>523</v>
      </c>
      <c r="E528" s="152"/>
    </row>
    <row r="529" spans="1:10">
      <c r="A529" s="612">
        <f t="shared" si="7"/>
        <v>524</v>
      </c>
      <c r="E529" s="362"/>
      <c r="F529" s="614"/>
      <c r="G529" s="447"/>
      <c r="H529" s="614"/>
      <c r="I529" s="364"/>
      <c r="J529" s="177"/>
    </row>
    <row r="530" spans="1:10">
      <c r="A530" s="612">
        <f t="shared" si="7"/>
        <v>525</v>
      </c>
      <c r="E530" s="365" t="s">
        <v>519</v>
      </c>
      <c r="F530" s="621"/>
      <c r="G530" s="146">
        <f>ABS(G524)</f>
        <v>39505.19999999999</v>
      </c>
      <c r="H530" s="621"/>
      <c r="I530" s="218"/>
      <c r="J530" s="177"/>
    </row>
    <row r="531" spans="1:10" ht="15">
      <c r="A531" s="612">
        <f t="shared" si="7"/>
        <v>526</v>
      </c>
      <c r="E531" s="365" t="s">
        <v>971</v>
      </c>
      <c r="F531" s="621">
        <f>'Schedule 3'!F27</f>
        <v>0.12484523</v>
      </c>
      <c r="G531" s="448">
        <f>ABS(G523) * F531</f>
        <v>15413.324679375784</v>
      </c>
      <c r="H531" s="621"/>
      <c r="I531" s="218"/>
      <c r="J531" s="177"/>
    </row>
    <row r="532" spans="1:10">
      <c r="A532" s="612">
        <f t="shared" si="7"/>
        <v>527</v>
      </c>
      <c r="E532" s="365" t="s">
        <v>972</v>
      </c>
      <c r="F532" s="621"/>
      <c r="G532" s="146">
        <f>SUM(G530:G531)</f>
        <v>54918.524679375776</v>
      </c>
      <c r="H532" s="621"/>
      <c r="I532" s="218" t="s">
        <v>761</v>
      </c>
      <c r="J532" s="177"/>
    </row>
    <row r="533" spans="1:10">
      <c r="A533" s="612">
        <f t="shared" si="7"/>
        <v>528</v>
      </c>
      <c r="E533" s="449"/>
      <c r="F533" s="234"/>
      <c r="G533" s="450"/>
      <c r="H533" s="234"/>
      <c r="I533" s="367"/>
      <c r="J533" s="177"/>
    </row>
    <row r="534" spans="1:10">
      <c r="A534" s="612">
        <f t="shared" si="7"/>
        <v>529</v>
      </c>
      <c r="E534" s="152"/>
    </row>
    <row r="535" spans="1:10">
      <c r="A535" s="612">
        <f t="shared" ref="A535" si="8">A534+1</f>
        <v>530</v>
      </c>
      <c r="B535" s="153" t="s">
        <v>695</v>
      </c>
      <c r="E535" s="152"/>
    </row>
    <row r="536" spans="1:10">
      <c r="A536" s="612">
        <f t="shared" ref="A536:A538" si="9">A535+1</f>
        <v>531</v>
      </c>
      <c r="B536" s="153" t="s">
        <v>970</v>
      </c>
      <c r="E536" s="152"/>
    </row>
    <row r="537" spans="1:10">
      <c r="A537" s="612">
        <f t="shared" si="9"/>
        <v>532</v>
      </c>
      <c r="B537" s="153" t="s">
        <v>696</v>
      </c>
      <c r="E537" s="152"/>
    </row>
    <row r="538" spans="1:10">
      <c r="A538" s="612">
        <f t="shared" si="9"/>
        <v>533</v>
      </c>
      <c r="B538" s="153" t="s">
        <v>697</v>
      </c>
      <c r="E538" s="152"/>
    </row>
  </sheetData>
  <sheetProtection formatCells="0"/>
  <sortState ref="A6:I237">
    <sortCondition ref="A7:A238"/>
  </sortState>
  <mergeCells count="3">
    <mergeCell ref="B1:I1"/>
    <mergeCell ref="B2:I2"/>
    <mergeCell ref="A3:I3"/>
  </mergeCells>
  <printOptions horizontalCentered="1"/>
  <pageMargins left="0.75" right="0.75" top="1" bottom="1" header="0.5" footer="0.5"/>
  <pageSetup scale="69" fitToHeight="15" orientation="portrait" r:id="rId1"/>
  <headerFooter alignWithMargins="0">
    <oddHeader>&amp;CIDAHO POWER COMPANY
Transmission Cost of Service Rate Development
12 Months Ended 12/31/2017</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28"/>
  <sheetViews>
    <sheetView zoomScaleNormal="100" zoomScaleSheetLayoutView="100" workbookViewId="0">
      <selection activeCell="C36" sqref="C36"/>
    </sheetView>
  </sheetViews>
  <sheetFormatPr defaultRowHeight="12.75"/>
  <cols>
    <col min="1" max="1" width="71.5703125" style="196" customWidth="1"/>
    <col min="2" max="2" width="1.5703125" style="196" customWidth="1"/>
    <col min="3" max="3" width="14.5703125" style="196" bestFit="1" customWidth="1"/>
    <col min="4" max="4" width="1.7109375" style="196" customWidth="1"/>
    <col min="5" max="5" width="13.42578125" style="196" bestFit="1" customWidth="1"/>
    <col min="6" max="6" width="2" style="141" customWidth="1"/>
    <col min="7" max="7" width="1.42578125" style="196" customWidth="1"/>
    <col min="8" max="8" width="13.28515625" style="196" bestFit="1" customWidth="1"/>
    <col min="9" max="9" width="1.85546875" style="196" customWidth="1"/>
    <col min="10" max="10" width="13" style="608" bestFit="1" customWidth="1"/>
    <col min="11" max="11" width="12.140625" style="196" customWidth="1"/>
    <col min="12" max="16384" width="9.140625" style="196"/>
  </cols>
  <sheetData>
    <row r="1" spans="1:16384">
      <c r="A1" s="657"/>
      <c r="B1" s="657"/>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c r="AG1" s="657"/>
      <c r="AH1" s="657"/>
      <c r="AI1" s="657"/>
      <c r="AJ1" s="657"/>
      <c r="AK1" s="657"/>
      <c r="AL1" s="657"/>
      <c r="AM1" s="657"/>
      <c r="AN1" s="657"/>
      <c r="AO1" s="657"/>
      <c r="AP1" s="657"/>
      <c r="AQ1" s="657"/>
      <c r="AR1" s="657"/>
      <c r="AS1" s="657"/>
      <c r="AT1" s="657"/>
      <c r="AU1" s="657"/>
      <c r="AV1" s="657"/>
      <c r="AW1" s="657"/>
      <c r="AX1" s="657"/>
      <c r="AY1" s="657"/>
      <c r="AZ1" s="657"/>
      <c r="BA1" s="657"/>
      <c r="BB1" s="657"/>
      <c r="BC1" s="657"/>
      <c r="BD1" s="657"/>
      <c r="BE1" s="657"/>
      <c r="BF1" s="657"/>
      <c r="BG1" s="657"/>
      <c r="BH1" s="657"/>
      <c r="BI1" s="657"/>
      <c r="BJ1" s="657"/>
      <c r="BK1" s="657"/>
      <c r="BL1" s="657"/>
      <c r="BM1" s="657"/>
      <c r="BN1" s="657"/>
      <c r="BO1" s="657"/>
      <c r="BP1" s="657"/>
      <c r="BQ1" s="657"/>
      <c r="BR1" s="657"/>
      <c r="BS1" s="657"/>
      <c r="BT1" s="657"/>
      <c r="BU1" s="657"/>
      <c r="BV1" s="657"/>
      <c r="BW1" s="657"/>
      <c r="BX1" s="657"/>
      <c r="BY1" s="657"/>
      <c r="BZ1" s="657"/>
      <c r="CA1" s="657"/>
      <c r="CB1" s="657"/>
      <c r="CC1" s="657"/>
      <c r="CD1" s="657"/>
      <c r="CE1" s="657"/>
      <c r="CF1" s="657"/>
      <c r="CG1" s="657"/>
      <c r="CH1" s="657"/>
      <c r="CI1" s="657"/>
      <c r="CJ1" s="657"/>
      <c r="CK1" s="657"/>
      <c r="CL1" s="657"/>
      <c r="CM1" s="657"/>
      <c r="CN1" s="657"/>
      <c r="CO1" s="657"/>
      <c r="CP1" s="657"/>
      <c r="CQ1" s="657"/>
      <c r="CR1" s="657"/>
      <c r="CS1" s="657"/>
      <c r="CT1" s="657"/>
      <c r="CU1" s="657"/>
      <c r="CV1" s="657"/>
      <c r="CW1" s="657"/>
      <c r="CX1" s="657"/>
      <c r="CY1" s="657"/>
      <c r="CZ1" s="657"/>
      <c r="DA1" s="657"/>
      <c r="DB1" s="657"/>
      <c r="DC1" s="657"/>
      <c r="DD1" s="657"/>
      <c r="DE1" s="657"/>
      <c r="DF1" s="657"/>
      <c r="DG1" s="657"/>
      <c r="DH1" s="657"/>
      <c r="DI1" s="657"/>
      <c r="DJ1" s="657"/>
      <c r="DK1" s="657"/>
      <c r="DL1" s="657"/>
      <c r="DM1" s="657"/>
      <c r="DN1" s="657"/>
      <c r="DO1" s="657"/>
      <c r="DP1" s="657"/>
      <c r="DQ1" s="657"/>
      <c r="DR1" s="657"/>
      <c r="DS1" s="657"/>
      <c r="DT1" s="657"/>
      <c r="DU1" s="657"/>
      <c r="DV1" s="657"/>
      <c r="DW1" s="657"/>
      <c r="DX1" s="657"/>
      <c r="DY1" s="657"/>
      <c r="DZ1" s="657"/>
      <c r="EA1" s="657"/>
      <c r="EB1" s="657"/>
      <c r="EC1" s="657"/>
      <c r="ED1" s="657"/>
      <c r="EE1" s="657"/>
      <c r="EF1" s="657"/>
      <c r="EG1" s="657"/>
      <c r="EH1" s="657"/>
      <c r="EI1" s="657"/>
      <c r="EJ1" s="657"/>
      <c r="EK1" s="657"/>
      <c r="EL1" s="657"/>
      <c r="EM1" s="657"/>
      <c r="EN1" s="657"/>
      <c r="EO1" s="657"/>
      <c r="EP1" s="657"/>
      <c r="EQ1" s="657"/>
      <c r="ER1" s="657"/>
      <c r="ES1" s="657"/>
      <c r="ET1" s="657"/>
      <c r="EU1" s="657"/>
      <c r="EV1" s="657"/>
      <c r="EW1" s="657"/>
      <c r="EX1" s="657"/>
      <c r="EY1" s="657"/>
      <c r="EZ1" s="657"/>
      <c r="FA1" s="657"/>
      <c r="FB1" s="657"/>
      <c r="FC1" s="657"/>
      <c r="FD1" s="657"/>
      <c r="FE1" s="657"/>
      <c r="FF1" s="657"/>
      <c r="FG1" s="657"/>
      <c r="FH1" s="657"/>
      <c r="FI1" s="657"/>
      <c r="FJ1" s="657"/>
      <c r="FK1" s="657"/>
      <c r="FL1" s="657"/>
      <c r="FM1" s="657"/>
      <c r="FN1" s="657"/>
      <c r="FO1" s="657"/>
      <c r="FP1" s="657"/>
      <c r="FQ1" s="657"/>
      <c r="FR1" s="657"/>
      <c r="FS1" s="657"/>
      <c r="FT1" s="657"/>
      <c r="FU1" s="657"/>
      <c r="FV1" s="657"/>
      <c r="FW1" s="657"/>
      <c r="FX1" s="657"/>
      <c r="FY1" s="657"/>
      <c r="FZ1" s="657"/>
      <c r="GA1" s="657"/>
      <c r="GB1" s="657"/>
      <c r="GC1" s="657"/>
      <c r="GD1" s="657"/>
      <c r="GE1" s="657"/>
      <c r="GF1" s="657"/>
      <c r="GG1" s="657"/>
      <c r="GH1" s="657"/>
      <c r="GI1" s="657"/>
      <c r="GJ1" s="657"/>
      <c r="GK1" s="657"/>
      <c r="GL1" s="657"/>
      <c r="GM1" s="657"/>
      <c r="GN1" s="657"/>
      <c r="GO1" s="657"/>
      <c r="GP1" s="657"/>
      <c r="GQ1" s="657"/>
      <c r="GR1" s="657"/>
      <c r="GS1" s="657"/>
      <c r="GT1" s="657"/>
      <c r="GU1" s="657"/>
      <c r="GV1" s="657"/>
      <c r="GW1" s="657"/>
      <c r="GX1" s="657"/>
      <c r="GY1" s="657"/>
      <c r="GZ1" s="657"/>
      <c r="HA1" s="657"/>
      <c r="HB1" s="657"/>
      <c r="HC1" s="657"/>
      <c r="HD1" s="657"/>
      <c r="HE1" s="657"/>
      <c r="HF1" s="657"/>
      <c r="HG1" s="657"/>
      <c r="HH1" s="657"/>
      <c r="HI1" s="657"/>
      <c r="HJ1" s="657"/>
      <c r="HK1" s="657"/>
      <c r="HL1" s="657"/>
      <c r="HM1" s="657"/>
      <c r="HN1" s="657"/>
      <c r="HO1" s="657"/>
      <c r="HP1" s="657"/>
      <c r="HQ1" s="657"/>
      <c r="HR1" s="657"/>
      <c r="HS1" s="657"/>
      <c r="HT1" s="657"/>
      <c r="HU1" s="657"/>
      <c r="HV1" s="657"/>
      <c r="HW1" s="657"/>
      <c r="HX1" s="657"/>
      <c r="HY1" s="657"/>
      <c r="HZ1" s="657"/>
      <c r="IA1" s="657"/>
      <c r="IB1" s="657"/>
      <c r="IC1" s="657"/>
      <c r="ID1" s="657"/>
      <c r="IE1" s="657"/>
      <c r="IF1" s="657"/>
      <c r="IG1" s="657"/>
      <c r="IH1" s="657"/>
      <c r="II1" s="657"/>
      <c r="IJ1" s="657"/>
      <c r="IK1" s="657"/>
      <c r="IL1" s="657"/>
      <c r="IM1" s="657"/>
      <c r="IN1" s="657"/>
      <c r="IO1" s="657"/>
      <c r="IP1" s="657"/>
      <c r="IQ1" s="657"/>
      <c r="IR1" s="657"/>
      <c r="IS1" s="657"/>
      <c r="IT1" s="657"/>
      <c r="IU1" s="657"/>
      <c r="IV1" s="657"/>
      <c r="IW1" s="657"/>
      <c r="IX1" s="657"/>
      <c r="IY1" s="657"/>
      <c r="IZ1" s="657"/>
      <c r="JA1" s="657"/>
      <c r="JB1" s="657"/>
      <c r="JC1" s="657"/>
      <c r="JD1" s="657"/>
      <c r="JE1" s="657"/>
      <c r="JF1" s="657"/>
      <c r="JG1" s="657"/>
      <c r="JH1" s="657"/>
      <c r="JI1" s="657"/>
      <c r="JJ1" s="657"/>
      <c r="JK1" s="657"/>
      <c r="JL1" s="657"/>
      <c r="JM1" s="657"/>
      <c r="JN1" s="657"/>
      <c r="JO1" s="657"/>
      <c r="JP1" s="657"/>
      <c r="JQ1" s="657"/>
      <c r="JR1" s="657"/>
      <c r="JS1" s="657"/>
      <c r="JT1" s="657"/>
      <c r="JU1" s="657"/>
      <c r="JV1" s="657"/>
      <c r="JW1" s="657"/>
      <c r="JX1" s="657"/>
      <c r="JY1" s="657"/>
      <c r="JZ1" s="657"/>
      <c r="KA1" s="657"/>
      <c r="KB1" s="657"/>
      <c r="KC1" s="657"/>
      <c r="KD1" s="657"/>
      <c r="KE1" s="657"/>
      <c r="KF1" s="657"/>
      <c r="KG1" s="657"/>
      <c r="KH1" s="657"/>
      <c r="KI1" s="657"/>
      <c r="KJ1" s="657"/>
      <c r="KK1" s="657"/>
      <c r="KL1" s="657"/>
      <c r="KM1" s="657"/>
      <c r="KN1" s="657"/>
      <c r="KO1" s="657"/>
      <c r="KP1" s="657"/>
      <c r="KQ1" s="657"/>
      <c r="KR1" s="657"/>
      <c r="KS1" s="657"/>
      <c r="KT1" s="657"/>
      <c r="KU1" s="657"/>
      <c r="KV1" s="657"/>
      <c r="KW1" s="657"/>
      <c r="KX1" s="657"/>
      <c r="KY1" s="657"/>
      <c r="KZ1" s="657"/>
      <c r="LA1" s="657"/>
      <c r="LB1" s="657"/>
      <c r="LC1" s="657"/>
      <c r="LD1" s="657"/>
      <c r="LE1" s="657"/>
      <c r="LF1" s="657"/>
      <c r="LG1" s="657"/>
      <c r="LH1" s="657"/>
      <c r="LI1" s="657"/>
      <c r="LJ1" s="657"/>
      <c r="LK1" s="657"/>
      <c r="LL1" s="657"/>
      <c r="LM1" s="657"/>
      <c r="LN1" s="657"/>
      <c r="LO1" s="657"/>
      <c r="LP1" s="657"/>
      <c r="LQ1" s="657"/>
      <c r="LR1" s="657"/>
      <c r="LS1" s="657"/>
      <c r="LT1" s="657"/>
      <c r="LU1" s="657"/>
      <c r="LV1" s="657"/>
      <c r="LW1" s="657"/>
      <c r="LX1" s="657"/>
      <c r="LY1" s="657"/>
      <c r="LZ1" s="657"/>
      <c r="MA1" s="657"/>
      <c r="MB1" s="657"/>
      <c r="MC1" s="657"/>
      <c r="MD1" s="657"/>
      <c r="ME1" s="657"/>
      <c r="MF1" s="657"/>
      <c r="MG1" s="657"/>
      <c r="MH1" s="657"/>
      <c r="MI1" s="657"/>
      <c r="MJ1" s="657"/>
      <c r="MK1" s="657"/>
      <c r="ML1" s="657"/>
      <c r="MM1" s="657"/>
      <c r="MN1" s="657"/>
      <c r="MO1" s="657"/>
      <c r="MP1" s="657"/>
      <c r="MQ1" s="657"/>
      <c r="MR1" s="657"/>
      <c r="MS1" s="657"/>
      <c r="MT1" s="657"/>
      <c r="MU1" s="657"/>
      <c r="MV1" s="657"/>
      <c r="MW1" s="657"/>
      <c r="MX1" s="657"/>
      <c r="MY1" s="657"/>
      <c r="MZ1" s="657"/>
      <c r="NA1" s="657"/>
      <c r="NB1" s="657"/>
      <c r="NC1" s="657"/>
      <c r="ND1" s="657"/>
      <c r="NE1" s="657"/>
      <c r="NF1" s="657"/>
      <c r="NG1" s="657"/>
      <c r="NH1" s="657"/>
      <c r="NI1" s="657"/>
      <c r="NJ1" s="657"/>
      <c r="NK1" s="657"/>
      <c r="NL1" s="657"/>
      <c r="NM1" s="657"/>
      <c r="NN1" s="657"/>
      <c r="NO1" s="657"/>
      <c r="NP1" s="657"/>
      <c r="NQ1" s="657"/>
      <c r="NR1" s="657"/>
      <c r="NS1" s="657"/>
      <c r="NT1" s="657"/>
      <c r="NU1" s="657"/>
      <c r="NV1" s="657"/>
      <c r="NW1" s="657"/>
      <c r="NX1" s="657"/>
      <c r="NY1" s="657"/>
      <c r="NZ1" s="657"/>
      <c r="OA1" s="657"/>
      <c r="OB1" s="657"/>
      <c r="OC1" s="657"/>
      <c r="OD1" s="657"/>
      <c r="OE1" s="657"/>
      <c r="OF1" s="657"/>
      <c r="OG1" s="657"/>
      <c r="OH1" s="657"/>
      <c r="OI1" s="657"/>
      <c r="OJ1" s="657"/>
      <c r="OK1" s="657"/>
      <c r="OL1" s="657"/>
      <c r="OM1" s="657"/>
      <c r="ON1" s="657"/>
      <c r="OO1" s="657"/>
      <c r="OP1" s="657"/>
      <c r="OQ1" s="657"/>
      <c r="OR1" s="657"/>
      <c r="OS1" s="657"/>
      <c r="OT1" s="657"/>
      <c r="OU1" s="657"/>
      <c r="OV1" s="657"/>
      <c r="OW1" s="657"/>
      <c r="OX1" s="657"/>
      <c r="OY1" s="657"/>
      <c r="OZ1" s="657"/>
      <c r="PA1" s="657"/>
      <c r="PB1" s="657"/>
      <c r="PC1" s="657"/>
      <c r="PD1" s="657"/>
      <c r="PE1" s="657"/>
      <c r="PF1" s="657"/>
      <c r="PG1" s="657"/>
      <c r="PH1" s="657"/>
      <c r="PI1" s="657"/>
      <c r="PJ1" s="657"/>
      <c r="PK1" s="657"/>
      <c r="PL1" s="657"/>
      <c r="PM1" s="657"/>
      <c r="PN1" s="657"/>
      <c r="PO1" s="657"/>
      <c r="PP1" s="657"/>
      <c r="PQ1" s="657"/>
      <c r="PR1" s="657"/>
      <c r="PS1" s="657"/>
      <c r="PT1" s="657"/>
      <c r="PU1" s="657"/>
      <c r="PV1" s="657"/>
      <c r="PW1" s="657"/>
      <c r="PX1" s="657"/>
      <c r="PY1" s="657"/>
      <c r="PZ1" s="657"/>
      <c r="QA1" s="657"/>
      <c r="QB1" s="657"/>
      <c r="QC1" s="657"/>
      <c r="QD1" s="657"/>
      <c r="QE1" s="657"/>
      <c r="QF1" s="657"/>
      <c r="QG1" s="657"/>
      <c r="QH1" s="657"/>
      <c r="QI1" s="657"/>
      <c r="QJ1" s="657"/>
      <c r="QK1" s="657"/>
      <c r="QL1" s="657"/>
      <c r="QM1" s="657"/>
      <c r="QN1" s="657"/>
      <c r="QO1" s="657"/>
      <c r="QP1" s="657"/>
      <c r="QQ1" s="657"/>
      <c r="QR1" s="657"/>
      <c r="QS1" s="657"/>
      <c r="QT1" s="657"/>
      <c r="QU1" s="657"/>
      <c r="QV1" s="657"/>
      <c r="QW1" s="657"/>
      <c r="QX1" s="657"/>
      <c r="QY1" s="657"/>
      <c r="QZ1" s="657"/>
      <c r="RA1" s="657"/>
      <c r="RB1" s="657"/>
      <c r="RC1" s="657"/>
      <c r="RD1" s="657"/>
      <c r="RE1" s="657"/>
      <c r="RF1" s="657"/>
      <c r="RG1" s="657"/>
      <c r="RH1" s="657"/>
      <c r="RI1" s="657"/>
      <c r="RJ1" s="657"/>
      <c r="RK1" s="657"/>
      <c r="RL1" s="657"/>
      <c r="RM1" s="657"/>
      <c r="RN1" s="657"/>
      <c r="RO1" s="657"/>
      <c r="RP1" s="657"/>
      <c r="RQ1" s="657"/>
      <c r="RR1" s="657"/>
      <c r="RS1" s="657"/>
      <c r="RT1" s="657"/>
      <c r="RU1" s="657"/>
      <c r="RV1" s="657"/>
      <c r="RW1" s="657"/>
      <c r="RX1" s="657"/>
      <c r="RY1" s="657"/>
      <c r="RZ1" s="657"/>
      <c r="SA1" s="657"/>
      <c r="SB1" s="657"/>
      <c r="SC1" s="657"/>
      <c r="SD1" s="657"/>
      <c r="SE1" s="657"/>
      <c r="SF1" s="657"/>
      <c r="SG1" s="657"/>
      <c r="SH1" s="657"/>
      <c r="SI1" s="657"/>
      <c r="SJ1" s="657"/>
      <c r="SK1" s="657"/>
      <c r="SL1" s="657"/>
      <c r="SM1" s="657"/>
      <c r="SN1" s="657"/>
      <c r="SO1" s="657"/>
      <c r="SP1" s="657"/>
      <c r="SQ1" s="657"/>
      <c r="SR1" s="657"/>
      <c r="SS1" s="657"/>
      <c r="ST1" s="657"/>
      <c r="SU1" s="657"/>
      <c r="SV1" s="657"/>
      <c r="SW1" s="657"/>
      <c r="SX1" s="657"/>
      <c r="SY1" s="657"/>
      <c r="SZ1" s="657"/>
      <c r="TA1" s="657"/>
      <c r="TB1" s="657"/>
      <c r="TC1" s="657"/>
      <c r="TD1" s="657"/>
      <c r="TE1" s="657"/>
      <c r="TF1" s="657"/>
      <c r="TG1" s="657"/>
      <c r="TH1" s="657"/>
      <c r="TI1" s="657"/>
      <c r="TJ1" s="657"/>
      <c r="TK1" s="657"/>
      <c r="TL1" s="657"/>
      <c r="TM1" s="657"/>
      <c r="TN1" s="657"/>
      <c r="TO1" s="657"/>
      <c r="TP1" s="657"/>
      <c r="TQ1" s="657"/>
      <c r="TR1" s="657"/>
      <c r="TS1" s="657"/>
      <c r="TT1" s="657"/>
      <c r="TU1" s="657"/>
      <c r="TV1" s="657"/>
      <c r="TW1" s="657"/>
      <c r="TX1" s="657"/>
      <c r="TY1" s="657"/>
      <c r="TZ1" s="657"/>
      <c r="UA1" s="657"/>
      <c r="UB1" s="657"/>
      <c r="UC1" s="657"/>
      <c r="UD1" s="657"/>
      <c r="UE1" s="657"/>
      <c r="UF1" s="657"/>
      <c r="UG1" s="657"/>
      <c r="UH1" s="657"/>
      <c r="UI1" s="657"/>
      <c r="UJ1" s="657"/>
      <c r="UK1" s="657"/>
      <c r="UL1" s="657"/>
      <c r="UM1" s="657"/>
      <c r="UN1" s="657"/>
      <c r="UO1" s="657"/>
      <c r="UP1" s="657"/>
      <c r="UQ1" s="657"/>
      <c r="UR1" s="657"/>
      <c r="US1" s="657"/>
      <c r="UT1" s="657"/>
      <c r="UU1" s="657"/>
      <c r="UV1" s="657"/>
      <c r="UW1" s="657"/>
      <c r="UX1" s="657"/>
      <c r="UY1" s="657"/>
      <c r="UZ1" s="657"/>
      <c r="VA1" s="657"/>
      <c r="VB1" s="657"/>
      <c r="VC1" s="657"/>
      <c r="VD1" s="657"/>
      <c r="VE1" s="657"/>
      <c r="VF1" s="657"/>
      <c r="VG1" s="657"/>
      <c r="VH1" s="657"/>
      <c r="VI1" s="657"/>
      <c r="VJ1" s="657"/>
      <c r="VK1" s="657"/>
      <c r="VL1" s="657"/>
      <c r="VM1" s="657"/>
      <c r="VN1" s="657"/>
      <c r="VO1" s="657"/>
      <c r="VP1" s="657"/>
      <c r="VQ1" s="657"/>
      <c r="VR1" s="657"/>
      <c r="VS1" s="657"/>
      <c r="VT1" s="657"/>
      <c r="VU1" s="657"/>
      <c r="VV1" s="657"/>
      <c r="VW1" s="657"/>
      <c r="VX1" s="657"/>
      <c r="VY1" s="657"/>
      <c r="VZ1" s="657"/>
      <c r="WA1" s="657"/>
      <c r="WB1" s="657"/>
      <c r="WC1" s="657"/>
      <c r="WD1" s="657"/>
      <c r="WE1" s="657"/>
      <c r="WF1" s="657"/>
      <c r="WG1" s="657"/>
      <c r="WH1" s="657"/>
      <c r="WI1" s="657"/>
      <c r="WJ1" s="657"/>
      <c r="WK1" s="657"/>
      <c r="WL1" s="657"/>
      <c r="WM1" s="657"/>
      <c r="WN1" s="657"/>
      <c r="WO1" s="657"/>
      <c r="WP1" s="657"/>
      <c r="WQ1" s="657"/>
      <c r="WR1" s="657"/>
      <c r="WS1" s="657"/>
      <c r="WT1" s="657"/>
      <c r="WU1" s="657"/>
      <c r="WV1" s="657"/>
      <c r="WW1" s="657"/>
      <c r="WX1" s="657"/>
      <c r="WY1" s="657"/>
      <c r="WZ1" s="657"/>
      <c r="XA1" s="657"/>
      <c r="XB1" s="657"/>
      <c r="XC1" s="657"/>
      <c r="XD1" s="657"/>
      <c r="XE1" s="657"/>
      <c r="XF1" s="657"/>
      <c r="XG1" s="657"/>
      <c r="XH1" s="657"/>
      <c r="XI1" s="657"/>
      <c r="XJ1" s="657"/>
      <c r="XK1" s="657"/>
      <c r="XL1" s="657"/>
      <c r="XM1" s="657"/>
      <c r="XN1" s="657"/>
      <c r="XO1" s="657"/>
      <c r="XP1" s="657"/>
      <c r="XQ1" s="657"/>
      <c r="XR1" s="657"/>
      <c r="XS1" s="657"/>
      <c r="XT1" s="657"/>
      <c r="XU1" s="657"/>
      <c r="XV1" s="657"/>
      <c r="XW1" s="657"/>
      <c r="XX1" s="657"/>
      <c r="XY1" s="657"/>
      <c r="XZ1" s="657"/>
      <c r="YA1" s="657"/>
      <c r="YB1" s="657"/>
      <c r="YC1" s="657"/>
      <c r="YD1" s="657"/>
      <c r="YE1" s="657"/>
      <c r="YF1" s="657"/>
      <c r="YG1" s="657"/>
      <c r="YH1" s="657"/>
      <c r="YI1" s="657"/>
      <c r="YJ1" s="657"/>
      <c r="YK1" s="657"/>
      <c r="YL1" s="657"/>
      <c r="YM1" s="657"/>
      <c r="YN1" s="657"/>
      <c r="YO1" s="657"/>
      <c r="YP1" s="657"/>
      <c r="YQ1" s="657"/>
      <c r="YR1" s="657"/>
      <c r="YS1" s="657"/>
      <c r="YT1" s="657"/>
      <c r="YU1" s="657"/>
      <c r="YV1" s="657"/>
      <c r="YW1" s="657"/>
      <c r="YX1" s="657"/>
      <c r="YY1" s="657"/>
      <c r="YZ1" s="657"/>
      <c r="ZA1" s="657"/>
      <c r="ZB1" s="657"/>
      <c r="ZC1" s="657"/>
      <c r="ZD1" s="657"/>
      <c r="ZE1" s="657"/>
      <c r="ZF1" s="657"/>
      <c r="ZG1" s="657"/>
      <c r="ZH1" s="657"/>
      <c r="ZI1" s="657"/>
      <c r="ZJ1" s="657"/>
      <c r="ZK1" s="657"/>
      <c r="ZL1" s="657"/>
      <c r="ZM1" s="657"/>
      <c r="ZN1" s="657"/>
      <c r="ZO1" s="657"/>
      <c r="ZP1" s="657"/>
      <c r="ZQ1" s="657"/>
      <c r="ZR1" s="657"/>
      <c r="ZS1" s="657"/>
      <c r="ZT1" s="657"/>
      <c r="ZU1" s="657"/>
      <c r="ZV1" s="657"/>
      <c r="ZW1" s="657"/>
      <c r="ZX1" s="657"/>
      <c r="ZY1" s="657"/>
      <c r="ZZ1" s="657"/>
      <c r="AAA1" s="657"/>
      <c r="AAB1" s="657"/>
      <c r="AAC1" s="657"/>
      <c r="AAD1" s="657"/>
      <c r="AAE1" s="657"/>
      <c r="AAF1" s="657"/>
      <c r="AAG1" s="657"/>
      <c r="AAH1" s="657"/>
      <c r="AAI1" s="657"/>
      <c r="AAJ1" s="657"/>
      <c r="AAK1" s="657"/>
      <c r="AAL1" s="657"/>
      <c r="AAM1" s="657"/>
      <c r="AAN1" s="657"/>
      <c r="AAO1" s="657"/>
      <c r="AAP1" s="657"/>
      <c r="AAQ1" s="657"/>
      <c r="AAR1" s="657"/>
      <c r="AAS1" s="657"/>
      <c r="AAT1" s="657"/>
      <c r="AAU1" s="657"/>
      <c r="AAV1" s="657"/>
      <c r="AAW1" s="657"/>
      <c r="AAX1" s="657"/>
      <c r="AAY1" s="657"/>
      <c r="AAZ1" s="657"/>
      <c r="ABA1" s="657"/>
      <c r="ABB1" s="657"/>
      <c r="ABC1" s="657"/>
      <c r="ABD1" s="657"/>
      <c r="ABE1" s="657"/>
      <c r="ABF1" s="657"/>
      <c r="ABG1" s="657"/>
      <c r="ABH1" s="657"/>
      <c r="ABI1" s="657"/>
      <c r="ABJ1" s="657"/>
      <c r="ABK1" s="657"/>
      <c r="ABL1" s="657"/>
      <c r="ABM1" s="657"/>
      <c r="ABN1" s="657"/>
      <c r="ABO1" s="657"/>
      <c r="ABP1" s="657"/>
      <c r="ABQ1" s="657"/>
      <c r="ABR1" s="657"/>
      <c r="ABS1" s="657"/>
      <c r="ABT1" s="657"/>
      <c r="ABU1" s="657"/>
      <c r="ABV1" s="657"/>
      <c r="ABW1" s="657"/>
      <c r="ABX1" s="657"/>
      <c r="ABY1" s="657"/>
      <c r="ABZ1" s="657"/>
      <c r="ACA1" s="657"/>
      <c r="ACB1" s="657"/>
      <c r="ACC1" s="657"/>
      <c r="ACD1" s="657"/>
      <c r="ACE1" s="657"/>
      <c r="ACF1" s="657"/>
      <c r="ACG1" s="657"/>
      <c r="ACH1" s="657"/>
      <c r="ACI1" s="657"/>
      <c r="ACJ1" s="657"/>
      <c r="ACK1" s="657"/>
      <c r="ACL1" s="657"/>
      <c r="ACM1" s="657"/>
      <c r="ACN1" s="657"/>
      <c r="ACO1" s="657"/>
      <c r="ACP1" s="657"/>
      <c r="ACQ1" s="657"/>
      <c r="ACR1" s="657"/>
      <c r="ACS1" s="657"/>
      <c r="ACT1" s="657"/>
      <c r="ACU1" s="657"/>
      <c r="ACV1" s="657"/>
      <c r="ACW1" s="657"/>
      <c r="ACX1" s="657"/>
      <c r="ACY1" s="657"/>
      <c r="ACZ1" s="657"/>
      <c r="ADA1" s="657"/>
      <c r="ADB1" s="657"/>
      <c r="ADC1" s="657"/>
      <c r="ADD1" s="657"/>
      <c r="ADE1" s="657"/>
      <c r="ADF1" s="657"/>
      <c r="ADG1" s="657"/>
      <c r="ADH1" s="657"/>
      <c r="ADI1" s="657"/>
      <c r="ADJ1" s="657"/>
      <c r="ADK1" s="657"/>
      <c r="ADL1" s="657"/>
      <c r="ADM1" s="657"/>
      <c r="ADN1" s="657"/>
      <c r="ADO1" s="657"/>
      <c r="ADP1" s="657"/>
      <c r="ADQ1" s="657"/>
      <c r="ADR1" s="657"/>
      <c r="ADS1" s="657"/>
      <c r="ADT1" s="657"/>
      <c r="ADU1" s="657"/>
      <c r="ADV1" s="657"/>
      <c r="ADW1" s="657"/>
      <c r="ADX1" s="657"/>
      <c r="ADY1" s="657"/>
      <c r="ADZ1" s="657"/>
      <c r="AEA1" s="657"/>
      <c r="AEB1" s="657"/>
      <c r="AEC1" s="657"/>
      <c r="AED1" s="657"/>
      <c r="AEE1" s="657"/>
      <c r="AEF1" s="657"/>
      <c r="AEG1" s="657"/>
      <c r="AEH1" s="657"/>
      <c r="AEI1" s="657"/>
      <c r="AEJ1" s="657"/>
      <c r="AEK1" s="657"/>
      <c r="AEL1" s="657"/>
      <c r="AEM1" s="657"/>
      <c r="AEN1" s="657"/>
      <c r="AEO1" s="657"/>
      <c r="AEP1" s="657"/>
      <c r="AEQ1" s="657"/>
      <c r="AER1" s="657"/>
      <c r="AES1" s="657"/>
      <c r="AET1" s="657"/>
      <c r="AEU1" s="657"/>
      <c r="AEV1" s="657"/>
      <c r="AEW1" s="657"/>
      <c r="AEX1" s="657"/>
      <c r="AEY1" s="657"/>
      <c r="AEZ1" s="657"/>
      <c r="AFA1" s="657"/>
      <c r="AFB1" s="657"/>
      <c r="AFC1" s="657"/>
      <c r="AFD1" s="657"/>
      <c r="AFE1" s="657"/>
      <c r="AFF1" s="657"/>
      <c r="AFG1" s="657"/>
      <c r="AFH1" s="657"/>
      <c r="AFI1" s="657"/>
      <c r="AFJ1" s="657"/>
      <c r="AFK1" s="657"/>
      <c r="AFL1" s="657"/>
      <c r="AFM1" s="657"/>
      <c r="AFN1" s="657"/>
      <c r="AFO1" s="657"/>
      <c r="AFP1" s="657"/>
      <c r="AFQ1" s="657"/>
      <c r="AFR1" s="657"/>
      <c r="AFS1" s="657"/>
      <c r="AFT1" s="657"/>
      <c r="AFU1" s="657"/>
      <c r="AFV1" s="657"/>
      <c r="AFW1" s="657"/>
      <c r="AFX1" s="657"/>
      <c r="AFY1" s="657"/>
      <c r="AFZ1" s="657"/>
      <c r="AGA1" s="657"/>
      <c r="AGB1" s="657"/>
      <c r="AGC1" s="657"/>
      <c r="AGD1" s="657"/>
      <c r="AGE1" s="657"/>
      <c r="AGF1" s="657"/>
      <c r="AGG1" s="657"/>
      <c r="AGH1" s="657"/>
      <c r="AGI1" s="657"/>
      <c r="AGJ1" s="657"/>
      <c r="AGK1" s="657"/>
      <c r="AGL1" s="657"/>
      <c r="AGM1" s="657"/>
      <c r="AGN1" s="657"/>
      <c r="AGO1" s="657"/>
      <c r="AGP1" s="657"/>
      <c r="AGQ1" s="657"/>
      <c r="AGR1" s="657"/>
      <c r="AGS1" s="657"/>
      <c r="AGT1" s="657"/>
      <c r="AGU1" s="657"/>
      <c r="AGV1" s="657"/>
      <c r="AGW1" s="657"/>
      <c r="AGX1" s="657"/>
      <c r="AGY1" s="657"/>
      <c r="AGZ1" s="657"/>
      <c r="AHA1" s="657"/>
      <c r="AHB1" s="657"/>
      <c r="AHC1" s="657"/>
      <c r="AHD1" s="657"/>
      <c r="AHE1" s="657"/>
      <c r="AHF1" s="657"/>
      <c r="AHG1" s="657"/>
      <c r="AHH1" s="657"/>
      <c r="AHI1" s="657"/>
      <c r="AHJ1" s="657"/>
      <c r="AHK1" s="657"/>
      <c r="AHL1" s="657"/>
      <c r="AHM1" s="657"/>
      <c r="AHN1" s="657"/>
      <c r="AHO1" s="657"/>
      <c r="AHP1" s="657"/>
      <c r="AHQ1" s="657"/>
      <c r="AHR1" s="657"/>
      <c r="AHS1" s="657"/>
      <c r="AHT1" s="657"/>
      <c r="AHU1" s="657"/>
      <c r="AHV1" s="657"/>
      <c r="AHW1" s="657"/>
      <c r="AHX1" s="657"/>
      <c r="AHY1" s="657"/>
      <c r="AHZ1" s="657"/>
      <c r="AIA1" s="657"/>
      <c r="AIB1" s="657"/>
      <c r="AIC1" s="657"/>
      <c r="AID1" s="657"/>
      <c r="AIE1" s="657"/>
      <c r="AIF1" s="657"/>
      <c r="AIG1" s="657"/>
      <c r="AIH1" s="657"/>
      <c r="AII1" s="657"/>
      <c r="AIJ1" s="657"/>
      <c r="AIK1" s="657"/>
      <c r="AIL1" s="657"/>
      <c r="AIM1" s="657"/>
      <c r="AIN1" s="657"/>
      <c r="AIO1" s="657"/>
      <c r="AIP1" s="657"/>
      <c r="AIQ1" s="657"/>
      <c r="AIR1" s="657"/>
      <c r="AIS1" s="657"/>
      <c r="AIT1" s="657"/>
      <c r="AIU1" s="657"/>
      <c r="AIV1" s="657"/>
      <c r="AIW1" s="657"/>
      <c r="AIX1" s="657"/>
      <c r="AIY1" s="657"/>
      <c r="AIZ1" s="657"/>
      <c r="AJA1" s="657"/>
      <c r="AJB1" s="657"/>
      <c r="AJC1" s="657"/>
      <c r="AJD1" s="657"/>
      <c r="AJE1" s="657"/>
      <c r="AJF1" s="657"/>
      <c r="AJG1" s="657"/>
      <c r="AJH1" s="657"/>
      <c r="AJI1" s="657"/>
      <c r="AJJ1" s="657"/>
      <c r="AJK1" s="657"/>
      <c r="AJL1" s="657"/>
      <c r="AJM1" s="657"/>
      <c r="AJN1" s="657"/>
      <c r="AJO1" s="657"/>
      <c r="AJP1" s="657"/>
      <c r="AJQ1" s="657"/>
      <c r="AJR1" s="657"/>
      <c r="AJS1" s="657"/>
      <c r="AJT1" s="657"/>
      <c r="AJU1" s="657"/>
      <c r="AJV1" s="657"/>
      <c r="AJW1" s="657"/>
      <c r="AJX1" s="657"/>
      <c r="AJY1" s="657"/>
      <c r="AJZ1" s="657"/>
      <c r="AKA1" s="657"/>
      <c r="AKB1" s="657"/>
      <c r="AKC1" s="657"/>
      <c r="AKD1" s="657"/>
      <c r="AKE1" s="657"/>
      <c r="AKF1" s="657"/>
      <c r="AKG1" s="657"/>
      <c r="AKH1" s="657"/>
      <c r="AKI1" s="657"/>
      <c r="AKJ1" s="657"/>
      <c r="AKK1" s="657"/>
      <c r="AKL1" s="657"/>
      <c r="AKM1" s="657"/>
      <c r="AKN1" s="657"/>
      <c r="AKO1" s="657"/>
      <c r="AKP1" s="657"/>
      <c r="AKQ1" s="657"/>
      <c r="AKR1" s="657"/>
      <c r="AKS1" s="657"/>
      <c r="AKT1" s="657"/>
      <c r="AKU1" s="657"/>
      <c r="AKV1" s="657"/>
      <c r="AKW1" s="657"/>
      <c r="AKX1" s="657"/>
      <c r="AKY1" s="657"/>
      <c r="AKZ1" s="657"/>
      <c r="ALA1" s="657"/>
      <c r="ALB1" s="657"/>
      <c r="ALC1" s="657"/>
      <c r="ALD1" s="657"/>
      <c r="ALE1" s="657"/>
      <c r="ALF1" s="657"/>
      <c r="ALG1" s="657"/>
      <c r="ALH1" s="657"/>
      <c r="ALI1" s="657"/>
      <c r="ALJ1" s="657"/>
      <c r="ALK1" s="657"/>
      <c r="ALL1" s="657"/>
      <c r="ALM1" s="657"/>
      <c r="ALN1" s="657"/>
      <c r="ALO1" s="657"/>
      <c r="ALP1" s="657"/>
      <c r="ALQ1" s="657"/>
      <c r="ALR1" s="657"/>
      <c r="ALS1" s="657"/>
      <c r="ALT1" s="657"/>
      <c r="ALU1" s="657"/>
      <c r="ALV1" s="657"/>
      <c r="ALW1" s="657"/>
      <c r="ALX1" s="657"/>
      <c r="ALY1" s="657"/>
      <c r="ALZ1" s="657"/>
      <c r="AMA1" s="657"/>
      <c r="AMB1" s="657"/>
      <c r="AMC1" s="657"/>
      <c r="AMD1" s="657"/>
      <c r="AME1" s="657"/>
      <c r="AMF1" s="657"/>
      <c r="AMG1" s="657"/>
      <c r="AMH1" s="657"/>
      <c r="AMI1" s="657"/>
      <c r="AMJ1" s="657"/>
      <c r="AMK1" s="657"/>
      <c r="AML1" s="657"/>
      <c r="AMM1" s="657"/>
      <c r="AMN1" s="657"/>
      <c r="AMO1" s="657"/>
      <c r="AMP1" s="657"/>
      <c r="AMQ1" s="657"/>
      <c r="AMR1" s="657"/>
      <c r="AMS1" s="657"/>
      <c r="AMT1" s="657"/>
      <c r="AMU1" s="657"/>
      <c r="AMV1" s="657"/>
      <c r="AMW1" s="657"/>
      <c r="AMX1" s="657"/>
      <c r="AMY1" s="657"/>
      <c r="AMZ1" s="657"/>
      <c r="ANA1" s="657"/>
      <c r="ANB1" s="657"/>
      <c r="ANC1" s="657"/>
      <c r="AND1" s="657"/>
      <c r="ANE1" s="657"/>
      <c r="ANF1" s="657"/>
      <c r="ANG1" s="657"/>
      <c r="ANH1" s="657"/>
      <c r="ANI1" s="657"/>
      <c r="ANJ1" s="657"/>
      <c r="ANK1" s="657"/>
      <c r="ANL1" s="657"/>
      <c r="ANM1" s="657"/>
      <c r="ANN1" s="657"/>
      <c r="ANO1" s="657"/>
      <c r="ANP1" s="657"/>
      <c r="ANQ1" s="657"/>
      <c r="ANR1" s="657"/>
      <c r="ANS1" s="657"/>
      <c r="ANT1" s="657"/>
      <c r="ANU1" s="657"/>
      <c r="ANV1" s="657"/>
      <c r="ANW1" s="657"/>
      <c r="ANX1" s="657"/>
      <c r="ANY1" s="657"/>
      <c r="ANZ1" s="657"/>
      <c r="AOA1" s="657"/>
      <c r="AOB1" s="657"/>
      <c r="AOC1" s="657"/>
      <c r="AOD1" s="657"/>
      <c r="AOE1" s="657"/>
      <c r="AOF1" s="657"/>
      <c r="AOG1" s="657"/>
      <c r="AOH1" s="657"/>
      <c r="AOI1" s="657"/>
      <c r="AOJ1" s="657"/>
      <c r="AOK1" s="657"/>
      <c r="AOL1" s="657"/>
      <c r="AOM1" s="657"/>
      <c r="AON1" s="657"/>
      <c r="AOO1" s="657"/>
      <c r="AOP1" s="657"/>
      <c r="AOQ1" s="657"/>
      <c r="AOR1" s="657"/>
      <c r="AOS1" s="657"/>
      <c r="AOT1" s="657"/>
      <c r="AOU1" s="657"/>
      <c r="AOV1" s="657"/>
      <c r="AOW1" s="657"/>
      <c r="AOX1" s="657"/>
      <c r="AOY1" s="657"/>
      <c r="AOZ1" s="657"/>
      <c r="APA1" s="657"/>
      <c r="APB1" s="657"/>
      <c r="APC1" s="657"/>
      <c r="APD1" s="657"/>
      <c r="APE1" s="657"/>
      <c r="APF1" s="657"/>
      <c r="APG1" s="657"/>
      <c r="APH1" s="657"/>
      <c r="API1" s="657"/>
      <c r="APJ1" s="657"/>
      <c r="APK1" s="657"/>
      <c r="APL1" s="657"/>
      <c r="APM1" s="657"/>
      <c r="APN1" s="657"/>
      <c r="APO1" s="657"/>
      <c r="APP1" s="657"/>
      <c r="APQ1" s="657"/>
      <c r="APR1" s="657"/>
      <c r="APS1" s="657"/>
      <c r="APT1" s="657"/>
      <c r="APU1" s="657"/>
      <c r="APV1" s="657"/>
      <c r="APW1" s="657"/>
      <c r="APX1" s="657"/>
      <c r="APY1" s="657"/>
      <c r="APZ1" s="657"/>
      <c r="AQA1" s="657"/>
      <c r="AQB1" s="657"/>
      <c r="AQC1" s="657"/>
      <c r="AQD1" s="657"/>
      <c r="AQE1" s="657"/>
      <c r="AQF1" s="657"/>
      <c r="AQG1" s="657"/>
      <c r="AQH1" s="657"/>
      <c r="AQI1" s="657"/>
      <c r="AQJ1" s="657"/>
      <c r="AQK1" s="657"/>
      <c r="AQL1" s="657"/>
      <c r="AQM1" s="657"/>
      <c r="AQN1" s="657"/>
      <c r="AQO1" s="657"/>
      <c r="AQP1" s="657"/>
      <c r="AQQ1" s="657"/>
      <c r="AQR1" s="657"/>
      <c r="AQS1" s="657"/>
      <c r="AQT1" s="657"/>
      <c r="AQU1" s="657"/>
      <c r="AQV1" s="657"/>
      <c r="AQW1" s="657"/>
      <c r="AQX1" s="657"/>
      <c r="AQY1" s="657"/>
      <c r="AQZ1" s="657"/>
      <c r="ARA1" s="657"/>
      <c r="ARB1" s="657"/>
      <c r="ARC1" s="657"/>
      <c r="ARD1" s="657"/>
      <c r="ARE1" s="657"/>
      <c r="ARF1" s="657"/>
      <c r="ARG1" s="657"/>
      <c r="ARH1" s="657"/>
      <c r="ARI1" s="657"/>
      <c r="ARJ1" s="657"/>
      <c r="ARK1" s="657"/>
      <c r="ARL1" s="657"/>
      <c r="ARM1" s="657"/>
      <c r="ARN1" s="657"/>
      <c r="ARO1" s="657"/>
      <c r="ARP1" s="657"/>
      <c r="ARQ1" s="657"/>
      <c r="ARR1" s="657"/>
      <c r="ARS1" s="657"/>
      <c r="ART1" s="657"/>
      <c r="ARU1" s="657"/>
      <c r="ARV1" s="657"/>
      <c r="ARW1" s="657"/>
      <c r="ARX1" s="657"/>
      <c r="ARY1" s="657"/>
      <c r="ARZ1" s="657"/>
      <c r="ASA1" s="657"/>
      <c r="ASB1" s="657"/>
      <c r="ASC1" s="657"/>
      <c r="ASD1" s="657"/>
      <c r="ASE1" s="657"/>
      <c r="ASF1" s="657"/>
      <c r="ASG1" s="657"/>
      <c r="ASH1" s="657"/>
      <c r="ASI1" s="657"/>
      <c r="ASJ1" s="657"/>
      <c r="ASK1" s="657"/>
      <c r="ASL1" s="657"/>
      <c r="ASM1" s="657"/>
      <c r="ASN1" s="657"/>
      <c r="ASO1" s="657"/>
      <c r="ASP1" s="657"/>
      <c r="ASQ1" s="657"/>
      <c r="ASR1" s="657"/>
      <c r="ASS1" s="657"/>
      <c r="AST1" s="657"/>
      <c r="ASU1" s="657"/>
      <c r="ASV1" s="657"/>
      <c r="ASW1" s="657"/>
      <c r="ASX1" s="657"/>
      <c r="ASY1" s="657"/>
      <c r="ASZ1" s="657"/>
      <c r="ATA1" s="657"/>
      <c r="ATB1" s="657"/>
      <c r="ATC1" s="657"/>
      <c r="ATD1" s="657"/>
      <c r="ATE1" s="657"/>
      <c r="ATF1" s="657"/>
      <c r="ATG1" s="657"/>
      <c r="ATH1" s="657"/>
      <c r="ATI1" s="657"/>
      <c r="ATJ1" s="657"/>
      <c r="ATK1" s="657"/>
      <c r="ATL1" s="657"/>
      <c r="ATM1" s="657"/>
      <c r="ATN1" s="657"/>
      <c r="ATO1" s="657"/>
      <c r="ATP1" s="657"/>
      <c r="ATQ1" s="657"/>
      <c r="ATR1" s="657"/>
      <c r="ATS1" s="657"/>
      <c r="ATT1" s="657"/>
      <c r="ATU1" s="657"/>
      <c r="ATV1" s="657"/>
      <c r="ATW1" s="657"/>
      <c r="ATX1" s="657"/>
      <c r="ATY1" s="657"/>
      <c r="ATZ1" s="657"/>
      <c r="AUA1" s="657"/>
      <c r="AUB1" s="657"/>
      <c r="AUC1" s="657"/>
      <c r="AUD1" s="657"/>
      <c r="AUE1" s="657"/>
      <c r="AUF1" s="657"/>
      <c r="AUG1" s="657"/>
      <c r="AUH1" s="657"/>
      <c r="AUI1" s="657"/>
      <c r="AUJ1" s="657"/>
      <c r="AUK1" s="657"/>
      <c r="AUL1" s="657"/>
      <c r="AUM1" s="657"/>
      <c r="AUN1" s="657"/>
      <c r="AUO1" s="657"/>
      <c r="AUP1" s="657"/>
      <c r="AUQ1" s="657"/>
      <c r="AUR1" s="657"/>
      <c r="AUS1" s="657"/>
      <c r="AUT1" s="657"/>
      <c r="AUU1" s="657"/>
      <c r="AUV1" s="657"/>
      <c r="AUW1" s="657"/>
      <c r="AUX1" s="657"/>
      <c r="AUY1" s="657"/>
      <c r="AUZ1" s="657"/>
      <c r="AVA1" s="657"/>
      <c r="AVB1" s="657"/>
      <c r="AVC1" s="657"/>
      <c r="AVD1" s="657"/>
      <c r="AVE1" s="657"/>
      <c r="AVF1" s="657"/>
      <c r="AVG1" s="657"/>
      <c r="AVH1" s="657"/>
      <c r="AVI1" s="657"/>
      <c r="AVJ1" s="657"/>
      <c r="AVK1" s="657"/>
      <c r="AVL1" s="657"/>
      <c r="AVM1" s="657"/>
      <c r="AVN1" s="657"/>
      <c r="AVO1" s="657"/>
      <c r="AVP1" s="657"/>
      <c r="AVQ1" s="657"/>
      <c r="AVR1" s="657"/>
      <c r="AVS1" s="657"/>
      <c r="AVT1" s="657"/>
      <c r="AVU1" s="657"/>
      <c r="AVV1" s="657"/>
      <c r="AVW1" s="657"/>
      <c r="AVX1" s="657"/>
      <c r="AVY1" s="657"/>
      <c r="AVZ1" s="657"/>
      <c r="AWA1" s="657"/>
      <c r="AWB1" s="657"/>
      <c r="AWC1" s="657"/>
      <c r="AWD1" s="657"/>
      <c r="AWE1" s="657"/>
      <c r="AWF1" s="657"/>
      <c r="AWG1" s="657"/>
      <c r="AWH1" s="657"/>
      <c r="AWI1" s="657"/>
      <c r="AWJ1" s="657"/>
      <c r="AWK1" s="657"/>
      <c r="AWL1" s="657"/>
      <c r="AWM1" s="657"/>
      <c r="AWN1" s="657"/>
      <c r="AWO1" s="657"/>
      <c r="AWP1" s="657"/>
      <c r="AWQ1" s="657"/>
      <c r="AWR1" s="657"/>
      <c r="AWS1" s="657"/>
      <c r="AWT1" s="657"/>
      <c r="AWU1" s="657"/>
      <c r="AWV1" s="657"/>
      <c r="AWW1" s="657"/>
      <c r="AWX1" s="657"/>
      <c r="AWY1" s="657"/>
      <c r="AWZ1" s="657"/>
      <c r="AXA1" s="657"/>
      <c r="AXB1" s="657"/>
      <c r="AXC1" s="657"/>
      <c r="AXD1" s="657"/>
      <c r="AXE1" s="657"/>
      <c r="AXF1" s="657"/>
      <c r="AXG1" s="657"/>
      <c r="AXH1" s="657"/>
      <c r="AXI1" s="657"/>
      <c r="AXJ1" s="657"/>
      <c r="AXK1" s="657"/>
      <c r="AXL1" s="657"/>
      <c r="AXM1" s="657"/>
      <c r="AXN1" s="657"/>
      <c r="AXO1" s="657"/>
      <c r="AXP1" s="657"/>
      <c r="AXQ1" s="657"/>
      <c r="AXR1" s="657"/>
      <c r="AXS1" s="657"/>
      <c r="AXT1" s="657"/>
      <c r="AXU1" s="657"/>
      <c r="AXV1" s="657"/>
      <c r="AXW1" s="657"/>
      <c r="AXX1" s="657"/>
      <c r="AXY1" s="657"/>
      <c r="AXZ1" s="657"/>
      <c r="AYA1" s="657"/>
      <c r="AYB1" s="657"/>
      <c r="AYC1" s="657"/>
      <c r="AYD1" s="657"/>
      <c r="AYE1" s="657"/>
      <c r="AYF1" s="657"/>
      <c r="AYG1" s="657"/>
      <c r="AYH1" s="657"/>
      <c r="AYI1" s="657"/>
      <c r="AYJ1" s="657"/>
      <c r="AYK1" s="657"/>
      <c r="AYL1" s="657"/>
      <c r="AYM1" s="657"/>
      <c r="AYN1" s="657"/>
      <c r="AYO1" s="657"/>
      <c r="AYP1" s="657"/>
      <c r="AYQ1" s="657"/>
      <c r="AYR1" s="657"/>
      <c r="AYS1" s="657"/>
      <c r="AYT1" s="657"/>
      <c r="AYU1" s="657"/>
      <c r="AYV1" s="657"/>
      <c r="AYW1" s="657"/>
      <c r="AYX1" s="657"/>
      <c r="AYY1" s="657"/>
      <c r="AYZ1" s="657"/>
      <c r="AZA1" s="657"/>
      <c r="AZB1" s="657"/>
      <c r="AZC1" s="657"/>
      <c r="AZD1" s="657"/>
      <c r="AZE1" s="657"/>
      <c r="AZF1" s="657"/>
      <c r="AZG1" s="657"/>
      <c r="AZH1" s="657"/>
      <c r="AZI1" s="657"/>
      <c r="AZJ1" s="657"/>
      <c r="AZK1" s="657"/>
      <c r="AZL1" s="657"/>
      <c r="AZM1" s="657"/>
      <c r="AZN1" s="657"/>
      <c r="AZO1" s="657"/>
      <c r="AZP1" s="657"/>
      <c r="AZQ1" s="657"/>
      <c r="AZR1" s="657"/>
      <c r="AZS1" s="657"/>
      <c r="AZT1" s="657"/>
      <c r="AZU1" s="657"/>
      <c r="AZV1" s="657"/>
      <c r="AZW1" s="657"/>
      <c r="AZX1" s="657"/>
      <c r="AZY1" s="657"/>
      <c r="AZZ1" s="657"/>
      <c r="BAA1" s="657"/>
      <c r="BAB1" s="657"/>
      <c r="BAC1" s="657"/>
      <c r="BAD1" s="657"/>
      <c r="BAE1" s="657"/>
      <c r="BAF1" s="657"/>
      <c r="BAG1" s="657"/>
      <c r="BAH1" s="657"/>
      <c r="BAI1" s="657"/>
      <c r="BAJ1" s="657"/>
      <c r="BAK1" s="657"/>
      <c r="BAL1" s="657"/>
      <c r="BAM1" s="657"/>
      <c r="BAN1" s="657"/>
      <c r="BAO1" s="657"/>
      <c r="BAP1" s="657"/>
      <c r="BAQ1" s="657"/>
      <c r="BAR1" s="657"/>
      <c r="BAS1" s="657"/>
      <c r="BAT1" s="657"/>
      <c r="BAU1" s="657"/>
      <c r="BAV1" s="657"/>
      <c r="BAW1" s="657"/>
      <c r="BAX1" s="657"/>
      <c r="BAY1" s="657"/>
      <c r="BAZ1" s="657"/>
      <c r="BBA1" s="657"/>
      <c r="BBB1" s="657"/>
      <c r="BBC1" s="657"/>
      <c r="BBD1" s="657"/>
      <c r="BBE1" s="657"/>
      <c r="BBF1" s="657"/>
      <c r="BBG1" s="657"/>
      <c r="BBH1" s="657"/>
      <c r="BBI1" s="657"/>
      <c r="BBJ1" s="657"/>
      <c r="BBK1" s="657"/>
      <c r="BBL1" s="657"/>
      <c r="BBM1" s="657"/>
      <c r="BBN1" s="657"/>
      <c r="BBO1" s="657"/>
      <c r="BBP1" s="657"/>
      <c r="BBQ1" s="657"/>
      <c r="BBR1" s="657"/>
      <c r="BBS1" s="657"/>
      <c r="BBT1" s="657"/>
      <c r="BBU1" s="657"/>
      <c r="BBV1" s="657"/>
      <c r="BBW1" s="657"/>
      <c r="BBX1" s="657"/>
      <c r="BBY1" s="657"/>
      <c r="BBZ1" s="657"/>
      <c r="BCA1" s="657"/>
      <c r="BCB1" s="657"/>
      <c r="BCC1" s="657"/>
      <c r="BCD1" s="657"/>
      <c r="BCE1" s="657"/>
      <c r="BCF1" s="657"/>
      <c r="BCG1" s="657"/>
      <c r="BCH1" s="657"/>
      <c r="BCI1" s="657"/>
      <c r="BCJ1" s="657"/>
      <c r="BCK1" s="657"/>
      <c r="BCL1" s="657"/>
      <c r="BCM1" s="657"/>
      <c r="BCN1" s="657"/>
      <c r="BCO1" s="657"/>
      <c r="BCP1" s="657"/>
      <c r="BCQ1" s="657"/>
      <c r="BCR1" s="657"/>
      <c r="BCS1" s="657"/>
      <c r="BCT1" s="657"/>
      <c r="BCU1" s="657"/>
      <c r="BCV1" s="657"/>
      <c r="BCW1" s="657"/>
      <c r="BCX1" s="657"/>
      <c r="BCY1" s="657"/>
      <c r="BCZ1" s="657"/>
      <c r="BDA1" s="657"/>
      <c r="BDB1" s="657"/>
      <c r="BDC1" s="657"/>
      <c r="BDD1" s="657"/>
      <c r="BDE1" s="657"/>
      <c r="BDF1" s="657"/>
      <c r="BDG1" s="657"/>
      <c r="BDH1" s="657"/>
      <c r="BDI1" s="657"/>
      <c r="BDJ1" s="657"/>
      <c r="BDK1" s="657"/>
      <c r="BDL1" s="657"/>
      <c r="BDM1" s="657"/>
      <c r="BDN1" s="657"/>
      <c r="BDO1" s="657"/>
      <c r="BDP1" s="657"/>
      <c r="BDQ1" s="657"/>
      <c r="BDR1" s="657"/>
      <c r="BDS1" s="657"/>
      <c r="BDT1" s="657"/>
      <c r="BDU1" s="657"/>
      <c r="BDV1" s="657"/>
      <c r="BDW1" s="657"/>
      <c r="BDX1" s="657"/>
      <c r="BDY1" s="657"/>
      <c r="BDZ1" s="657"/>
      <c r="BEA1" s="657"/>
      <c r="BEB1" s="657"/>
      <c r="BEC1" s="657"/>
      <c r="BED1" s="657"/>
      <c r="BEE1" s="657"/>
      <c r="BEF1" s="657"/>
      <c r="BEG1" s="657"/>
      <c r="BEH1" s="657"/>
      <c r="BEI1" s="657"/>
      <c r="BEJ1" s="657"/>
      <c r="BEK1" s="657"/>
      <c r="BEL1" s="657"/>
      <c r="BEM1" s="657"/>
      <c r="BEN1" s="657"/>
      <c r="BEO1" s="657"/>
      <c r="BEP1" s="657"/>
      <c r="BEQ1" s="657"/>
      <c r="BER1" s="657"/>
      <c r="BES1" s="657"/>
      <c r="BET1" s="657"/>
      <c r="BEU1" s="657"/>
      <c r="BEV1" s="657"/>
      <c r="BEW1" s="657"/>
      <c r="BEX1" s="657"/>
      <c r="BEY1" s="657"/>
      <c r="BEZ1" s="657"/>
      <c r="BFA1" s="657"/>
      <c r="BFB1" s="657"/>
      <c r="BFC1" s="657"/>
      <c r="BFD1" s="657"/>
      <c r="BFE1" s="657"/>
      <c r="BFF1" s="657"/>
      <c r="BFG1" s="657"/>
      <c r="BFH1" s="657"/>
      <c r="BFI1" s="657"/>
      <c r="BFJ1" s="657"/>
      <c r="BFK1" s="657"/>
      <c r="BFL1" s="657"/>
      <c r="BFM1" s="657"/>
      <c r="BFN1" s="657"/>
      <c r="BFO1" s="657"/>
      <c r="BFP1" s="657"/>
      <c r="BFQ1" s="657"/>
      <c r="BFR1" s="657"/>
      <c r="BFS1" s="657"/>
      <c r="BFT1" s="657"/>
      <c r="BFU1" s="657"/>
      <c r="BFV1" s="657"/>
      <c r="BFW1" s="657"/>
      <c r="BFX1" s="657"/>
      <c r="BFY1" s="657"/>
      <c r="BFZ1" s="657"/>
      <c r="BGA1" s="657"/>
      <c r="BGB1" s="657"/>
      <c r="BGC1" s="657"/>
      <c r="BGD1" s="657"/>
      <c r="BGE1" s="657"/>
      <c r="BGF1" s="657"/>
      <c r="BGG1" s="657"/>
      <c r="BGH1" s="657"/>
      <c r="BGI1" s="657"/>
      <c r="BGJ1" s="657"/>
      <c r="BGK1" s="657"/>
      <c r="BGL1" s="657"/>
      <c r="BGM1" s="657"/>
      <c r="BGN1" s="657"/>
      <c r="BGO1" s="657"/>
      <c r="BGP1" s="657"/>
      <c r="BGQ1" s="657"/>
      <c r="BGR1" s="657"/>
      <c r="BGS1" s="657"/>
      <c r="BGT1" s="657"/>
      <c r="BGU1" s="657"/>
      <c r="BGV1" s="657"/>
      <c r="BGW1" s="657"/>
      <c r="BGX1" s="657"/>
      <c r="BGY1" s="657"/>
      <c r="BGZ1" s="657"/>
      <c r="BHA1" s="657"/>
      <c r="BHB1" s="657"/>
      <c r="BHC1" s="657"/>
      <c r="BHD1" s="657"/>
      <c r="BHE1" s="657"/>
      <c r="BHF1" s="657"/>
      <c r="BHG1" s="657"/>
      <c r="BHH1" s="657"/>
      <c r="BHI1" s="657"/>
      <c r="BHJ1" s="657"/>
      <c r="BHK1" s="657"/>
      <c r="BHL1" s="657"/>
      <c r="BHM1" s="657"/>
      <c r="BHN1" s="657"/>
      <c r="BHO1" s="657"/>
      <c r="BHP1" s="657"/>
      <c r="BHQ1" s="657"/>
      <c r="BHR1" s="657"/>
      <c r="BHS1" s="657"/>
      <c r="BHT1" s="657"/>
      <c r="BHU1" s="657"/>
      <c r="BHV1" s="657"/>
      <c r="BHW1" s="657"/>
      <c r="BHX1" s="657"/>
      <c r="BHY1" s="657"/>
      <c r="BHZ1" s="657"/>
      <c r="BIA1" s="657"/>
      <c r="BIB1" s="657"/>
      <c r="BIC1" s="657"/>
      <c r="BID1" s="657"/>
      <c r="BIE1" s="657"/>
      <c r="BIF1" s="657"/>
      <c r="BIG1" s="657"/>
      <c r="BIH1" s="657"/>
      <c r="BII1" s="657"/>
      <c r="BIJ1" s="657"/>
      <c r="BIK1" s="657"/>
      <c r="BIL1" s="657"/>
      <c r="BIM1" s="657"/>
      <c r="BIN1" s="657"/>
      <c r="BIO1" s="657"/>
      <c r="BIP1" s="657"/>
      <c r="BIQ1" s="657"/>
      <c r="BIR1" s="657"/>
      <c r="BIS1" s="657"/>
      <c r="BIT1" s="657"/>
      <c r="BIU1" s="657"/>
      <c r="BIV1" s="657"/>
      <c r="BIW1" s="657"/>
      <c r="BIX1" s="657"/>
      <c r="BIY1" s="657"/>
      <c r="BIZ1" s="657"/>
      <c r="BJA1" s="657"/>
      <c r="BJB1" s="657"/>
      <c r="BJC1" s="657"/>
      <c r="BJD1" s="657"/>
      <c r="BJE1" s="657"/>
      <c r="BJF1" s="657"/>
      <c r="BJG1" s="657"/>
      <c r="BJH1" s="657"/>
      <c r="BJI1" s="657"/>
      <c r="BJJ1" s="657"/>
      <c r="BJK1" s="657"/>
      <c r="BJL1" s="657"/>
      <c r="BJM1" s="657"/>
      <c r="BJN1" s="657"/>
      <c r="BJO1" s="657"/>
      <c r="BJP1" s="657"/>
      <c r="BJQ1" s="657"/>
      <c r="BJR1" s="657"/>
      <c r="BJS1" s="657"/>
      <c r="BJT1" s="657"/>
      <c r="BJU1" s="657"/>
      <c r="BJV1" s="657"/>
      <c r="BJW1" s="657"/>
      <c r="BJX1" s="657"/>
      <c r="BJY1" s="657"/>
      <c r="BJZ1" s="657"/>
      <c r="BKA1" s="657"/>
      <c r="BKB1" s="657"/>
      <c r="BKC1" s="657"/>
      <c r="BKD1" s="657"/>
      <c r="BKE1" s="657"/>
      <c r="BKF1" s="657"/>
      <c r="BKG1" s="657"/>
      <c r="BKH1" s="657"/>
      <c r="BKI1" s="657"/>
      <c r="BKJ1" s="657"/>
      <c r="BKK1" s="657"/>
      <c r="BKL1" s="657"/>
      <c r="BKM1" s="657"/>
      <c r="BKN1" s="657"/>
      <c r="BKO1" s="657"/>
      <c r="BKP1" s="657"/>
      <c r="BKQ1" s="657"/>
      <c r="BKR1" s="657"/>
      <c r="BKS1" s="657"/>
      <c r="BKT1" s="657"/>
      <c r="BKU1" s="657"/>
      <c r="BKV1" s="657"/>
      <c r="BKW1" s="657"/>
      <c r="BKX1" s="657"/>
      <c r="BKY1" s="657"/>
      <c r="BKZ1" s="657"/>
      <c r="BLA1" s="657"/>
      <c r="BLB1" s="657"/>
      <c r="BLC1" s="657"/>
      <c r="BLD1" s="657"/>
      <c r="BLE1" s="657"/>
      <c r="BLF1" s="657"/>
      <c r="BLG1" s="657"/>
      <c r="BLH1" s="657"/>
      <c r="BLI1" s="657"/>
      <c r="BLJ1" s="657"/>
      <c r="BLK1" s="657"/>
      <c r="BLL1" s="657"/>
      <c r="BLM1" s="657"/>
      <c r="BLN1" s="657"/>
      <c r="BLO1" s="657"/>
      <c r="BLP1" s="657"/>
      <c r="BLQ1" s="657"/>
      <c r="BLR1" s="657"/>
      <c r="BLS1" s="657"/>
      <c r="BLT1" s="657"/>
      <c r="BLU1" s="657"/>
      <c r="BLV1" s="657"/>
      <c r="BLW1" s="657"/>
      <c r="BLX1" s="657"/>
      <c r="BLY1" s="657"/>
      <c r="BLZ1" s="657"/>
      <c r="BMA1" s="657"/>
      <c r="BMB1" s="657"/>
      <c r="BMC1" s="657"/>
      <c r="BMD1" s="657"/>
      <c r="BME1" s="657"/>
      <c r="BMF1" s="657"/>
      <c r="BMG1" s="657"/>
      <c r="BMH1" s="657"/>
      <c r="BMI1" s="657"/>
      <c r="BMJ1" s="657"/>
      <c r="BMK1" s="657"/>
      <c r="BML1" s="657"/>
      <c r="BMM1" s="657"/>
      <c r="BMN1" s="657"/>
      <c r="BMO1" s="657"/>
      <c r="BMP1" s="657"/>
      <c r="BMQ1" s="657"/>
      <c r="BMR1" s="657"/>
      <c r="BMS1" s="657"/>
      <c r="BMT1" s="657"/>
      <c r="BMU1" s="657"/>
      <c r="BMV1" s="657"/>
      <c r="BMW1" s="657"/>
      <c r="BMX1" s="657"/>
      <c r="BMY1" s="657"/>
      <c r="BMZ1" s="657"/>
      <c r="BNA1" s="657"/>
      <c r="BNB1" s="657"/>
      <c r="BNC1" s="657"/>
      <c r="BND1" s="657"/>
      <c r="BNE1" s="657"/>
      <c r="BNF1" s="657"/>
      <c r="BNG1" s="657"/>
      <c r="BNH1" s="657"/>
      <c r="BNI1" s="657"/>
      <c r="BNJ1" s="657"/>
      <c r="BNK1" s="657"/>
      <c r="BNL1" s="657"/>
      <c r="BNM1" s="657"/>
      <c r="BNN1" s="657"/>
      <c r="BNO1" s="657"/>
      <c r="BNP1" s="657"/>
      <c r="BNQ1" s="657"/>
      <c r="BNR1" s="657"/>
      <c r="BNS1" s="657"/>
      <c r="BNT1" s="657"/>
      <c r="BNU1" s="657"/>
      <c r="BNV1" s="657"/>
      <c r="BNW1" s="657"/>
      <c r="BNX1" s="657"/>
      <c r="BNY1" s="657"/>
      <c r="BNZ1" s="657"/>
      <c r="BOA1" s="657"/>
      <c r="BOB1" s="657"/>
      <c r="BOC1" s="657"/>
      <c r="BOD1" s="657"/>
      <c r="BOE1" s="657"/>
      <c r="BOF1" s="657"/>
      <c r="BOG1" s="657"/>
      <c r="BOH1" s="657"/>
      <c r="BOI1" s="657"/>
      <c r="BOJ1" s="657"/>
      <c r="BOK1" s="657"/>
      <c r="BOL1" s="657"/>
      <c r="BOM1" s="657"/>
      <c r="BON1" s="657"/>
      <c r="BOO1" s="657"/>
      <c r="BOP1" s="657"/>
      <c r="BOQ1" s="657"/>
      <c r="BOR1" s="657"/>
      <c r="BOS1" s="657"/>
      <c r="BOT1" s="657"/>
      <c r="BOU1" s="657"/>
      <c r="BOV1" s="657"/>
      <c r="BOW1" s="657"/>
      <c r="BOX1" s="657"/>
      <c r="BOY1" s="657"/>
      <c r="BOZ1" s="657"/>
      <c r="BPA1" s="657"/>
      <c r="BPB1" s="657"/>
      <c r="BPC1" s="657"/>
      <c r="BPD1" s="657"/>
      <c r="BPE1" s="657"/>
      <c r="BPF1" s="657"/>
      <c r="BPG1" s="657"/>
      <c r="BPH1" s="657"/>
      <c r="BPI1" s="657"/>
      <c r="BPJ1" s="657"/>
      <c r="BPK1" s="657"/>
      <c r="BPL1" s="657"/>
      <c r="BPM1" s="657"/>
      <c r="BPN1" s="657"/>
      <c r="BPO1" s="657"/>
      <c r="BPP1" s="657"/>
      <c r="BPQ1" s="657"/>
      <c r="BPR1" s="657"/>
      <c r="BPS1" s="657"/>
      <c r="BPT1" s="657"/>
      <c r="BPU1" s="657"/>
      <c r="BPV1" s="657"/>
      <c r="BPW1" s="657"/>
      <c r="BPX1" s="657"/>
      <c r="BPY1" s="657"/>
      <c r="BPZ1" s="657"/>
      <c r="BQA1" s="657"/>
      <c r="BQB1" s="657"/>
      <c r="BQC1" s="657"/>
      <c r="BQD1" s="657"/>
      <c r="BQE1" s="657"/>
      <c r="BQF1" s="657"/>
      <c r="BQG1" s="657"/>
      <c r="BQH1" s="657"/>
      <c r="BQI1" s="657"/>
      <c r="BQJ1" s="657"/>
      <c r="BQK1" s="657"/>
      <c r="BQL1" s="657"/>
      <c r="BQM1" s="657"/>
      <c r="BQN1" s="657"/>
      <c r="BQO1" s="657"/>
      <c r="BQP1" s="657"/>
      <c r="BQQ1" s="657"/>
      <c r="BQR1" s="657"/>
      <c r="BQS1" s="657"/>
      <c r="BQT1" s="657"/>
      <c r="BQU1" s="657"/>
      <c r="BQV1" s="657"/>
      <c r="BQW1" s="657"/>
      <c r="BQX1" s="657"/>
      <c r="BQY1" s="657"/>
      <c r="BQZ1" s="657"/>
      <c r="BRA1" s="657"/>
      <c r="BRB1" s="657"/>
      <c r="BRC1" s="657"/>
      <c r="BRD1" s="657"/>
      <c r="BRE1" s="657"/>
      <c r="BRF1" s="657"/>
      <c r="BRG1" s="657"/>
      <c r="BRH1" s="657"/>
      <c r="BRI1" s="657"/>
      <c r="BRJ1" s="657"/>
      <c r="BRK1" s="657"/>
      <c r="BRL1" s="657"/>
      <c r="BRM1" s="657"/>
      <c r="BRN1" s="657"/>
      <c r="BRO1" s="657"/>
      <c r="BRP1" s="657"/>
      <c r="BRQ1" s="657"/>
      <c r="BRR1" s="657"/>
      <c r="BRS1" s="657"/>
      <c r="BRT1" s="657"/>
      <c r="BRU1" s="657"/>
      <c r="BRV1" s="657"/>
      <c r="BRW1" s="657"/>
      <c r="BRX1" s="657"/>
      <c r="BRY1" s="657"/>
      <c r="BRZ1" s="657"/>
      <c r="BSA1" s="657"/>
      <c r="BSB1" s="657"/>
      <c r="BSC1" s="657"/>
      <c r="BSD1" s="657"/>
      <c r="BSE1" s="657"/>
      <c r="BSF1" s="657"/>
      <c r="BSG1" s="657"/>
      <c r="BSH1" s="657"/>
      <c r="BSI1" s="657"/>
      <c r="BSJ1" s="657"/>
      <c r="BSK1" s="657"/>
      <c r="BSL1" s="657"/>
      <c r="BSM1" s="657"/>
      <c r="BSN1" s="657"/>
      <c r="BSO1" s="657"/>
      <c r="BSP1" s="657"/>
      <c r="BSQ1" s="657"/>
      <c r="BSR1" s="657"/>
      <c r="BSS1" s="657"/>
      <c r="BST1" s="657"/>
      <c r="BSU1" s="657"/>
      <c r="BSV1" s="657"/>
      <c r="BSW1" s="657"/>
      <c r="BSX1" s="657"/>
      <c r="BSY1" s="657"/>
      <c r="BSZ1" s="657"/>
      <c r="BTA1" s="657"/>
      <c r="BTB1" s="657"/>
      <c r="BTC1" s="657"/>
      <c r="BTD1" s="657"/>
      <c r="BTE1" s="657"/>
      <c r="BTF1" s="657"/>
      <c r="BTG1" s="657"/>
      <c r="BTH1" s="657"/>
      <c r="BTI1" s="657"/>
      <c r="BTJ1" s="657"/>
      <c r="BTK1" s="657"/>
      <c r="BTL1" s="657"/>
      <c r="BTM1" s="657"/>
      <c r="BTN1" s="657"/>
      <c r="BTO1" s="657"/>
      <c r="BTP1" s="657"/>
      <c r="BTQ1" s="657"/>
      <c r="BTR1" s="657"/>
      <c r="BTS1" s="657"/>
      <c r="BTT1" s="657"/>
      <c r="BTU1" s="657"/>
      <c r="BTV1" s="657"/>
      <c r="BTW1" s="657"/>
      <c r="BTX1" s="657"/>
      <c r="BTY1" s="657"/>
      <c r="BTZ1" s="657"/>
      <c r="BUA1" s="657"/>
      <c r="BUB1" s="657"/>
      <c r="BUC1" s="657"/>
      <c r="BUD1" s="657"/>
      <c r="BUE1" s="657"/>
      <c r="BUF1" s="657"/>
      <c r="BUG1" s="657"/>
      <c r="BUH1" s="657"/>
      <c r="BUI1" s="657"/>
      <c r="BUJ1" s="657"/>
      <c r="BUK1" s="657"/>
      <c r="BUL1" s="657"/>
      <c r="BUM1" s="657"/>
      <c r="BUN1" s="657"/>
      <c r="BUO1" s="657"/>
      <c r="BUP1" s="657"/>
      <c r="BUQ1" s="657"/>
      <c r="BUR1" s="657"/>
      <c r="BUS1" s="657"/>
      <c r="BUT1" s="657"/>
      <c r="BUU1" s="657"/>
      <c r="BUV1" s="657"/>
      <c r="BUW1" s="657"/>
      <c r="BUX1" s="657"/>
      <c r="BUY1" s="657"/>
      <c r="BUZ1" s="657"/>
      <c r="BVA1" s="657"/>
      <c r="BVB1" s="657"/>
      <c r="BVC1" s="657"/>
      <c r="BVD1" s="657"/>
      <c r="BVE1" s="657"/>
      <c r="BVF1" s="657"/>
      <c r="BVG1" s="657"/>
      <c r="BVH1" s="657"/>
      <c r="BVI1" s="657"/>
      <c r="BVJ1" s="657"/>
      <c r="BVK1" s="657"/>
      <c r="BVL1" s="657"/>
      <c r="BVM1" s="657"/>
      <c r="BVN1" s="657"/>
      <c r="BVO1" s="657"/>
      <c r="BVP1" s="657"/>
      <c r="BVQ1" s="657"/>
      <c r="BVR1" s="657"/>
      <c r="BVS1" s="657"/>
      <c r="BVT1" s="657"/>
      <c r="BVU1" s="657"/>
      <c r="BVV1" s="657"/>
      <c r="BVW1" s="657"/>
      <c r="BVX1" s="657"/>
      <c r="BVY1" s="657"/>
      <c r="BVZ1" s="657"/>
      <c r="BWA1" s="657"/>
      <c r="BWB1" s="657"/>
      <c r="BWC1" s="657"/>
      <c r="BWD1" s="657"/>
      <c r="BWE1" s="657"/>
      <c r="BWF1" s="657"/>
      <c r="BWG1" s="657"/>
      <c r="BWH1" s="657"/>
      <c r="BWI1" s="657"/>
      <c r="BWJ1" s="657"/>
      <c r="BWK1" s="657"/>
      <c r="BWL1" s="657"/>
      <c r="BWM1" s="657"/>
      <c r="BWN1" s="657"/>
      <c r="BWO1" s="657"/>
      <c r="BWP1" s="657"/>
      <c r="BWQ1" s="657"/>
      <c r="BWR1" s="657"/>
      <c r="BWS1" s="657"/>
      <c r="BWT1" s="657"/>
      <c r="BWU1" s="657"/>
      <c r="BWV1" s="657"/>
      <c r="BWW1" s="657"/>
      <c r="BWX1" s="657"/>
      <c r="BWY1" s="657"/>
      <c r="BWZ1" s="657"/>
      <c r="BXA1" s="657"/>
      <c r="BXB1" s="657"/>
      <c r="BXC1" s="657"/>
      <c r="BXD1" s="657"/>
      <c r="BXE1" s="657"/>
      <c r="BXF1" s="657"/>
      <c r="BXG1" s="657"/>
      <c r="BXH1" s="657"/>
      <c r="BXI1" s="657"/>
      <c r="BXJ1" s="657"/>
      <c r="BXK1" s="657"/>
      <c r="BXL1" s="657"/>
      <c r="BXM1" s="657"/>
      <c r="BXN1" s="657"/>
      <c r="BXO1" s="657"/>
      <c r="BXP1" s="657"/>
      <c r="BXQ1" s="657"/>
      <c r="BXR1" s="657"/>
      <c r="BXS1" s="657"/>
      <c r="BXT1" s="657"/>
      <c r="BXU1" s="657"/>
      <c r="BXV1" s="657"/>
      <c r="BXW1" s="657"/>
      <c r="BXX1" s="657"/>
      <c r="BXY1" s="657"/>
      <c r="BXZ1" s="657"/>
      <c r="BYA1" s="657"/>
      <c r="BYB1" s="657"/>
      <c r="BYC1" s="657"/>
      <c r="BYD1" s="657"/>
      <c r="BYE1" s="657"/>
      <c r="BYF1" s="657"/>
      <c r="BYG1" s="657"/>
      <c r="BYH1" s="657"/>
      <c r="BYI1" s="657"/>
      <c r="BYJ1" s="657"/>
      <c r="BYK1" s="657"/>
      <c r="BYL1" s="657"/>
      <c r="BYM1" s="657"/>
      <c r="BYN1" s="657"/>
      <c r="BYO1" s="657"/>
      <c r="BYP1" s="657"/>
      <c r="BYQ1" s="657"/>
      <c r="BYR1" s="657"/>
      <c r="BYS1" s="657"/>
      <c r="BYT1" s="657"/>
      <c r="BYU1" s="657"/>
      <c r="BYV1" s="657"/>
      <c r="BYW1" s="657"/>
      <c r="BYX1" s="657"/>
      <c r="BYY1" s="657"/>
      <c r="BYZ1" s="657"/>
      <c r="BZA1" s="657"/>
      <c r="BZB1" s="657"/>
      <c r="BZC1" s="657"/>
      <c r="BZD1" s="657"/>
      <c r="BZE1" s="657"/>
      <c r="BZF1" s="657"/>
      <c r="BZG1" s="657"/>
      <c r="BZH1" s="657"/>
      <c r="BZI1" s="657"/>
      <c r="BZJ1" s="657"/>
      <c r="BZK1" s="657"/>
      <c r="BZL1" s="657"/>
      <c r="BZM1" s="657"/>
      <c r="BZN1" s="657"/>
      <c r="BZO1" s="657"/>
      <c r="BZP1" s="657"/>
      <c r="BZQ1" s="657"/>
      <c r="BZR1" s="657"/>
      <c r="BZS1" s="657"/>
      <c r="BZT1" s="657"/>
      <c r="BZU1" s="657"/>
      <c r="BZV1" s="657"/>
      <c r="BZW1" s="657"/>
      <c r="BZX1" s="657"/>
      <c r="BZY1" s="657"/>
      <c r="BZZ1" s="657"/>
      <c r="CAA1" s="657"/>
      <c r="CAB1" s="657"/>
      <c r="CAC1" s="657"/>
      <c r="CAD1" s="657"/>
      <c r="CAE1" s="657"/>
      <c r="CAF1" s="657"/>
      <c r="CAG1" s="657"/>
      <c r="CAH1" s="657"/>
      <c r="CAI1" s="657"/>
      <c r="CAJ1" s="657"/>
      <c r="CAK1" s="657"/>
      <c r="CAL1" s="657"/>
      <c r="CAM1" s="657"/>
      <c r="CAN1" s="657"/>
      <c r="CAO1" s="657"/>
      <c r="CAP1" s="657"/>
      <c r="CAQ1" s="657"/>
      <c r="CAR1" s="657"/>
      <c r="CAS1" s="657"/>
      <c r="CAT1" s="657"/>
      <c r="CAU1" s="657"/>
      <c r="CAV1" s="657"/>
      <c r="CAW1" s="657"/>
      <c r="CAX1" s="657"/>
      <c r="CAY1" s="657"/>
      <c r="CAZ1" s="657"/>
      <c r="CBA1" s="657"/>
      <c r="CBB1" s="657"/>
      <c r="CBC1" s="657"/>
      <c r="CBD1" s="657"/>
      <c r="CBE1" s="657"/>
      <c r="CBF1" s="657"/>
      <c r="CBG1" s="657"/>
      <c r="CBH1" s="657"/>
      <c r="CBI1" s="657"/>
      <c r="CBJ1" s="657"/>
      <c r="CBK1" s="657"/>
      <c r="CBL1" s="657"/>
      <c r="CBM1" s="657"/>
      <c r="CBN1" s="657"/>
      <c r="CBO1" s="657"/>
      <c r="CBP1" s="657"/>
      <c r="CBQ1" s="657"/>
      <c r="CBR1" s="657"/>
      <c r="CBS1" s="657"/>
      <c r="CBT1" s="657"/>
      <c r="CBU1" s="657"/>
      <c r="CBV1" s="657"/>
      <c r="CBW1" s="657"/>
      <c r="CBX1" s="657"/>
      <c r="CBY1" s="657"/>
      <c r="CBZ1" s="657"/>
      <c r="CCA1" s="657"/>
      <c r="CCB1" s="657"/>
      <c r="CCC1" s="657"/>
      <c r="CCD1" s="657"/>
      <c r="CCE1" s="657"/>
      <c r="CCF1" s="657"/>
      <c r="CCG1" s="657"/>
      <c r="CCH1" s="657"/>
      <c r="CCI1" s="657"/>
      <c r="CCJ1" s="657"/>
      <c r="CCK1" s="657"/>
      <c r="CCL1" s="657"/>
      <c r="CCM1" s="657"/>
      <c r="CCN1" s="657"/>
      <c r="CCO1" s="657"/>
      <c r="CCP1" s="657"/>
      <c r="CCQ1" s="657"/>
      <c r="CCR1" s="657"/>
      <c r="CCS1" s="657"/>
      <c r="CCT1" s="657"/>
      <c r="CCU1" s="657"/>
      <c r="CCV1" s="657"/>
      <c r="CCW1" s="657"/>
      <c r="CCX1" s="657"/>
      <c r="CCY1" s="657"/>
      <c r="CCZ1" s="657"/>
      <c r="CDA1" s="657"/>
      <c r="CDB1" s="657"/>
      <c r="CDC1" s="657"/>
      <c r="CDD1" s="657"/>
      <c r="CDE1" s="657"/>
      <c r="CDF1" s="657"/>
      <c r="CDG1" s="657"/>
      <c r="CDH1" s="657"/>
      <c r="CDI1" s="657"/>
      <c r="CDJ1" s="657"/>
      <c r="CDK1" s="657"/>
      <c r="CDL1" s="657"/>
      <c r="CDM1" s="657"/>
      <c r="CDN1" s="657"/>
      <c r="CDO1" s="657"/>
      <c r="CDP1" s="657"/>
      <c r="CDQ1" s="657"/>
      <c r="CDR1" s="657"/>
      <c r="CDS1" s="657"/>
      <c r="CDT1" s="657"/>
      <c r="CDU1" s="657"/>
      <c r="CDV1" s="657"/>
      <c r="CDW1" s="657"/>
      <c r="CDX1" s="657"/>
      <c r="CDY1" s="657"/>
      <c r="CDZ1" s="657"/>
      <c r="CEA1" s="657"/>
      <c r="CEB1" s="657"/>
      <c r="CEC1" s="657"/>
      <c r="CED1" s="657"/>
      <c r="CEE1" s="657"/>
      <c r="CEF1" s="657"/>
      <c r="CEG1" s="657"/>
      <c r="CEH1" s="657"/>
      <c r="CEI1" s="657"/>
      <c r="CEJ1" s="657"/>
      <c r="CEK1" s="657"/>
      <c r="CEL1" s="657"/>
      <c r="CEM1" s="657"/>
      <c r="CEN1" s="657"/>
      <c r="CEO1" s="657"/>
      <c r="CEP1" s="657"/>
      <c r="CEQ1" s="657"/>
      <c r="CER1" s="657"/>
      <c r="CES1" s="657"/>
      <c r="CET1" s="657"/>
      <c r="CEU1" s="657"/>
      <c r="CEV1" s="657"/>
      <c r="CEW1" s="657"/>
      <c r="CEX1" s="657"/>
      <c r="CEY1" s="657"/>
      <c r="CEZ1" s="657"/>
      <c r="CFA1" s="657"/>
      <c r="CFB1" s="657"/>
      <c r="CFC1" s="657"/>
      <c r="CFD1" s="657"/>
      <c r="CFE1" s="657"/>
      <c r="CFF1" s="657"/>
      <c r="CFG1" s="657"/>
      <c r="CFH1" s="657"/>
      <c r="CFI1" s="657"/>
      <c r="CFJ1" s="657"/>
      <c r="CFK1" s="657"/>
      <c r="CFL1" s="657"/>
      <c r="CFM1" s="657"/>
      <c r="CFN1" s="657"/>
      <c r="CFO1" s="657"/>
      <c r="CFP1" s="657"/>
      <c r="CFQ1" s="657"/>
      <c r="CFR1" s="657"/>
      <c r="CFS1" s="657"/>
      <c r="CFT1" s="657"/>
      <c r="CFU1" s="657"/>
      <c r="CFV1" s="657"/>
      <c r="CFW1" s="657"/>
      <c r="CFX1" s="657"/>
      <c r="CFY1" s="657"/>
      <c r="CFZ1" s="657"/>
      <c r="CGA1" s="657"/>
      <c r="CGB1" s="657"/>
      <c r="CGC1" s="657"/>
      <c r="CGD1" s="657"/>
      <c r="CGE1" s="657"/>
      <c r="CGF1" s="657"/>
      <c r="CGG1" s="657"/>
      <c r="CGH1" s="657"/>
      <c r="CGI1" s="657"/>
      <c r="CGJ1" s="657"/>
      <c r="CGK1" s="657"/>
      <c r="CGL1" s="657"/>
      <c r="CGM1" s="657"/>
      <c r="CGN1" s="657"/>
      <c r="CGO1" s="657"/>
      <c r="CGP1" s="657"/>
      <c r="CGQ1" s="657"/>
      <c r="CGR1" s="657"/>
      <c r="CGS1" s="657"/>
      <c r="CGT1" s="657"/>
      <c r="CGU1" s="657"/>
      <c r="CGV1" s="657"/>
      <c r="CGW1" s="657"/>
      <c r="CGX1" s="657"/>
      <c r="CGY1" s="657"/>
      <c r="CGZ1" s="657"/>
      <c r="CHA1" s="657"/>
      <c r="CHB1" s="657"/>
      <c r="CHC1" s="657"/>
      <c r="CHD1" s="657"/>
      <c r="CHE1" s="657"/>
      <c r="CHF1" s="657"/>
      <c r="CHG1" s="657"/>
      <c r="CHH1" s="657"/>
      <c r="CHI1" s="657"/>
      <c r="CHJ1" s="657"/>
      <c r="CHK1" s="657"/>
      <c r="CHL1" s="657"/>
      <c r="CHM1" s="657"/>
      <c r="CHN1" s="657"/>
      <c r="CHO1" s="657"/>
      <c r="CHP1" s="657"/>
      <c r="CHQ1" s="657"/>
      <c r="CHR1" s="657"/>
      <c r="CHS1" s="657"/>
      <c r="CHT1" s="657"/>
      <c r="CHU1" s="657"/>
      <c r="CHV1" s="657"/>
      <c r="CHW1" s="657"/>
      <c r="CHX1" s="657"/>
      <c r="CHY1" s="657"/>
      <c r="CHZ1" s="657"/>
      <c r="CIA1" s="657"/>
      <c r="CIB1" s="657"/>
      <c r="CIC1" s="657"/>
      <c r="CID1" s="657"/>
      <c r="CIE1" s="657"/>
      <c r="CIF1" s="657"/>
      <c r="CIG1" s="657"/>
      <c r="CIH1" s="657"/>
      <c r="CII1" s="657"/>
      <c r="CIJ1" s="657"/>
      <c r="CIK1" s="657"/>
      <c r="CIL1" s="657"/>
      <c r="CIM1" s="657"/>
      <c r="CIN1" s="657"/>
      <c r="CIO1" s="657"/>
      <c r="CIP1" s="657"/>
      <c r="CIQ1" s="657"/>
      <c r="CIR1" s="657"/>
      <c r="CIS1" s="657"/>
      <c r="CIT1" s="657"/>
      <c r="CIU1" s="657"/>
      <c r="CIV1" s="657"/>
      <c r="CIW1" s="657"/>
      <c r="CIX1" s="657"/>
      <c r="CIY1" s="657"/>
      <c r="CIZ1" s="657"/>
      <c r="CJA1" s="657"/>
      <c r="CJB1" s="657"/>
      <c r="CJC1" s="657"/>
      <c r="CJD1" s="657"/>
      <c r="CJE1" s="657"/>
      <c r="CJF1" s="657"/>
      <c r="CJG1" s="657"/>
      <c r="CJH1" s="657"/>
      <c r="CJI1" s="657"/>
      <c r="CJJ1" s="657"/>
      <c r="CJK1" s="657"/>
      <c r="CJL1" s="657"/>
      <c r="CJM1" s="657"/>
      <c r="CJN1" s="657"/>
      <c r="CJO1" s="657"/>
      <c r="CJP1" s="657"/>
      <c r="CJQ1" s="657"/>
      <c r="CJR1" s="657"/>
      <c r="CJS1" s="657"/>
      <c r="CJT1" s="657"/>
      <c r="CJU1" s="657"/>
      <c r="CJV1" s="657"/>
      <c r="CJW1" s="657"/>
      <c r="CJX1" s="657"/>
      <c r="CJY1" s="657"/>
      <c r="CJZ1" s="657"/>
      <c r="CKA1" s="657"/>
      <c r="CKB1" s="657"/>
      <c r="CKC1" s="657"/>
      <c r="CKD1" s="657"/>
      <c r="CKE1" s="657"/>
      <c r="CKF1" s="657"/>
      <c r="CKG1" s="657"/>
      <c r="CKH1" s="657"/>
      <c r="CKI1" s="657"/>
      <c r="CKJ1" s="657"/>
      <c r="CKK1" s="657"/>
      <c r="CKL1" s="657"/>
      <c r="CKM1" s="657"/>
      <c r="CKN1" s="657"/>
      <c r="CKO1" s="657"/>
      <c r="CKP1" s="657"/>
      <c r="CKQ1" s="657"/>
      <c r="CKR1" s="657"/>
      <c r="CKS1" s="657"/>
      <c r="CKT1" s="657"/>
      <c r="CKU1" s="657"/>
      <c r="CKV1" s="657"/>
      <c r="CKW1" s="657"/>
      <c r="CKX1" s="657"/>
      <c r="CKY1" s="657"/>
      <c r="CKZ1" s="657"/>
      <c r="CLA1" s="657"/>
      <c r="CLB1" s="657"/>
      <c r="CLC1" s="657"/>
      <c r="CLD1" s="657"/>
      <c r="CLE1" s="657"/>
      <c r="CLF1" s="657"/>
      <c r="CLG1" s="657"/>
      <c r="CLH1" s="657"/>
      <c r="CLI1" s="657"/>
      <c r="CLJ1" s="657"/>
      <c r="CLK1" s="657"/>
      <c r="CLL1" s="657"/>
      <c r="CLM1" s="657"/>
      <c r="CLN1" s="657"/>
      <c r="CLO1" s="657"/>
      <c r="CLP1" s="657"/>
      <c r="CLQ1" s="657"/>
      <c r="CLR1" s="657"/>
      <c r="CLS1" s="657"/>
      <c r="CLT1" s="657"/>
      <c r="CLU1" s="657"/>
      <c r="CLV1" s="657"/>
      <c r="CLW1" s="657"/>
      <c r="CLX1" s="657"/>
      <c r="CLY1" s="657"/>
      <c r="CLZ1" s="657"/>
      <c r="CMA1" s="657"/>
      <c r="CMB1" s="657"/>
      <c r="CMC1" s="657"/>
      <c r="CMD1" s="657"/>
      <c r="CME1" s="657"/>
      <c r="CMF1" s="657"/>
      <c r="CMG1" s="657"/>
      <c r="CMH1" s="657"/>
      <c r="CMI1" s="657"/>
      <c r="CMJ1" s="657"/>
      <c r="CMK1" s="657"/>
      <c r="CML1" s="657"/>
      <c r="CMM1" s="657"/>
      <c r="CMN1" s="657"/>
      <c r="CMO1" s="657"/>
      <c r="CMP1" s="657"/>
      <c r="CMQ1" s="657"/>
      <c r="CMR1" s="657"/>
      <c r="CMS1" s="657"/>
      <c r="CMT1" s="657"/>
      <c r="CMU1" s="657"/>
      <c r="CMV1" s="657"/>
      <c r="CMW1" s="657"/>
      <c r="CMX1" s="657"/>
      <c r="CMY1" s="657"/>
      <c r="CMZ1" s="657"/>
      <c r="CNA1" s="657"/>
      <c r="CNB1" s="657"/>
      <c r="CNC1" s="657"/>
      <c r="CND1" s="657"/>
      <c r="CNE1" s="657"/>
      <c r="CNF1" s="657"/>
      <c r="CNG1" s="657"/>
      <c r="CNH1" s="657"/>
      <c r="CNI1" s="657"/>
      <c r="CNJ1" s="657"/>
      <c r="CNK1" s="657"/>
      <c r="CNL1" s="657"/>
      <c r="CNM1" s="657"/>
      <c r="CNN1" s="657"/>
      <c r="CNO1" s="657"/>
      <c r="CNP1" s="657"/>
      <c r="CNQ1" s="657"/>
      <c r="CNR1" s="657"/>
      <c r="CNS1" s="657"/>
      <c r="CNT1" s="657"/>
      <c r="CNU1" s="657"/>
      <c r="CNV1" s="657"/>
      <c r="CNW1" s="657"/>
      <c r="CNX1" s="657"/>
      <c r="CNY1" s="657"/>
      <c r="CNZ1" s="657"/>
      <c r="COA1" s="657"/>
      <c r="COB1" s="657"/>
      <c r="COC1" s="657"/>
      <c r="COD1" s="657"/>
      <c r="COE1" s="657"/>
      <c r="COF1" s="657"/>
      <c r="COG1" s="657"/>
      <c r="COH1" s="657"/>
      <c r="COI1" s="657"/>
      <c r="COJ1" s="657"/>
      <c r="COK1" s="657"/>
      <c r="COL1" s="657"/>
      <c r="COM1" s="657"/>
      <c r="CON1" s="657"/>
      <c r="COO1" s="657"/>
      <c r="COP1" s="657"/>
      <c r="COQ1" s="657"/>
      <c r="COR1" s="657"/>
      <c r="COS1" s="657"/>
      <c r="COT1" s="657"/>
      <c r="COU1" s="657"/>
      <c r="COV1" s="657"/>
      <c r="COW1" s="657"/>
      <c r="COX1" s="657"/>
      <c r="COY1" s="657"/>
      <c r="COZ1" s="657"/>
      <c r="CPA1" s="657"/>
      <c r="CPB1" s="657"/>
      <c r="CPC1" s="657"/>
      <c r="CPD1" s="657"/>
      <c r="CPE1" s="657"/>
      <c r="CPF1" s="657"/>
      <c r="CPG1" s="657"/>
      <c r="CPH1" s="657"/>
      <c r="CPI1" s="657"/>
      <c r="CPJ1" s="657"/>
      <c r="CPK1" s="657"/>
      <c r="CPL1" s="657"/>
      <c r="CPM1" s="657"/>
      <c r="CPN1" s="657"/>
      <c r="CPO1" s="657"/>
      <c r="CPP1" s="657"/>
      <c r="CPQ1" s="657"/>
      <c r="CPR1" s="657"/>
      <c r="CPS1" s="657"/>
      <c r="CPT1" s="657"/>
      <c r="CPU1" s="657"/>
      <c r="CPV1" s="657"/>
      <c r="CPW1" s="657"/>
      <c r="CPX1" s="657"/>
      <c r="CPY1" s="657"/>
      <c r="CPZ1" s="657"/>
      <c r="CQA1" s="657"/>
      <c r="CQB1" s="657"/>
      <c r="CQC1" s="657"/>
      <c r="CQD1" s="657"/>
      <c r="CQE1" s="657"/>
      <c r="CQF1" s="657"/>
      <c r="CQG1" s="657"/>
      <c r="CQH1" s="657"/>
      <c r="CQI1" s="657"/>
      <c r="CQJ1" s="657"/>
      <c r="CQK1" s="657"/>
      <c r="CQL1" s="657"/>
      <c r="CQM1" s="657"/>
      <c r="CQN1" s="657"/>
      <c r="CQO1" s="657"/>
      <c r="CQP1" s="657"/>
      <c r="CQQ1" s="657"/>
      <c r="CQR1" s="657"/>
      <c r="CQS1" s="657"/>
      <c r="CQT1" s="657"/>
      <c r="CQU1" s="657"/>
      <c r="CQV1" s="657"/>
      <c r="CQW1" s="657"/>
      <c r="CQX1" s="657"/>
      <c r="CQY1" s="657"/>
      <c r="CQZ1" s="657"/>
      <c r="CRA1" s="657"/>
      <c r="CRB1" s="657"/>
      <c r="CRC1" s="657"/>
      <c r="CRD1" s="657"/>
      <c r="CRE1" s="657"/>
      <c r="CRF1" s="657"/>
      <c r="CRG1" s="657"/>
      <c r="CRH1" s="657"/>
      <c r="CRI1" s="657"/>
      <c r="CRJ1" s="657"/>
      <c r="CRK1" s="657"/>
      <c r="CRL1" s="657"/>
      <c r="CRM1" s="657"/>
      <c r="CRN1" s="657"/>
      <c r="CRO1" s="657"/>
      <c r="CRP1" s="657"/>
      <c r="CRQ1" s="657"/>
      <c r="CRR1" s="657"/>
      <c r="CRS1" s="657"/>
      <c r="CRT1" s="657"/>
      <c r="CRU1" s="657"/>
      <c r="CRV1" s="657"/>
      <c r="CRW1" s="657"/>
      <c r="CRX1" s="657"/>
      <c r="CRY1" s="657"/>
      <c r="CRZ1" s="657"/>
      <c r="CSA1" s="657"/>
      <c r="CSB1" s="657"/>
      <c r="CSC1" s="657"/>
      <c r="CSD1" s="657"/>
      <c r="CSE1" s="657"/>
      <c r="CSF1" s="657"/>
      <c r="CSG1" s="657"/>
      <c r="CSH1" s="657"/>
      <c r="CSI1" s="657"/>
      <c r="CSJ1" s="657"/>
      <c r="CSK1" s="657"/>
      <c r="CSL1" s="657"/>
      <c r="CSM1" s="657"/>
      <c r="CSN1" s="657"/>
      <c r="CSO1" s="657"/>
      <c r="CSP1" s="657"/>
      <c r="CSQ1" s="657"/>
      <c r="CSR1" s="657"/>
      <c r="CSS1" s="657"/>
      <c r="CST1" s="657"/>
      <c r="CSU1" s="657"/>
      <c r="CSV1" s="657"/>
      <c r="CSW1" s="657"/>
      <c r="CSX1" s="657"/>
      <c r="CSY1" s="657"/>
      <c r="CSZ1" s="657"/>
      <c r="CTA1" s="657"/>
      <c r="CTB1" s="657"/>
      <c r="CTC1" s="657"/>
      <c r="CTD1" s="657"/>
      <c r="CTE1" s="657"/>
      <c r="CTF1" s="657"/>
      <c r="CTG1" s="657"/>
      <c r="CTH1" s="657"/>
      <c r="CTI1" s="657"/>
      <c r="CTJ1" s="657"/>
      <c r="CTK1" s="657"/>
      <c r="CTL1" s="657"/>
      <c r="CTM1" s="657"/>
      <c r="CTN1" s="657"/>
      <c r="CTO1" s="657"/>
      <c r="CTP1" s="657"/>
      <c r="CTQ1" s="657"/>
      <c r="CTR1" s="657"/>
      <c r="CTS1" s="657"/>
      <c r="CTT1" s="657"/>
      <c r="CTU1" s="657"/>
      <c r="CTV1" s="657"/>
      <c r="CTW1" s="657"/>
      <c r="CTX1" s="657"/>
      <c r="CTY1" s="657"/>
      <c r="CTZ1" s="657"/>
      <c r="CUA1" s="657"/>
      <c r="CUB1" s="657"/>
      <c r="CUC1" s="657"/>
      <c r="CUD1" s="657"/>
      <c r="CUE1" s="657"/>
      <c r="CUF1" s="657"/>
      <c r="CUG1" s="657"/>
      <c r="CUH1" s="657"/>
      <c r="CUI1" s="657"/>
      <c r="CUJ1" s="657"/>
      <c r="CUK1" s="657"/>
      <c r="CUL1" s="657"/>
      <c r="CUM1" s="657"/>
      <c r="CUN1" s="657"/>
      <c r="CUO1" s="657"/>
      <c r="CUP1" s="657"/>
      <c r="CUQ1" s="657"/>
      <c r="CUR1" s="657"/>
      <c r="CUS1" s="657"/>
      <c r="CUT1" s="657"/>
      <c r="CUU1" s="657"/>
      <c r="CUV1" s="657"/>
      <c r="CUW1" s="657"/>
      <c r="CUX1" s="657"/>
      <c r="CUY1" s="657"/>
      <c r="CUZ1" s="657"/>
      <c r="CVA1" s="657"/>
      <c r="CVB1" s="657"/>
      <c r="CVC1" s="657"/>
      <c r="CVD1" s="657"/>
      <c r="CVE1" s="657"/>
      <c r="CVF1" s="657"/>
      <c r="CVG1" s="657"/>
      <c r="CVH1" s="657"/>
      <c r="CVI1" s="657"/>
      <c r="CVJ1" s="657"/>
      <c r="CVK1" s="657"/>
      <c r="CVL1" s="657"/>
      <c r="CVM1" s="657"/>
      <c r="CVN1" s="657"/>
      <c r="CVO1" s="657"/>
      <c r="CVP1" s="657"/>
      <c r="CVQ1" s="657"/>
      <c r="CVR1" s="657"/>
      <c r="CVS1" s="657"/>
      <c r="CVT1" s="657"/>
      <c r="CVU1" s="657"/>
      <c r="CVV1" s="657"/>
      <c r="CVW1" s="657"/>
      <c r="CVX1" s="657"/>
      <c r="CVY1" s="657"/>
      <c r="CVZ1" s="657"/>
      <c r="CWA1" s="657"/>
      <c r="CWB1" s="657"/>
      <c r="CWC1" s="657"/>
      <c r="CWD1" s="657"/>
      <c r="CWE1" s="657"/>
      <c r="CWF1" s="657"/>
      <c r="CWG1" s="657"/>
      <c r="CWH1" s="657"/>
      <c r="CWI1" s="657"/>
      <c r="CWJ1" s="657"/>
      <c r="CWK1" s="657"/>
      <c r="CWL1" s="657"/>
      <c r="CWM1" s="657"/>
      <c r="CWN1" s="657"/>
      <c r="CWO1" s="657"/>
      <c r="CWP1" s="657"/>
      <c r="CWQ1" s="657"/>
      <c r="CWR1" s="657"/>
      <c r="CWS1" s="657"/>
      <c r="CWT1" s="657"/>
      <c r="CWU1" s="657"/>
      <c r="CWV1" s="657"/>
      <c r="CWW1" s="657"/>
      <c r="CWX1" s="657"/>
      <c r="CWY1" s="657"/>
      <c r="CWZ1" s="657"/>
      <c r="CXA1" s="657"/>
      <c r="CXB1" s="657"/>
      <c r="CXC1" s="657"/>
      <c r="CXD1" s="657"/>
      <c r="CXE1" s="657"/>
      <c r="CXF1" s="657"/>
      <c r="CXG1" s="657"/>
      <c r="CXH1" s="657"/>
      <c r="CXI1" s="657"/>
      <c r="CXJ1" s="657"/>
      <c r="CXK1" s="657"/>
      <c r="CXL1" s="657"/>
      <c r="CXM1" s="657"/>
      <c r="CXN1" s="657"/>
      <c r="CXO1" s="657"/>
      <c r="CXP1" s="657"/>
      <c r="CXQ1" s="657"/>
      <c r="CXR1" s="657"/>
      <c r="CXS1" s="657"/>
      <c r="CXT1" s="657"/>
      <c r="CXU1" s="657"/>
      <c r="CXV1" s="657"/>
      <c r="CXW1" s="657"/>
      <c r="CXX1" s="657"/>
      <c r="CXY1" s="657"/>
      <c r="CXZ1" s="657"/>
      <c r="CYA1" s="657"/>
      <c r="CYB1" s="657"/>
      <c r="CYC1" s="657"/>
      <c r="CYD1" s="657"/>
      <c r="CYE1" s="657"/>
      <c r="CYF1" s="657"/>
      <c r="CYG1" s="657"/>
      <c r="CYH1" s="657"/>
      <c r="CYI1" s="657"/>
      <c r="CYJ1" s="657"/>
      <c r="CYK1" s="657"/>
      <c r="CYL1" s="657"/>
      <c r="CYM1" s="657"/>
      <c r="CYN1" s="657"/>
      <c r="CYO1" s="657"/>
      <c r="CYP1" s="657"/>
      <c r="CYQ1" s="657"/>
      <c r="CYR1" s="657"/>
      <c r="CYS1" s="657"/>
      <c r="CYT1" s="657"/>
      <c r="CYU1" s="657"/>
      <c r="CYV1" s="657"/>
      <c r="CYW1" s="657"/>
      <c r="CYX1" s="657"/>
      <c r="CYY1" s="657"/>
      <c r="CYZ1" s="657"/>
      <c r="CZA1" s="657"/>
      <c r="CZB1" s="657"/>
      <c r="CZC1" s="657"/>
      <c r="CZD1" s="657"/>
      <c r="CZE1" s="657"/>
      <c r="CZF1" s="657"/>
      <c r="CZG1" s="657"/>
      <c r="CZH1" s="657"/>
      <c r="CZI1" s="657"/>
      <c r="CZJ1" s="657"/>
      <c r="CZK1" s="657"/>
      <c r="CZL1" s="657"/>
      <c r="CZM1" s="657"/>
      <c r="CZN1" s="657"/>
      <c r="CZO1" s="657"/>
      <c r="CZP1" s="657"/>
      <c r="CZQ1" s="657"/>
      <c r="CZR1" s="657"/>
      <c r="CZS1" s="657"/>
      <c r="CZT1" s="657"/>
      <c r="CZU1" s="657"/>
      <c r="CZV1" s="657"/>
      <c r="CZW1" s="657"/>
      <c r="CZX1" s="657"/>
      <c r="CZY1" s="657"/>
      <c r="CZZ1" s="657"/>
      <c r="DAA1" s="657"/>
      <c r="DAB1" s="657"/>
      <c r="DAC1" s="657"/>
      <c r="DAD1" s="657"/>
      <c r="DAE1" s="657"/>
      <c r="DAF1" s="657"/>
      <c r="DAG1" s="657"/>
      <c r="DAH1" s="657"/>
      <c r="DAI1" s="657"/>
      <c r="DAJ1" s="657"/>
      <c r="DAK1" s="657"/>
      <c r="DAL1" s="657"/>
      <c r="DAM1" s="657"/>
      <c r="DAN1" s="657"/>
      <c r="DAO1" s="657"/>
      <c r="DAP1" s="657"/>
      <c r="DAQ1" s="657"/>
      <c r="DAR1" s="657"/>
      <c r="DAS1" s="657"/>
      <c r="DAT1" s="657"/>
      <c r="DAU1" s="657"/>
      <c r="DAV1" s="657"/>
      <c r="DAW1" s="657"/>
      <c r="DAX1" s="657"/>
      <c r="DAY1" s="657"/>
      <c r="DAZ1" s="657"/>
      <c r="DBA1" s="657"/>
      <c r="DBB1" s="657"/>
      <c r="DBC1" s="657"/>
      <c r="DBD1" s="657"/>
      <c r="DBE1" s="657"/>
      <c r="DBF1" s="657"/>
      <c r="DBG1" s="657"/>
      <c r="DBH1" s="657"/>
      <c r="DBI1" s="657"/>
      <c r="DBJ1" s="657"/>
      <c r="DBK1" s="657"/>
      <c r="DBL1" s="657"/>
      <c r="DBM1" s="657"/>
      <c r="DBN1" s="657"/>
      <c r="DBO1" s="657"/>
      <c r="DBP1" s="657"/>
      <c r="DBQ1" s="657"/>
      <c r="DBR1" s="657"/>
      <c r="DBS1" s="657"/>
      <c r="DBT1" s="657"/>
      <c r="DBU1" s="657"/>
      <c r="DBV1" s="657"/>
      <c r="DBW1" s="657"/>
      <c r="DBX1" s="657"/>
      <c r="DBY1" s="657"/>
      <c r="DBZ1" s="657"/>
      <c r="DCA1" s="657"/>
      <c r="DCB1" s="657"/>
      <c r="DCC1" s="657"/>
      <c r="DCD1" s="657"/>
      <c r="DCE1" s="657"/>
      <c r="DCF1" s="657"/>
      <c r="DCG1" s="657"/>
      <c r="DCH1" s="657"/>
      <c r="DCI1" s="657"/>
      <c r="DCJ1" s="657"/>
      <c r="DCK1" s="657"/>
      <c r="DCL1" s="657"/>
      <c r="DCM1" s="657"/>
      <c r="DCN1" s="657"/>
      <c r="DCO1" s="657"/>
      <c r="DCP1" s="657"/>
      <c r="DCQ1" s="657"/>
      <c r="DCR1" s="657"/>
      <c r="DCS1" s="657"/>
      <c r="DCT1" s="657"/>
      <c r="DCU1" s="657"/>
      <c r="DCV1" s="657"/>
      <c r="DCW1" s="657"/>
      <c r="DCX1" s="657"/>
      <c r="DCY1" s="657"/>
      <c r="DCZ1" s="657"/>
      <c r="DDA1" s="657"/>
      <c r="DDB1" s="657"/>
      <c r="DDC1" s="657"/>
      <c r="DDD1" s="657"/>
      <c r="DDE1" s="657"/>
      <c r="DDF1" s="657"/>
      <c r="DDG1" s="657"/>
      <c r="DDH1" s="657"/>
      <c r="DDI1" s="657"/>
      <c r="DDJ1" s="657"/>
      <c r="DDK1" s="657"/>
      <c r="DDL1" s="657"/>
      <c r="DDM1" s="657"/>
      <c r="DDN1" s="657"/>
      <c r="DDO1" s="657"/>
      <c r="DDP1" s="657"/>
      <c r="DDQ1" s="657"/>
      <c r="DDR1" s="657"/>
      <c r="DDS1" s="657"/>
      <c r="DDT1" s="657"/>
      <c r="DDU1" s="657"/>
      <c r="DDV1" s="657"/>
      <c r="DDW1" s="657"/>
      <c r="DDX1" s="657"/>
      <c r="DDY1" s="657"/>
      <c r="DDZ1" s="657"/>
      <c r="DEA1" s="657"/>
      <c r="DEB1" s="657"/>
      <c r="DEC1" s="657"/>
      <c r="DED1" s="657"/>
      <c r="DEE1" s="657"/>
      <c r="DEF1" s="657"/>
      <c r="DEG1" s="657"/>
      <c r="DEH1" s="657"/>
      <c r="DEI1" s="657"/>
      <c r="DEJ1" s="657"/>
      <c r="DEK1" s="657"/>
      <c r="DEL1" s="657"/>
      <c r="DEM1" s="657"/>
      <c r="DEN1" s="657"/>
      <c r="DEO1" s="657"/>
      <c r="DEP1" s="657"/>
      <c r="DEQ1" s="657"/>
      <c r="DER1" s="657"/>
      <c r="DES1" s="657"/>
      <c r="DET1" s="657"/>
      <c r="DEU1" s="657"/>
      <c r="DEV1" s="657"/>
      <c r="DEW1" s="657"/>
      <c r="DEX1" s="657"/>
      <c r="DEY1" s="657"/>
      <c r="DEZ1" s="657"/>
      <c r="DFA1" s="657"/>
      <c r="DFB1" s="657"/>
      <c r="DFC1" s="657"/>
      <c r="DFD1" s="657"/>
      <c r="DFE1" s="657"/>
      <c r="DFF1" s="657"/>
      <c r="DFG1" s="657"/>
      <c r="DFH1" s="657"/>
      <c r="DFI1" s="657"/>
      <c r="DFJ1" s="657"/>
      <c r="DFK1" s="657"/>
      <c r="DFL1" s="657"/>
      <c r="DFM1" s="657"/>
      <c r="DFN1" s="657"/>
      <c r="DFO1" s="657"/>
      <c r="DFP1" s="657"/>
      <c r="DFQ1" s="657"/>
      <c r="DFR1" s="657"/>
      <c r="DFS1" s="657"/>
      <c r="DFT1" s="657"/>
      <c r="DFU1" s="657"/>
      <c r="DFV1" s="657"/>
      <c r="DFW1" s="657"/>
      <c r="DFX1" s="657"/>
      <c r="DFY1" s="657"/>
      <c r="DFZ1" s="657"/>
      <c r="DGA1" s="657"/>
      <c r="DGB1" s="657"/>
      <c r="DGC1" s="657"/>
      <c r="DGD1" s="657"/>
      <c r="DGE1" s="657"/>
      <c r="DGF1" s="657"/>
      <c r="DGG1" s="657"/>
      <c r="DGH1" s="657"/>
      <c r="DGI1" s="657"/>
      <c r="DGJ1" s="657"/>
      <c r="DGK1" s="657"/>
      <c r="DGL1" s="657"/>
      <c r="DGM1" s="657"/>
      <c r="DGN1" s="657"/>
      <c r="DGO1" s="657"/>
      <c r="DGP1" s="657"/>
      <c r="DGQ1" s="657"/>
      <c r="DGR1" s="657"/>
      <c r="DGS1" s="657"/>
      <c r="DGT1" s="657"/>
      <c r="DGU1" s="657"/>
      <c r="DGV1" s="657"/>
      <c r="DGW1" s="657"/>
      <c r="DGX1" s="657"/>
      <c r="DGY1" s="657"/>
      <c r="DGZ1" s="657"/>
      <c r="DHA1" s="657"/>
      <c r="DHB1" s="657"/>
      <c r="DHC1" s="657"/>
      <c r="DHD1" s="657"/>
      <c r="DHE1" s="657"/>
      <c r="DHF1" s="657"/>
      <c r="DHG1" s="657"/>
      <c r="DHH1" s="657"/>
      <c r="DHI1" s="657"/>
      <c r="DHJ1" s="657"/>
      <c r="DHK1" s="657"/>
      <c r="DHL1" s="657"/>
      <c r="DHM1" s="657"/>
      <c r="DHN1" s="657"/>
      <c r="DHO1" s="657"/>
      <c r="DHP1" s="657"/>
      <c r="DHQ1" s="657"/>
      <c r="DHR1" s="657"/>
      <c r="DHS1" s="657"/>
      <c r="DHT1" s="657"/>
      <c r="DHU1" s="657"/>
      <c r="DHV1" s="657"/>
      <c r="DHW1" s="657"/>
      <c r="DHX1" s="657"/>
      <c r="DHY1" s="657"/>
      <c r="DHZ1" s="657"/>
      <c r="DIA1" s="657"/>
      <c r="DIB1" s="657"/>
      <c r="DIC1" s="657"/>
      <c r="DID1" s="657"/>
      <c r="DIE1" s="657"/>
      <c r="DIF1" s="657"/>
      <c r="DIG1" s="657"/>
      <c r="DIH1" s="657"/>
      <c r="DII1" s="657"/>
      <c r="DIJ1" s="657"/>
      <c r="DIK1" s="657"/>
      <c r="DIL1" s="657"/>
      <c r="DIM1" s="657"/>
      <c r="DIN1" s="657"/>
      <c r="DIO1" s="657"/>
      <c r="DIP1" s="657"/>
      <c r="DIQ1" s="657"/>
      <c r="DIR1" s="657"/>
      <c r="DIS1" s="657"/>
      <c r="DIT1" s="657"/>
      <c r="DIU1" s="657"/>
      <c r="DIV1" s="657"/>
      <c r="DIW1" s="657"/>
      <c r="DIX1" s="657"/>
      <c r="DIY1" s="657"/>
      <c r="DIZ1" s="657"/>
      <c r="DJA1" s="657"/>
      <c r="DJB1" s="657"/>
      <c r="DJC1" s="657"/>
      <c r="DJD1" s="657"/>
      <c r="DJE1" s="657"/>
      <c r="DJF1" s="657"/>
      <c r="DJG1" s="657"/>
      <c r="DJH1" s="657"/>
      <c r="DJI1" s="657"/>
      <c r="DJJ1" s="657"/>
      <c r="DJK1" s="657"/>
      <c r="DJL1" s="657"/>
      <c r="DJM1" s="657"/>
      <c r="DJN1" s="657"/>
      <c r="DJO1" s="657"/>
      <c r="DJP1" s="657"/>
      <c r="DJQ1" s="657"/>
      <c r="DJR1" s="657"/>
      <c r="DJS1" s="657"/>
      <c r="DJT1" s="657"/>
      <c r="DJU1" s="657"/>
      <c r="DJV1" s="657"/>
      <c r="DJW1" s="657"/>
      <c r="DJX1" s="657"/>
      <c r="DJY1" s="657"/>
      <c r="DJZ1" s="657"/>
      <c r="DKA1" s="657"/>
      <c r="DKB1" s="657"/>
      <c r="DKC1" s="657"/>
      <c r="DKD1" s="657"/>
      <c r="DKE1" s="657"/>
      <c r="DKF1" s="657"/>
      <c r="DKG1" s="657"/>
      <c r="DKH1" s="657"/>
      <c r="DKI1" s="657"/>
      <c r="DKJ1" s="657"/>
      <c r="DKK1" s="657"/>
      <c r="DKL1" s="657"/>
      <c r="DKM1" s="657"/>
      <c r="DKN1" s="657"/>
      <c r="DKO1" s="657"/>
      <c r="DKP1" s="657"/>
      <c r="DKQ1" s="657"/>
      <c r="DKR1" s="657"/>
      <c r="DKS1" s="657"/>
      <c r="DKT1" s="657"/>
      <c r="DKU1" s="657"/>
      <c r="DKV1" s="657"/>
      <c r="DKW1" s="657"/>
      <c r="DKX1" s="657"/>
      <c r="DKY1" s="657"/>
      <c r="DKZ1" s="657"/>
      <c r="DLA1" s="657"/>
      <c r="DLB1" s="657"/>
      <c r="DLC1" s="657"/>
      <c r="DLD1" s="657"/>
      <c r="DLE1" s="657"/>
      <c r="DLF1" s="657"/>
      <c r="DLG1" s="657"/>
      <c r="DLH1" s="657"/>
      <c r="DLI1" s="657"/>
      <c r="DLJ1" s="657"/>
      <c r="DLK1" s="657"/>
      <c r="DLL1" s="657"/>
      <c r="DLM1" s="657"/>
      <c r="DLN1" s="657"/>
      <c r="DLO1" s="657"/>
      <c r="DLP1" s="657"/>
      <c r="DLQ1" s="657"/>
      <c r="DLR1" s="657"/>
      <c r="DLS1" s="657"/>
      <c r="DLT1" s="657"/>
      <c r="DLU1" s="657"/>
      <c r="DLV1" s="657"/>
      <c r="DLW1" s="657"/>
      <c r="DLX1" s="657"/>
      <c r="DLY1" s="657"/>
      <c r="DLZ1" s="657"/>
      <c r="DMA1" s="657"/>
      <c r="DMB1" s="657"/>
      <c r="DMC1" s="657"/>
      <c r="DMD1" s="657"/>
      <c r="DME1" s="657"/>
      <c r="DMF1" s="657"/>
      <c r="DMG1" s="657"/>
      <c r="DMH1" s="657"/>
      <c r="DMI1" s="657"/>
      <c r="DMJ1" s="657"/>
      <c r="DMK1" s="657"/>
      <c r="DML1" s="657"/>
      <c r="DMM1" s="657"/>
      <c r="DMN1" s="657"/>
      <c r="DMO1" s="657"/>
      <c r="DMP1" s="657"/>
      <c r="DMQ1" s="657"/>
      <c r="DMR1" s="657"/>
      <c r="DMS1" s="657"/>
      <c r="DMT1" s="657"/>
      <c r="DMU1" s="657"/>
      <c r="DMV1" s="657"/>
      <c r="DMW1" s="657"/>
      <c r="DMX1" s="657"/>
      <c r="DMY1" s="657"/>
      <c r="DMZ1" s="657"/>
      <c r="DNA1" s="657"/>
      <c r="DNB1" s="657"/>
      <c r="DNC1" s="657"/>
      <c r="DND1" s="657"/>
      <c r="DNE1" s="657"/>
      <c r="DNF1" s="657"/>
      <c r="DNG1" s="657"/>
      <c r="DNH1" s="657"/>
      <c r="DNI1" s="657"/>
      <c r="DNJ1" s="657"/>
      <c r="DNK1" s="657"/>
      <c r="DNL1" s="657"/>
      <c r="DNM1" s="657"/>
      <c r="DNN1" s="657"/>
      <c r="DNO1" s="657"/>
      <c r="DNP1" s="657"/>
      <c r="DNQ1" s="657"/>
      <c r="DNR1" s="657"/>
      <c r="DNS1" s="657"/>
      <c r="DNT1" s="657"/>
      <c r="DNU1" s="657"/>
      <c r="DNV1" s="657"/>
      <c r="DNW1" s="657"/>
      <c r="DNX1" s="657"/>
      <c r="DNY1" s="657"/>
      <c r="DNZ1" s="657"/>
      <c r="DOA1" s="657"/>
      <c r="DOB1" s="657"/>
      <c r="DOC1" s="657"/>
      <c r="DOD1" s="657"/>
      <c r="DOE1" s="657"/>
      <c r="DOF1" s="657"/>
      <c r="DOG1" s="657"/>
      <c r="DOH1" s="657"/>
      <c r="DOI1" s="657"/>
      <c r="DOJ1" s="657"/>
      <c r="DOK1" s="657"/>
      <c r="DOL1" s="657"/>
      <c r="DOM1" s="657"/>
      <c r="DON1" s="657"/>
      <c r="DOO1" s="657"/>
      <c r="DOP1" s="657"/>
      <c r="DOQ1" s="657"/>
      <c r="DOR1" s="657"/>
      <c r="DOS1" s="657"/>
      <c r="DOT1" s="657"/>
      <c r="DOU1" s="657"/>
      <c r="DOV1" s="657"/>
      <c r="DOW1" s="657"/>
      <c r="DOX1" s="657"/>
      <c r="DOY1" s="657"/>
      <c r="DOZ1" s="657"/>
      <c r="DPA1" s="657"/>
      <c r="DPB1" s="657"/>
      <c r="DPC1" s="657"/>
      <c r="DPD1" s="657"/>
      <c r="DPE1" s="657"/>
      <c r="DPF1" s="657"/>
      <c r="DPG1" s="657"/>
      <c r="DPH1" s="657"/>
      <c r="DPI1" s="657"/>
      <c r="DPJ1" s="657"/>
      <c r="DPK1" s="657"/>
      <c r="DPL1" s="657"/>
      <c r="DPM1" s="657"/>
      <c r="DPN1" s="657"/>
      <c r="DPO1" s="657"/>
      <c r="DPP1" s="657"/>
      <c r="DPQ1" s="657"/>
      <c r="DPR1" s="657"/>
      <c r="DPS1" s="657"/>
      <c r="DPT1" s="657"/>
      <c r="DPU1" s="657"/>
      <c r="DPV1" s="657"/>
      <c r="DPW1" s="657"/>
      <c r="DPX1" s="657"/>
      <c r="DPY1" s="657"/>
      <c r="DPZ1" s="657"/>
      <c r="DQA1" s="657"/>
      <c r="DQB1" s="657"/>
      <c r="DQC1" s="657"/>
      <c r="DQD1" s="657"/>
      <c r="DQE1" s="657"/>
      <c r="DQF1" s="657"/>
      <c r="DQG1" s="657"/>
      <c r="DQH1" s="657"/>
      <c r="DQI1" s="657"/>
      <c r="DQJ1" s="657"/>
      <c r="DQK1" s="657"/>
      <c r="DQL1" s="657"/>
      <c r="DQM1" s="657"/>
      <c r="DQN1" s="657"/>
      <c r="DQO1" s="657"/>
      <c r="DQP1" s="657"/>
      <c r="DQQ1" s="657"/>
      <c r="DQR1" s="657"/>
      <c r="DQS1" s="657"/>
      <c r="DQT1" s="657"/>
      <c r="DQU1" s="657"/>
      <c r="DQV1" s="657"/>
      <c r="DQW1" s="657"/>
      <c r="DQX1" s="657"/>
      <c r="DQY1" s="657"/>
      <c r="DQZ1" s="657"/>
      <c r="DRA1" s="657"/>
      <c r="DRB1" s="657"/>
      <c r="DRC1" s="657"/>
      <c r="DRD1" s="657"/>
      <c r="DRE1" s="657"/>
      <c r="DRF1" s="657"/>
      <c r="DRG1" s="657"/>
      <c r="DRH1" s="657"/>
      <c r="DRI1" s="657"/>
      <c r="DRJ1" s="657"/>
      <c r="DRK1" s="657"/>
      <c r="DRL1" s="657"/>
      <c r="DRM1" s="657"/>
      <c r="DRN1" s="657"/>
      <c r="DRO1" s="657"/>
      <c r="DRP1" s="657"/>
      <c r="DRQ1" s="657"/>
      <c r="DRR1" s="657"/>
      <c r="DRS1" s="657"/>
      <c r="DRT1" s="657"/>
      <c r="DRU1" s="657"/>
      <c r="DRV1" s="657"/>
      <c r="DRW1" s="657"/>
      <c r="DRX1" s="657"/>
      <c r="DRY1" s="657"/>
      <c r="DRZ1" s="657"/>
      <c r="DSA1" s="657"/>
      <c r="DSB1" s="657"/>
      <c r="DSC1" s="657"/>
      <c r="DSD1" s="657"/>
      <c r="DSE1" s="657"/>
      <c r="DSF1" s="657"/>
      <c r="DSG1" s="657"/>
      <c r="DSH1" s="657"/>
      <c r="DSI1" s="657"/>
      <c r="DSJ1" s="657"/>
      <c r="DSK1" s="657"/>
      <c r="DSL1" s="657"/>
      <c r="DSM1" s="657"/>
      <c r="DSN1" s="657"/>
      <c r="DSO1" s="657"/>
      <c r="DSP1" s="657"/>
      <c r="DSQ1" s="657"/>
      <c r="DSR1" s="657"/>
      <c r="DSS1" s="657"/>
      <c r="DST1" s="657"/>
      <c r="DSU1" s="657"/>
      <c r="DSV1" s="657"/>
      <c r="DSW1" s="657"/>
      <c r="DSX1" s="657"/>
      <c r="DSY1" s="657"/>
      <c r="DSZ1" s="657"/>
      <c r="DTA1" s="657"/>
      <c r="DTB1" s="657"/>
      <c r="DTC1" s="657"/>
      <c r="DTD1" s="657"/>
      <c r="DTE1" s="657"/>
      <c r="DTF1" s="657"/>
      <c r="DTG1" s="657"/>
      <c r="DTH1" s="657"/>
      <c r="DTI1" s="657"/>
      <c r="DTJ1" s="657"/>
      <c r="DTK1" s="657"/>
      <c r="DTL1" s="657"/>
      <c r="DTM1" s="657"/>
      <c r="DTN1" s="657"/>
      <c r="DTO1" s="657"/>
      <c r="DTP1" s="657"/>
      <c r="DTQ1" s="657"/>
      <c r="DTR1" s="657"/>
      <c r="DTS1" s="657"/>
      <c r="DTT1" s="657"/>
      <c r="DTU1" s="657"/>
      <c r="DTV1" s="657"/>
      <c r="DTW1" s="657"/>
      <c r="DTX1" s="657"/>
      <c r="DTY1" s="657"/>
      <c r="DTZ1" s="657"/>
      <c r="DUA1" s="657"/>
      <c r="DUB1" s="657"/>
      <c r="DUC1" s="657"/>
      <c r="DUD1" s="657"/>
      <c r="DUE1" s="657"/>
      <c r="DUF1" s="657"/>
      <c r="DUG1" s="657"/>
      <c r="DUH1" s="657"/>
      <c r="DUI1" s="657"/>
      <c r="DUJ1" s="657"/>
      <c r="DUK1" s="657"/>
      <c r="DUL1" s="657"/>
      <c r="DUM1" s="657"/>
      <c r="DUN1" s="657"/>
      <c r="DUO1" s="657"/>
      <c r="DUP1" s="657"/>
      <c r="DUQ1" s="657"/>
      <c r="DUR1" s="657"/>
      <c r="DUS1" s="657"/>
      <c r="DUT1" s="657"/>
      <c r="DUU1" s="657"/>
      <c r="DUV1" s="657"/>
      <c r="DUW1" s="657"/>
      <c r="DUX1" s="657"/>
      <c r="DUY1" s="657"/>
      <c r="DUZ1" s="657"/>
      <c r="DVA1" s="657"/>
      <c r="DVB1" s="657"/>
      <c r="DVC1" s="657"/>
      <c r="DVD1" s="657"/>
      <c r="DVE1" s="657"/>
      <c r="DVF1" s="657"/>
      <c r="DVG1" s="657"/>
      <c r="DVH1" s="657"/>
      <c r="DVI1" s="657"/>
      <c r="DVJ1" s="657"/>
      <c r="DVK1" s="657"/>
      <c r="DVL1" s="657"/>
      <c r="DVM1" s="657"/>
      <c r="DVN1" s="657"/>
      <c r="DVO1" s="657"/>
      <c r="DVP1" s="657"/>
      <c r="DVQ1" s="657"/>
      <c r="DVR1" s="657"/>
      <c r="DVS1" s="657"/>
      <c r="DVT1" s="657"/>
      <c r="DVU1" s="657"/>
      <c r="DVV1" s="657"/>
      <c r="DVW1" s="657"/>
      <c r="DVX1" s="657"/>
      <c r="DVY1" s="657"/>
      <c r="DVZ1" s="657"/>
      <c r="DWA1" s="657"/>
      <c r="DWB1" s="657"/>
      <c r="DWC1" s="657"/>
      <c r="DWD1" s="657"/>
      <c r="DWE1" s="657"/>
      <c r="DWF1" s="657"/>
      <c r="DWG1" s="657"/>
      <c r="DWH1" s="657"/>
      <c r="DWI1" s="657"/>
      <c r="DWJ1" s="657"/>
      <c r="DWK1" s="657"/>
      <c r="DWL1" s="657"/>
      <c r="DWM1" s="657"/>
      <c r="DWN1" s="657"/>
      <c r="DWO1" s="657"/>
      <c r="DWP1" s="657"/>
      <c r="DWQ1" s="657"/>
      <c r="DWR1" s="657"/>
      <c r="DWS1" s="657"/>
      <c r="DWT1" s="657"/>
      <c r="DWU1" s="657"/>
      <c r="DWV1" s="657"/>
      <c r="DWW1" s="657"/>
      <c r="DWX1" s="657"/>
      <c r="DWY1" s="657"/>
      <c r="DWZ1" s="657"/>
      <c r="DXA1" s="657"/>
      <c r="DXB1" s="657"/>
      <c r="DXC1" s="657"/>
      <c r="DXD1" s="657"/>
      <c r="DXE1" s="657"/>
      <c r="DXF1" s="657"/>
      <c r="DXG1" s="657"/>
      <c r="DXH1" s="657"/>
      <c r="DXI1" s="657"/>
      <c r="DXJ1" s="657"/>
      <c r="DXK1" s="657"/>
      <c r="DXL1" s="657"/>
      <c r="DXM1" s="657"/>
      <c r="DXN1" s="657"/>
      <c r="DXO1" s="657"/>
      <c r="DXP1" s="657"/>
      <c r="DXQ1" s="657"/>
      <c r="DXR1" s="657"/>
      <c r="DXS1" s="657"/>
      <c r="DXT1" s="657"/>
      <c r="DXU1" s="657"/>
      <c r="DXV1" s="657"/>
      <c r="DXW1" s="657"/>
      <c r="DXX1" s="657"/>
      <c r="DXY1" s="657"/>
      <c r="DXZ1" s="657"/>
      <c r="DYA1" s="657"/>
      <c r="DYB1" s="657"/>
      <c r="DYC1" s="657"/>
      <c r="DYD1" s="657"/>
      <c r="DYE1" s="657"/>
      <c r="DYF1" s="657"/>
      <c r="DYG1" s="657"/>
      <c r="DYH1" s="657"/>
      <c r="DYI1" s="657"/>
      <c r="DYJ1" s="657"/>
      <c r="DYK1" s="657"/>
      <c r="DYL1" s="657"/>
      <c r="DYM1" s="657"/>
      <c r="DYN1" s="657"/>
      <c r="DYO1" s="657"/>
      <c r="DYP1" s="657"/>
      <c r="DYQ1" s="657"/>
      <c r="DYR1" s="657"/>
      <c r="DYS1" s="657"/>
      <c r="DYT1" s="657"/>
      <c r="DYU1" s="657"/>
      <c r="DYV1" s="657"/>
      <c r="DYW1" s="657"/>
      <c r="DYX1" s="657"/>
      <c r="DYY1" s="657"/>
      <c r="DYZ1" s="657"/>
      <c r="DZA1" s="657"/>
      <c r="DZB1" s="657"/>
      <c r="DZC1" s="657"/>
      <c r="DZD1" s="657"/>
      <c r="DZE1" s="657"/>
      <c r="DZF1" s="657"/>
      <c r="DZG1" s="657"/>
      <c r="DZH1" s="657"/>
      <c r="DZI1" s="657"/>
      <c r="DZJ1" s="657"/>
      <c r="DZK1" s="657"/>
      <c r="DZL1" s="657"/>
      <c r="DZM1" s="657"/>
      <c r="DZN1" s="657"/>
      <c r="DZO1" s="657"/>
      <c r="DZP1" s="657"/>
      <c r="DZQ1" s="657"/>
      <c r="DZR1" s="657"/>
      <c r="DZS1" s="657"/>
      <c r="DZT1" s="657"/>
      <c r="DZU1" s="657"/>
      <c r="DZV1" s="657"/>
      <c r="DZW1" s="657"/>
      <c r="DZX1" s="657"/>
      <c r="DZY1" s="657"/>
      <c r="DZZ1" s="657"/>
      <c r="EAA1" s="657"/>
      <c r="EAB1" s="657"/>
      <c r="EAC1" s="657"/>
      <c r="EAD1" s="657"/>
      <c r="EAE1" s="657"/>
      <c r="EAF1" s="657"/>
      <c r="EAG1" s="657"/>
      <c r="EAH1" s="657"/>
      <c r="EAI1" s="657"/>
      <c r="EAJ1" s="657"/>
      <c r="EAK1" s="657"/>
      <c r="EAL1" s="657"/>
      <c r="EAM1" s="657"/>
      <c r="EAN1" s="657"/>
      <c r="EAO1" s="657"/>
      <c r="EAP1" s="657"/>
      <c r="EAQ1" s="657"/>
      <c r="EAR1" s="657"/>
      <c r="EAS1" s="657"/>
      <c r="EAT1" s="657"/>
      <c r="EAU1" s="657"/>
      <c r="EAV1" s="657"/>
      <c r="EAW1" s="657"/>
      <c r="EAX1" s="657"/>
      <c r="EAY1" s="657"/>
      <c r="EAZ1" s="657"/>
      <c r="EBA1" s="657"/>
      <c r="EBB1" s="657"/>
      <c r="EBC1" s="657"/>
      <c r="EBD1" s="657"/>
      <c r="EBE1" s="657"/>
      <c r="EBF1" s="657"/>
      <c r="EBG1" s="657"/>
      <c r="EBH1" s="657"/>
      <c r="EBI1" s="657"/>
      <c r="EBJ1" s="657"/>
      <c r="EBK1" s="657"/>
      <c r="EBL1" s="657"/>
      <c r="EBM1" s="657"/>
      <c r="EBN1" s="657"/>
      <c r="EBO1" s="657"/>
      <c r="EBP1" s="657"/>
      <c r="EBQ1" s="657"/>
      <c r="EBR1" s="657"/>
      <c r="EBS1" s="657"/>
      <c r="EBT1" s="657"/>
      <c r="EBU1" s="657"/>
      <c r="EBV1" s="657"/>
      <c r="EBW1" s="657"/>
      <c r="EBX1" s="657"/>
      <c r="EBY1" s="657"/>
      <c r="EBZ1" s="657"/>
      <c r="ECA1" s="657"/>
      <c r="ECB1" s="657"/>
      <c r="ECC1" s="657"/>
      <c r="ECD1" s="657"/>
      <c r="ECE1" s="657"/>
      <c r="ECF1" s="657"/>
      <c r="ECG1" s="657"/>
      <c r="ECH1" s="657"/>
      <c r="ECI1" s="657"/>
      <c r="ECJ1" s="657"/>
      <c r="ECK1" s="657"/>
      <c r="ECL1" s="657"/>
      <c r="ECM1" s="657"/>
      <c r="ECN1" s="657"/>
      <c r="ECO1" s="657"/>
      <c r="ECP1" s="657"/>
      <c r="ECQ1" s="657"/>
      <c r="ECR1" s="657"/>
      <c r="ECS1" s="657"/>
      <c r="ECT1" s="657"/>
      <c r="ECU1" s="657"/>
      <c r="ECV1" s="657"/>
      <c r="ECW1" s="657"/>
      <c r="ECX1" s="657"/>
      <c r="ECY1" s="657"/>
      <c r="ECZ1" s="657"/>
      <c r="EDA1" s="657"/>
      <c r="EDB1" s="657"/>
      <c r="EDC1" s="657"/>
      <c r="EDD1" s="657"/>
      <c r="EDE1" s="657"/>
      <c r="EDF1" s="657"/>
      <c r="EDG1" s="657"/>
      <c r="EDH1" s="657"/>
      <c r="EDI1" s="657"/>
      <c r="EDJ1" s="657"/>
      <c r="EDK1" s="657"/>
      <c r="EDL1" s="657"/>
      <c r="EDM1" s="657"/>
      <c r="EDN1" s="657"/>
      <c r="EDO1" s="657"/>
      <c r="EDP1" s="657"/>
      <c r="EDQ1" s="657"/>
      <c r="EDR1" s="657"/>
      <c r="EDS1" s="657"/>
      <c r="EDT1" s="657"/>
      <c r="EDU1" s="657"/>
      <c r="EDV1" s="657"/>
      <c r="EDW1" s="657"/>
      <c r="EDX1" s="657"/>
      <c r="EDY1" s="657"/>
      <c r="EDZ1" s="657"/>
      <c r="EEA1" s="657"/>
      <c r="EEB1" s="657"/>
      <c r="EEC1" s="657"/>
      <c r="EED1" s="657"/>
      <c r="EEE1" s="657"/>
      <c r="EEF1" s="657"/>
      <c r="EEG1" s="657"/>
      <c r="EEH1" s="657"/>
      <c r="EEI1" s="657"/>
      <c r="EEJ1" s="657"/>
      <c r="EEK1" s="657"/>
      <c r="EEL1" s="657"/>
      <c r="EEM1" s="657"/>
      <c r="EEN1" s="657"/>
      <c r="EEO1" s="657"/>
      <c r="EEP1" s="657"/>
      <c r="EEQ1" s="657"/>
      <c r="EER1" s="657"/>
      <c r="EES1" s="657"/>
      <c r="EET1" s="657"/>
      <c r="EEU1" s="657"/>
      <c r="EEV1" s="657"/>
      <c r="EEW1" s="657"/>
      <c r="EEX1" s="657"/>
      <c r="EEY1" s="657"/>
      <c r="EEZ1" s="657"/>
      <c r="EFA1" s="657"/>
      <c r="EFB1" s="657"/>
      <c r="EFC1" s="657"/>
      <c r="EFD1" s="657"/>
      <c r="EFE1" s="657"/>
      <c r="EFF1" s="657"/>
      <c r="EFG1" s="657"/>
      <c r="EFH1" s="657"/>
      <c r="EFI1" s="657"/>
      <c r="EFJ1" s="657"/>
      <c r="EFK1" s="657"/>
      <c r="EFL1" s="657"/>
      <c r="EFM1" s="657"/>
      <c r="EFN1" s="657"/>
      <c r="EFO1" s="657"/>
      <c r="EFP1" s="657"/>
      <c r="EFQ1" s="657"/>
      <c r="EFR1" s="657"/>
      <c r="EFS1" s="657"/>
      <c r="EFT1" s="657"/>
      <c r="EFU1" s="657"/>
      <c r="EFV1" s="657"/>
      <c r="EFW1" s="657"/>
      <c r="EFX1" s="657"/>
      <c r="EFY1" s="657"/>
      <c r="EFZ1" s="657"/>
      <c r="EGA1" s="657"/>
      <c r="EGB1" s="657"/>
      <c r="EGC1" s="657"/>
      <c r="EGD1" s="657"/>
      <c r="EGE1" s="657"/>
      <c r="EGF1" s="657"/>
      <c r="EGG1" s="657"/>
      <c r="EGH1" s="657"/>
      <c r="EGI1" s="657"/>
      <c r="EGJ1" s="657"/>
      <c r="EGK1" s="657"/>
      <c r="EGL1" s="657"/>
      <c r="EGM1" s="657"/>
      <c r="EGN1" s="657"/>
      <c r="EGO1" s="657"/>
      <c r="EGP1" s="657"/>
      <c r="EGQ1" s="657"/>
      <c r="EGR1" s="657"/>
      <c r="EGS1" s="657"/>
      <c r="EGT1" s="657"/>
      <c r="EGU1" s="657"/>
      <c r="EGV1" s="657"/>
      <c r="EGW1" s="657"/>
      <c r="EGX1" s="657"/>
      <c r="EGY1" s="657"/>
      <c r="EGZ1" s="657"/>
      <c r="EHA1" s="657"/>
      <c r="EHB1" s="657"/>
      <c r="EHC1" s="657"/>
      <c r="EHD1" s="657"/>
      <c r="EHE1" s="657"/>
      <c r="EHF1" s="657"/>
      <c r="EHG1" s="657"/>
      <c r="EHH1" s="657"/>
      <c r="EHI1" s="657"/>
      <c r="EHJ1" s="657"/>
      <c r="EHK1" s="657"/>
      <c r="EHL1" s="657"/>
      <c r="EHM1" s="657"/>
      <c r="EHN1" s="657"/>
      <c r="EHO1" s="657"/>
      <c r="EHP1" s="657"/>
      <c r="EHQ1" s="657"/>
      <c r="EHR1" s="657"/>
      <c r="EHS1" s="657"/>
      <c r="EHT1" s="657"/>
      <c r="EHU1" s="657"/>
      <c r="EHV1" s="657"/>
      <c r="EHW1" s="657"/>
      <c r="EHX1" s="657"/>
      <c r="EHY1" s="657"/>
      <c r="EHZ1" s="657"/>
      <c r="EIA1" s="657"/>
      <c r="EIB1" s="657"/>
      <c r="EIC1" s="657"/>
      <c r="EID1" s="657"/>
      <c r="EIE1" s="657"/>
      <c r="EIF1" s="657"/>
      <c r="EIG1" s="657"/>
      <c r="EIH1" s="657"/>
      <c r="EII1" s="657"/>
      <c r="EIJ1" s="657"/>
      <c r="EIK1" s="657"/>
      <c r="EIL1" s="657"/>
      <c r="EIM1" s="657"/>
      <c r="EIN1" s="657"/>
      <c r="EIO1" s="657"/>
      <c r="EIP1" s="657"/>
      <c r="EIQ1" s="657"/>
      <c r="EIR1" s="657"/>
      <c r="EIS1" s="657"/>
      <c r="EIT1" s="657"/>
      <c r="EIU1" s="657"/>
      <c r="EIV1" s="657"/>
      <c r="EIW1" s="657"/>
      <c r="EIX1" s="657"/>
      <c r="EIY1" s="657"/>
      <c r="EIZ1" s="657"/>
      <c r="EJA1" s="657"/>
      <c r="EJB1" s="657"/>
      <c r="EJC1" s="657"/>
      <c r="EJD1" s="657"/>
      <c r="EJE1" s="657"/>
      <c r="EJF1" s="657"/>
      <c r="EJG1" s="657"/>
      <c r="EJH1" s="657"/>
      <c r="EJI1" s="657"/>
      <c r="EJJ1" s="657"/>
      <c r="EJK1" s="657"/>
      <c r="EJL1" s="657"/>
      <c r="EJM1" s="657"/>
      <c r="EJN1" s="657"/>
      <c r="EJO1" s="657"/>
      <c r="EJP1" s="657"/>
      <c r="EJQ1" s="657"/>
      <c r="EJR1" s="657"/>
      <c r="EJS1" s="657"/>
      <c r="EJT1" s="657"/>
      <c r="EJU1" s="657"/>
      <c r="EJV1" s="657"/>
      <c r="EJW1" s="657"/>
      <c r="EJX1" s="657"/>
      <c r="EJY1" s="657"/>
      <c r="EJZ1" s="657"/>
      <c r="EKA1" s="657"/>
      <c r="EKB1" s="657"/>
      <c r="EKC1" s="657"/>
      <c r="EKD1" s="657"/>
      <c r="EKE1" s="657"/>
      <c r="EKF1" s="657"/>
      <c r="EKG1" s="657"/>
      <c r="EKH1" s="657"/>
      <c r="EKI1" s="657"/>
      <c r="EKJ1" s="657"/>
      <c r="EKK1" s="657"/>
      <c r="EKL1" s="657"/>
      <c r="EKM1" s="657"/>
      <c r="EKN1" s="657"/>
      <c r="EKO1" s="657"/>
      <c r="EKP1" s="657"/>
      <c r="EKQ1" s="657"/>
      <c r="EKR1" s="657"/>
      <c r="EKS1" s="657"/>
      <c r="EKT1" s="657"/>
      <c r="EKU1" s="657"/>
      <c r="EKV1" s="657"/>
      <c r="EKW1" s="657"/>
      <c r="EKX1" s="657"/>
      <c r="EKY1" s="657"/>
      <c r="EKZ1" s="657"/>
      <c r="ELA1" s="657"/>
      <c r="ELB1" s="657"/>
      <c r="ELC1" s="657"/>
      <c r="ELD1" s="657"/>
      <c r="ELE1" s="657"/>
      <c r="ELF1" s="657"/>
      <c r="ELG1" s="657"/>
      <c r="ELH1" s="657"/>
      <c r="ELI1" s="657"/>
      <c r="ELJ1" s="657"/>
      <c r="ELK1" s="657"/>
      <c r="ELL1" s="657"/>
      <c r="ELM1" s="657"/>
      <c r="ELN1" s="657"/>
      <c r="ELO1" s="657"/>
      <c r="ELP1" s="657"/>
      <c r="ELQ1" s="657"/>
      <c r="ELR1" s="657"/>
      <c r="ELS1" s="657"/>
      <c r="ELT1" s="657"/>
      <c r="ELU1" s="657"/>
      <c r="ELV1" s="657"/>
      <c r="ELW1" s="657"/>
      <c r="ELX1" s="657"/>
      <c r="ELY1" s="657"/>
      <c r="ELZ1" s="657"/>
      <c r="EMA1" s="657"/>
      <c r="EMB1" s="657"/>
      <c r="EMC1" s="657"/>
      <c r="EMD1" s="657"/>
      <c r="EME1" s="657"/>
      <c r="EMF1" s="657"/>
      <c r="EMG1" s="657"/>
      <c r="EMH1" s="657"/>
      <c r="EMI1" s="657"/>
      <c r="EMJ1" s="657"/>
      <c r="EMK1" s="657"/>
      <c r="EML1" s="657"/>
      <c r="EMM1" s="657"/>
      <c r="EMN1" s="657"/>
      <c r="EMO1" s="657"/>
      <c r="EMP1" s="657"/>
      <c r="EMQ1" s="657"/>
      <c r="EMR1" s="657"/>
      <c r="EMS1" s="657"/>
      <c r="EMT1" s="657"/>
      <c r="EMU1" s="657"/>
      <c r="EMV1" s="657"/>
      <c r="EMW1" s="657"/>
      <c r="EMX1" s="657"/>
      <c r="EMY1" s="657"/>
      <c r="EMZ1" s="657"/>
      <c r="ENA1" s="657"/>
      <c r="ENB1" s="657"/>
      <c r="ENC1" s="657"/>
      <c r="END1" s="657"/>
      <c r="ENE1" s="657"/>
      <c r="ENF1" s="657"/>
      <c r="ENG1" s="657"/>
      <c r="ENH1" s="657"/>
      <c r="ENI1" s="657"/>
      <c r="ENJ1" s="657"/>
      <c r="ENK1" s="657"/>
      <c r="ENL1" s="657"/>
      <c r="ENM1" s="657"/>
      <c r="ENN1" s="657"/>
      <c r="ENO1" s="657"/>
      <c r="ENP1" s="657"/>
      <c r="ENQ1" s="657"/>
      <c r="ENR1" s="657"/>
      <c r="ENS1" s="657"/>
      <c r="ENT1" s="657"/>
      <c r="ENU1" s="657"/>
      <c r="ENV1" s="657"/>
      <c r="ENW1" s="657"/>
      <c r="ENX1" s="657"/>
      <c r="ENY1" s="657"/>
      <c r="ENZ1" s="657"/>
      <c r="EOA1" s="657"/>
      <c r="EOB1" s="657"/>
      <c r="EOC1" s="657"/>
      <c r="EOD1" s="657"/>
      <c r="EOE1" s="657"/>
      <c r="EOF1" s="657"/>
      <c r="EOG1" s="657"/>
      <c r="EOH1" s="657"/>
      <c r="EOI1" s="657"/>
      <c r="EOJ1" s="657"/>
      <c r="EOK1" s="657"/>
      <c r="EOL1" s="657"/>
      <c r="EOM1" s="657"/>
      <c r="EON1" s="657"/>
      <c r="EOO1" s="657"/>
      <c r="EOP1" s="657"/>
      <c r="EOQ1" s="657"/>
      <c r="EOR1" s="657"/>
      <c r="EOS1" s="657"/>
      <c r="EOT1" s="657"/>
      <c r="EOU1" s="657"/>
      <c r="EOV1" s="657"/>
      <c r="EOW1" s="657"/>
      <c r="EOX1" s="657"/>
      <c r="EOY1" s="657"/>
      <c r="EOZ1" s="657"/>
      <c r="EPA1" s="657"/>
      <c r="EPB1" s="657"/>
      <c r="EPC1" s="657"/>
      <c r="EPD1" s="657"/>
      <c r="EPE1" s="657"/>
      <c r="EPF1" s="657"/>
      <c r="EPG1" s="657"/>
      <c r="EPH1" s="657"/>
      <c r="EPI1" s="657"/>
      <c r="EPJ1" s="657"/>
      <c r="EPK1" s="657"/>
      <c r="EPL1" s="657"/>
      <c r="EPM1" s="657"/>
      <c r="EPN1" s="657"/>
      <c r="EPO1" s="657"/>
      <c r="EPP1" s="657"/>
      <c r="EPQ1" s="657"/>
      <c r="EPR1" s="657"/>
      <c r="EPS1" s="657"/>
      <c r="EPT1" s="657"/>
      <c r="EPU1" s="657"/>
      <c r="EPV1" s="657"/>
      <c r="EPW1" s="657"/>
      <c r="EPX1" s="657"/>
      <c r="EPY1" s="657"/>
      <c r="EPZ1" s="657"/>
      <c r="EQA1" s="657"/>
      <c r="EQB1" s="657"/>
      <c r="EQC1" s="657"/>
      <c r="EQD1" s="657"/>
      <c r="EQE1" s="657"/>
      <c r="EQF1" s="657"/>
      <c r="EQG1" s="657"/>
      <c r="EQH1" s="657"/>
      <c r="EQI1" s="657"/>
      <c r="EQJ1" s="657"/>
      <c r="EQK1" s="657"/>
      <c r="EQL1" s="657"/>
      <c r="EQM1" s="657"/>
      <c r="EQN1" s="657"/>
      <c r="EQO1" s="657"/>
      <c r="EQP1" s="657"/>
      <c r="EQQ1" s="657"/>
      <c r="EQR1" s="657"/>
      <c r="EQS1" s="657"/>
      <c r="EQT1" s="657"/>
      <c r="EQU1" s="657"/>
      <c r="EQV1" s="657"/>
      <c r="EQW1" s="657"/>
      <c r="EQX1" s="657"/>
      <c r="EQY1" s="657"/>
      <c r="EQZ1" s="657"/>
      <c r="ERA1" s="657"/>
      <c r="ERB1" s="657"/>
      <c r="ERC1" s="657"/>
      <c r="ERD1" s="657"/>
      <c r="ERE1" s="657"/>
      <c r="ERF1" s="657"/>
      <c r="ERG1" s="657"/>
      <c r="ERH1" s="657"/>
      <c r="ERI1" s="657"/>
      <c r="ERJ1" s="657"/>
      <c r="ERK1" s="657"/>
      <c r="ERL1" s="657"/>
      <c r="ERM1" s="657"/>
      <c r="ERN1" s="657"/>
      <c r="ERO1" s="657"/>
      <c r="ERP1" s="657"/>
      <c r="ERQ1" s="657"/>
      <c r="ERR1" s="657"/>
      <c r="ERS1" s="657"/>
      <c r="ERT1" s="657"/>
      <c r="ERU1" s="657"/>
      <c r="ERV1" s="657"/>
      <c r="ERW1" s="657"/>
      <c r="ERX1" s="657"/>
      <c r="ERY1" s="657"/>
      <c r="ERZ1" s="657"/>
      <c r="ESA1" s="657"/>
      <c r="ESB1" s="657"/>
      <c r="ESC1" s="657"/>
      <c r="ESD1" s="657"/>
      <c r="ESE1" s="657"/>
      <c r="ESF1" s="657"/>
      <c r="ESG1" s="657"/>
      <c r="ESH1" s="657"/>
      <c r="ESI1" s="657"/>
      <c r="ESJ1" s="657"/>
      <c r="ESK1" s="657"/>
      <c r="ESL1" s="657"/>
      <c r="ESM1" s="657"/>
      <c r="ESN1" s="657"/>
      <c r="ESO1" s="657"/>
      <c r="ESP1" s="657"/>
      <c r="ESQ1" s="657"/>
      <c r="ESR1" s="657"/>
      <c r="ESS1" s="657"/>
      <c r="EST1" s="657"/>
      <c r="ESU1" s="657"/>
      <c r="ESV1" s="657"/>
      <c r="ESW1" s="657"/>
      <c r="ESX1" s="657"/>
      <c r="ESY1" s="657"/>
      <c r="ESZ1" s="657"/>
      <c r="ETA1" s="657"/>
      <c r="ETB1" s="657"/>
      <c r="ETC1" s="657"/>
      <c r="ETD1" s="657"/>
      <c r="ETE1" s="657"/>
      <c r="ETF1" s="657"/>
      <c r="ETG1" s="657"/>
      <c r="ETH1" s="657"/>
      <c r="ETI1" s="657"/>
      <c r="ETJ1" s="657"/>
      <c r="ETK1" s="657"/>
      <c r="ETL1" s="657"/>
      <c r="ETM1" s="657"/>
      <c r="ETN1" s="657"/>
      <c r="ETO1" s="657"/>
      <c r="ETP1" s="657"/>
      <c r="ETQ1" s="657"/>
      <c r="ETR1" s="657"/>
      <c r="ETS1" s="657"/>
      <c r="ETT1" s="657"/>
      <c r="ETU1" s="657"/>
      <c r="ETV1" s="657"/>
      <c r="ETW1" s="657"/>
      <c r="ETX1" s="657"/>
      <c r="ETY1" s="657"/>
      <c r="ETZ1" s="657"/>
      <c r="EUA1" s="657"/>
      <c r="EUB1" s="657"/>
      <c r="EUC1" s="657"/>
      <c r="EUD1" s="657"/>
      <c r="EUE1" s="657"/>
      <c r="EUF1" s="657"/>
      <c r="EUG1" s="657"/>
      <c r="EUH1" s="657"/>
      <c r="EUI1" s="657"/>
      <c r="EUJ1" s="657"/>
      <c r="EUK1" s="657"/>
      <c r="EUL1" s="657"/>
      <c r="EUM1" s="657"/>
      <c r="EUN1" s="657"/>
      <c r="EUO1" s="657"/>
      <c r="EUP1" s="657"/>
      <c r="EUQ1" s="657"/>
      <c r="EUR1" s="657"/>
      <c r="EUS1" s="657"/>
      <c r="EUT1" s="657"/>
      <c r="EUU1" s="657"/>
      <c r="EUV1" s="657"/>
      <c r="EUW1" s="657"/>
      <c r="EUX1" s="657"/>
      <c r="EUY1" s="657"/>
      <c r="EUZ1" s="657"/>
      <c r="EVA1" s="657"/>
      <c r="EVB1" s="657"/>
      <c r="EVC1" s="657"/>
      <c r="EVD1" s="657"/>
      <c r="EVE1" s="657"/>
      <c r="EVF1" s="657"/>
      <c r="EVG1" s="657"/>
      <c r="EVH1" s="657"/>
      <c r="EVI1" s="657"/>
      <c r="EVJ1" s="657"/>
      <c r="EVK1" s="657"/>
      <c r="EVL1" s="657"/>
      <c r="EVM1" s="657"/>
      <c r="EVN1" s="657"/>
      <c r="EVO1" s="657"/>
      <c r="EVP1" s="657"/>
      <c r="EVQ1" s="657"/>
      <c r="EVR1" s="657"/>
      <c r="EVS1" s="657"/>
      <c r="EVT1" s="657"/>
      <c r="EVU1" s="657"/>
      <c r="EVV1" s="657"/>
      <c r="EVW1" s="657"/>
      <c r="EVX1" s="657"/>
      <c r="EVY1" s="657"/>
      <c r="EVZ1" s="657"/>
      <c r="EWA1" s="657"/>
      <c r="EWB1" s="657"/>
      <c r="EWC1" s="657"/>
      <c r="EWD1" s="657"/>
      <c r="EWE1" s="657"/>
      <c r="EWF1" s="657"/>
      <c r="EWG1" s="657"/>
      <c r="EWH1" s="657"/>
      <c r="EWI1" s="657"/>
      <c r="EWJ1" s="657"/>
      <c r="EWK1" s="657"/>
      <c r="EWL1" s="657"/>
      <c r="EWM1" s="657"/>
      <c r="EWN1" s="657"/>
      <c r="EWO1" s="657"/>
      <c r="EWP1" s="657"/>
      <c r="EWQ1" s="657"/>
      <c r="EWR1" s="657"/>
      <c r="EWS1" s="657"/>
      <c r="EWT1" s="657"/>
      <c r="EWU1" s="657"/>
      <c r="EWV1" s="657"/>
      <c r="EWW1" s="657"/>
      <c r="EWX1" s="657"/>
      <c r="EWY1" s="657"/>
      <c r="EWZ1" s="657"/>
      <c r="EXA1" s="657"/>
      <c r="EXB1" s="657"/>
      <c r="EXC1" s="657"/>
      <c r="EXD1" s="657"/>
      <c r="EXE1" s="657"/>
      <c r="EXF1" s="657"/>
      <c r="EXG1" s="657"/>
      <c r="EXH1" s="657"/>
      <c r="EXI1" s="657"/>
      <c r="EXJ1" s="657"/>
      <c r="EXK1" s="657"/>
      <c r="EXL1" s="657"/>
      <c r="EXM1" s="657"/>
      <c r="EXN1" s="657"/>
      <c r="EXO1" s="657"/>
      <c r="EXP1" s="657"/>
      <c r="EXQ1" s="657"/>
      <c r="EXR1" s="657"/>
      <c r="EXS1" s="657"/>
      <c r="EXT1" s="657"/>
      <c r="EXU1" s="657"/>
      <c r="EXV1" s="657"/>
      <c r="EXW1" s="657"/>
      <c r="EXX1" s="657"/>
      <c r="EXY1" s="657"/>
      <c r="EXZ1" s="657"/>
      <c r="EYA1" s="657"/>
      <c r="EYB1" s="657"/>
      <c r="EYC1" s="657"/>
      <c r="EYD1" s="657"/>
      <c r="EYE1" s="657"/>
      <c r="EYF1" s="657"/>
      <c r="EYG1" s="657"/>
      <c r="EYH1" s="657"/>
      <c r="EYI1" s="657"/>
      <c r="EYJ1" s="657"/>
      <c r="EYK1" s="657"/>
      <c r="EYL1" s="657"/>
      <c r="EYM1" s="657"/>
      <c r="EYN1" s="657"/>
      <c r="EYO1" s="657"/>
      <c r="EYP1" s="657"/>
      <c r="EYQ1" s="657"/>
      <c r="EYR1" s="657"/>
      <c r="EYS1" s="657"/>
      <c r="EYT1" s="657"/>
      <c r="EYU1" s="657"/>
      <c r="EYV1" s="657"/>
      <c r="EYW1" s="657"/>
      <c r="EYX1" s="657"/>
      <c r="EYY1" s="657"/>
      <c r="EYZ1" s="657"/>
      <c r="EZA1" s="657"/>
      <c r="EZB1" s="657"/>
      <c r="EZC1" s="657"/>
      <c r="EZD1" s="657"/>
      <c r="EZE1" s="657"/>
      <c r="EZF1" s="657"/>
      <c r="EZG1" s="657"/>
      <c r="EZH1" s="657"/>
      <c r="EZI1" s="657"/>
      <c r="EZJ1" s="657"/>
      <c r="EZK1" s="657"/>
      <c r="EZL1" s="657"/>
      <c r="EZM1" s="657"/>
      <c r="EZN1" s="657"/>
      <c r="EZO1" s="657"/>
      <c r="EZP1" s="657"/>
      <c r="EZQ1" s="657"/>
      <c r="EZR1" s="657"/>
      <c r="EZS1" s="657"/>
      <c r="EZT1" s="657"/>
      <c r="EZU1" s="657"/>
      <c r="EZV1" s="657"/>
      <c r="EZW1" s="657"/>
      <c r="EZX1" s="657"/>
      <c r="EZY1" s="657"/>
      <c r="EZZ1" s="657"/>
      <c r="FAA1" s="657"/>
      <c r="FAB1" s="657"/>
      <c r="FAC1" s="657"/>
      <c r="FAD1" s="657"/>
      <c r="FAE1" s="657"/>
      <c r="FAF1" s="657"/>
      <c r="FAG1" s="657"/>
      <c r="FAH1" s="657"/>
      <c r="FAI1" s="657"/>
      <c r="FAJ1" s="657"/>
      <c r="FAK1" s="657"/>
      <c r="FAL1" s="657"/>
      <c r="FAM1" s="657"/>
      <c r="FAN1" s="657"/>
      <c r="FAO1" s="657"/>
      <c r="FAP1" s="657"/>
      <c r="FAQ1" s="657"/>
      <c r="FAR1" s="657"/>
      <c r="FAS1" s="657"/>
      <c r="FAT1" s="657"/>
      <c r="FAU1" s="657"/>
      <c r="FAV1" s="657"/>
      <c r="FAW1" s="657"/>
      <c r="FAX1" s="657"/>
      <c r="FAY1" s="657"/>
      <c r="FAZ1" s="657"/>
      <c r="FBA1" s="657"/>
      <c r="FBB1" s="657"/>
      <c r="FBC1" s="657"/>
      <c r="FBD1" s="657"/>
      <c r="FBE1" s="657"/>
      <c r="FBF1" s="657"/>
      <c r="FBG1" s="657"/>
      <c r="FBH1" s="657"/>
      <c r="FBI1" s="657"/>
      <c r="FBJ1" s="657"/>
      <c r="FBK1" s="657"/>
      <c r="FBL1" s="657"/>
      <c r="FBM1" s="657"/>
      <c r="FBN1" s="657"/>
      <c r="FBO1" s="657"/>
      <c r="FBP1" s="657"/>
      <c r="FBQ1" s="657"/>
      <c r="FBR1" s="657"/>
      <c r="FBS1" s="657"/>
      <c r="FBT1" s="657"/>
      <c r="FBU1" s="657"/>
      <c r="FBV1" s="657"/>
      <c r="FBW1" s="657"/>
      <c r="FBX1" s="657"/>
      <c r="FBY1" s="657"/>
      <c r="FBZ1" s="657"/>
      <c r="FCA1" s="657"/>
      <c r="FCB1" s="657"/>
      <c r="FCC1" s="657"/>
      <c r="FCD1" s="657"/>
      <c r="FCE1" s="657"/>
      <c r="FCF1" s="657"/>
      <c r="FCG1" s="657"/>
      <c r="FCH1" s="657"/>
      <c r="FCI1" s="657"/>
      <c r="FCJ1" s="657"/>
      <c r="FCK1" s="657"/>
      <c r="FCL1" s="657"/>
      <c r="FCM1" s="657"/>
      <c r="FCN1" s="657"/>
      <c r="FCO1" s="657"/>
      <c r="FCP1" s="657"/>
      <c r="FCQ1" s="657"/>
      <c r="FCR1" s="657"/>
      <c r="FCS1" s="657"/>
      <c r="FCT1" s="657"/>
      <c r="FCU1" s="657"/>
      <c r="FCV1" s="657"/>
      <c r="FCW1" s="657"/>
      <c r="FCX1" s="657"/>
      <c r="FCY1" s="657"/>
      <c r="FCZ1" s="657"/>
      <c r="FDA1" s="657"/>
      <c r="FDB1" s="657"/>
      <c r="FDC1" s="657"/>
      <c r="FDD1" s="657"/>
      <c r="FDE1" s="657"/>
      <c r="FDF1" s="657"/>
      <c r="FDG1" s="657"/>
      <c r="FDH1" s="657"/>
      <c r="FDI1" s="657"/>
      <c r="FDJ1" s="657"/>
      <c r="FDK1" s="657"/>
      <c r="FDL1" s="657"/>
      <c r="FDM1" s="657"/>
      <c r="FDN1" s="657"/>
      <c r="FDO1" s="657"/>
      <c r="FDP1" s="657"/>
      <c r="FDQ1" s="657"/>
      <c r="FDR1" s="657"/>
      <c r="FDS1" s="657"/>
      <c r="FDT1" s="657"/>
      <c r="FDU1" s="657"/>
      <c r="FDV1" s="657"/>
      <c r="FDW1" s="657"/>
      <c r="FDX1" s="657"/>
      <c r="FDY1" s="657"/>
      <c r="FDZ1" s="657"/>
      <c r="FEA1" s="657"/>
      <c r="FEB1" s="657"/>
      <c r="FEC1" s="657"/>
      <c r="FED1" s="657"/>
      <c r="FEE1" s="657"/>
      <c r="FEF1" s="657"/>
      <c r="FEG1" s="657"/>
      <c r="FEH1" s="657"/>
      <c r="FEI1" s="657"/>
      <c r="FEJ1" s="657"/>
      <c r="FEK1" s="657"/>
      <c r="FEL1" s="657"/>
      <c r="FEM1" s="657"/>
      <c r="FEN1" s="657"/>
      <c r="FEO1" s="657"/>
      <c r="FEP1" s="657"/>
      <c r="FEQ1" s="657"/>
      <c r="FER1" s="657"/>
      <c r="FES1" s="657"/>
      <c r="FET1" s="657"/>
      <c r="FEU1" s="657"/>
      <c r="FEV1" s="657"/>
      <c r="FEW1" s="657"/>
      <c r="FEX1" s="657"/>
      <c r="FEY1" s="657"/>
      <c r="FEZ1" s="657"/>
      <c r="FFA1" s="657"/>
      <c r="FFB1" s="657"/>
      <c r="FFC1" s="657"/>
      <c r="FFD1" s="657"/>
      <c r="FFE1" s="657"/>
      <c r="FFF1" s="657"/>
      <c r="FFG1" s="657"/>
      <c r="FFH1" s="657"/>
      <c r="FFI1" s="657"/>
      <c r="FFJ1" s="657"/>
      <c r="FFK1" s="657"/>
      <c r="FFL1" s="657"/>
      <c r="FFM1" s="657"/>
      <c r="FFN1" s="657"/>
      <c r="FFO1" s="657"/>
      <c r="FFP1" s="657"/>
      <c r="FFQ1" s="657"/>
      <c r="FFR1" s="657"/>
      <c r="FFS1" s="657"/>
      <c r="FFT1" s="657"/>
      <c r="FFU1" s="657"/>
      <c r="FFV1" s="657"/>
      <c r="FFW1" s="657"/>
      <c r="FFX1" s="657"/>
      <c r="FFY1" s="657"/>
      <c r="FFZ1" s="657"/>
      <c r="FGA1" s="657"/>
      <c r="FGB1" s="657"/>
      <c r="FGC1" s="657"/>
      <c r="FGD1" s="657"/>
      <c r="FGE1" s="657"/>
      <c r="FGF1" s="657"/>
      <c r="FGG1" s="657"/>
      <c r="FGH1" s="657"/>
      <c r="FGI1" s="657"/>
      <c r="FGJ1" s="657"/>
      <c r="FGK1" s="657"/>
      <c r="FGL1" s="657"/>
      <c r="FGM1" s="657"/>
      <c r="FGN1" s="657"/>
      <c r="FGO1" s="657"/>
      <c r="FGP1" s="657"/>
      <c r="FGQ1" s="657"/>
      <c r="FGR1" s="657"/>
      <c r="FGS1" s="657"/>
      <c r="FGT1" s="657"/>
      <c r="FGU1" s="657"/>
      <c r="FGV1" s="657"/>
      <c r="FGW1" s="657"/>
      <c r="FGX1" s="657"/>
      <c r="FGY1" s="657"/>
      <c r="FGZ1" s="657"/>
      <c r="FHA1" s="657"/>
      <c r="FHB1" s="657"/>
      <c r="FHC1" s="657"/>
      <c r="FHD1" s="657"/>
      <c r="FHE1" s="657"/>
      <c r="FHF1" s="657"/>
      <c r="FHG1" s="657"/>
      <c r="FHH1" s="657"/>
      <c r="FHI1" s="657"/>
      <c r="FHJ1" s="657"/>
      <c r="FHK1" s="657"/>
      <c r="FHL1" s="657"/>
      <c r="FHM1" s="657"/>
      <c r="FHN1" s="657"/>
      <c r="FHO1" s="657"/>
      <c r="FHP1" s="657"/>
      <c r="FHQ1" s="657"/>
      <c r="FHR1" s="657"/>
      <c r="FHS1" s="657"/>
      <c r="FHT1" s="657"/>
      <c r="FHU1" s="657"/>
      <c r="FHV1" s="657"/>
      <c r="FHW1" s="657"/>
      <c r="FHX1" s="657"/>
      <c r="FHY1" s="657"/>
      <c r="FHZ1" s="657"/>
      <c r="FIA1" s="657"/>
      <c r="FIB1" s="657"/>
      <c r="FIC1" s="657"/>
      <c r="FID1" s="657"/>
      <c r="FIE1" s="657"/>
      <c r="FIF1" s="657"/>
      <c r="FIG1" s="657"/>
      <c r="FIH1" s="657"/>
      <c r="FII1" s="657"/>
      <c r="FIJ1" s="657"/>
      <c r="FIK1" s="657"/>
      <c r="FIL1" s="657"/>
      <c r="FIM1" s="657"/>
      <c r="FIN1" s="657"/>
      <c r="FIO1" s="657"/>
      <c r="FIP1" s="657"/>
      <c r="FIQ1" s="657"/>
      <c r="FIR1" s="657"/>
      <c r="FIS1" s="657"/>
      <c r="FIT1" s="657"/>
      <c r="FIU1" s="657"/>
      <c r="FIV1" s="657"/>
      <c r="FIW1" s="657"/>
      <c r="FIX1" s="657"/>
      <c r="FIY1" s="657"/>
      <c r="FIZ1" s="657"/>
      <c r="FJA1" s="657"/>
      <c r="FJB1" s="657"/>
      <c r="FJC1" s="657"/>
      <c r="FJD1" s="657"/>
      <c r="FJE1" s="657"/>
      <c r="FJF1" s="657"/>
      <c r="FJG1" s="657"/>
      <c r="FJH1" s="657"/>
      <c r="FJI1" s="657"/>
      <c r="FJJ1" s="657"/>
      <c r="FJK1" s="657"/>
      <c r="FJL1" s="657"/>
      <c r="FJM1" s="657"/>
      <c r="FJN1" s="657"/>
      <c r="FJO1" s="657"/>
      <c r="FJP1" s="657"/>
      <c r="FJQ1" s="657"/>
      <c r="FJR1" s="657"/>
      <c r="FJS1" s="657"/>
      <c r="FJT1" s="657"/>
      <c r="FJU1" s="657"/>
      <c r="FJV1" s="657"/>
      <c r="FJW1" s="657"/>
      <c r="FJX1" s="657"/>
      <c r="FJY1" s="657"/>
      <c r="FJZ1" s="657"/>
      <c r="FKA1" s="657"/>
      <c r="FKB1" s="657"/>
      <c r="FKC1" s="657"/>
      <c r="FKD1" s="657"/>
      <c r="FKE1" s="657"/>
      <c r="FKF1" s="657"/>
      <c r="FKG1" s="657"/>
      <c r="FKH1" s="657"/>
      <c r="FKI1" s="657"/>
      <c r="FKJ1" s="657"/>
      <c r="FKK1" s="657"/>
      <c r="FKL1" s="657"/>
      <c r="FKM1" s="657"/>
      <c r="FKN1" s="657"/>
      <c r="FKO1" s="657"/>
      <c r="FKP1" s="657"/>
      <c r="FKQ1" s="657"/>
      <c r="FKR1" s="657"/>
      <c r="FKS1" s="657"/>
      <c r="FKT1" s="657"/>
      <c r="FKU1" s="657"/>
      <c r="FKV1" s="657"/>
      <c r="FKW1" s="657"/>
      <c r="FKX1" s="657"/>
      <c r="FKY1" s="657"/>
      <c r="FKZ1" s="657"/>
      <c r="FLA1" s="657"/>
      <c r="FLB1" s="657"/>
      <c r="FLC1" s="657"/>
      <c r="FLD1" s="657"/>
      <c r="FLE1" s="657"/>
      <c r="FLF1" s="657"/>
      <c r="FLG1" s="657"/>
      <c r="FLH1" s="657"/>
      <c r="FLI1" s="657"/>
      <c r="FLJ1" s="657"/>
      <c r="FLK1" s="657"/>
      <c r="FLL1" s="657"/>
      <c r="FLM1" s="657"/>
      <c r="FLN1" s="657"/>
      <c r="FLO1" s="657"/>
      <c r="FLP1" s="657"/>
      <c r="FLQ1" s="657"/>
      <c r="FLR1" s="657"/>
      <c r="FLS1" s="657"/>
      <c r="FLT1" s="657"/>
      <c r="FLU1" s="657"/>
      <c r="FLV1" s="657"/>
      <c r="FLW1" s="657"/>
      <c r="FLX1" s="657"/>
      <c r="FLY1" s="657"/>
      <c r="FLZ1" s="657"/>
      <c r="FMA1" s="657"/>
      <c r="FMB1" s="657"/>
      <c r="FMC1" s="657"/>
      <c r="FMD1" s="657"/>
      <c r="FME1" s="657"/>
      <c r="FMF1" s="657"/>
      <c r="FMG1" s="657"/>
      <c r="FMH1" s="657"/>
      <c r="FMI1" s="657"/>
      <c r="FMJ1" s="657"/>
      <c r="FMK1" s="657"/>
      <c r="FML1" s="657"/>
      <c r="FMM1" s="657"/>
      <c r="FMN1" s="657"/>
      <c r="FMO1" s="657"/>
      <c r="FMP1" s="657"/>
      <c r="FMQ1" s="657"/>
      <c r="FMR1" s="657"/>
      <c r="FMS1" s="657"/>
      <c r="FMT1" s="657"/>
      <c r="FMU1" s="657"/>
      <c r="FMV1" s="657"/>
      <c r="FMW1" s="657"/>
      <c r="FMX1" s="657"/>
      <c r="FMY1" s="657"/>
      <c r="FMZ1" s="657"/>
      <c r="FNA1" s="657"/>
      <c r="FNB1" s="657"/>
      <c r="FNC1" s="657"/>
      <c r="FND1" s="657"/>
      <c r="FNE1" s="657"/>
      <c r="FNF1" s="657"/>
      <c r="FNG1" s="657"/>
      <c r="FNH1" s="657"/>
      <c r="FNI1" s="657"/>
      <c r="FNJ1" s="657"/>
      <c r="FNK1" s="657"/>
      <c r="FNL1" s="657"/>
      <c r="FNM1" s="657"/>
      <c r="FNN1" s="657"/>
      <c r="FNO1" s="657"/>
      <c r="FNP1" s="657"/>
      <c r="FNQ1" s="657"/>
      <c r="FNR1" s="657"/>
      <c r="FNS1" s="657"/>
      <c r="FNT1" s="657"/>
      <c r="FNU1" s="657"/>
      <c r="FNV1" s="657"/>
      <c r="FNW1" s="657"/>
      <c r="FNX1" s="657"/>
      <c r="FNY1" s="657"/>
      <c r="FNZ1" s="657"/>
      <c r="FOA1" s="657"/>
      <c r="FOB1" s="657"/>
      <c r="FOC1" s="657"/>
      <c r="FOD1" s="657"/>
      <c r="FOE1" s="657"/>
      <c r="FOF1" s="657"/>
      <c r="FOG1" s="657"/>
      <c r="FOH1" s="657"/>
      <c r="FOI1" s="657"/>
      <c r="FOJ1" s="657"/>
      <c r="FOK1" s="657"/>
      <c r="FOL1" s="657"/>
      <c r="FOM1" s="657"/>
      <c r="FON1" s="657"/>
      <c r="FOO1" s="657"/>
      <c r="FOP1" s="657"/>
      <c r="FOQ1" s="657"/>
      <c r="FOR1" s="657"/>
      <c r="FOS1" s="657"/>
      <c r="FOT1" s="657"/>
      <c r="FOU1" s="657"/>
      <c r="FOV1" s="657"/>
      <c r="FOW1" s="657"/>
      <c r="FOX1" s="657"/>
      <c r="FOY1" s="657"/>
      <c r="FOZ1" s="657"/>
      <c r="FPA1" s="657"/>
      <c r="FPB1" s="657"/>
      <c r="FPC1" s="657"/>
      <c r="FPD1" s="657"/>
      <c r="FPE1" s="657"/>
      <c r="FPF1" s="657"/>
      <c r="FPG1" s="657"/>
      <c r="FPH1" s="657"/>
      <c r="FPI1" s="657"/>
      <c r="FPJ1" s="657"/>
      <c r="FPK1" s="657"/>
      <c r="FPL1" s="657"/>
      <c r="FPM1" s="657"/>
      <c r="FPN1" s="657"/>
      <c r="FPO1" s="657"/>
      <c r="FPP1" s="657"/>
      <c r="FPQ1" s="657"/>
      <c r="FPR1" s="657"/>
      <c r="FPS1" s="657"/>
      <c r="FPT1" s="657"/>
      <c r="FPU1" s="657"/>
      <c r="FPV1" s="657"/>
      <c r="FPW1" s="657"/>
      <c r="FPX1" s="657"/>
      <c r="FPY1" s="657"/>
      <c r="FPZ1" s="657"/>
      <c r="FQA1" s="657"/>
      <c r="FQB1" s="657"/>
      <c r="FQC1" s="657"/>
      <c r="FQD1" s="657"/>
      <c r="FQE1" s="657"/>
      <c r="FQF1" s="657"/>
      <c r="FQG1" s="657"/>
      <c r="FQH1" s="657"/>
      <c r="FQI1" s="657"/>
      <c r="FQJ1" s="657"/>
      <c r="FQK1" s="657"/>
      <c r="FQL1" s="657"/>
      <c r="FQM1" s="657"/>
      <c r="FQN1" s="657"/>
      <c r="FQO1" s="657"/>
      <c r="FQP1" s="657"/>
      <c r="FQQ1" s="657"/>
      <c r="FQR1" s="657"/>
      <c r="FQS1" s="657"/>
      <c r="FQT1" s="657"/>
      <c r="FQU1" s="657"/>
      <c r="FQV1" s="657"/>
      <c r="FQW1" s="657"/>
      <c r="FQX1" s="657"/>
      <c r="FQY1" s="657"/>
      <c r="FQZ1" s="657"/>
      <c r="FRA1" s="657"/>
      <c r="FRB1" s="657"/>
      <c r="FRC1" s="657"/>
      <c r="FRD1" s="657"/>
      <c r="FRE1" s="657"/>
      <c r="FRF1" s="657"/>
      <c r="FRG1" s="657"/>
      <c r="FRH1" s="657"/>
      <c r="FRI1" s="657"/>
      <c r="FRJ1" s="657"/>
      <c r="FRK1" s="657"/>
      <c r="FRL1" s="657"/>
      <c r="FRM1" s="657"/>
      <c r="FRN1" s="657"/>
      <c r="FRO1" s="657"/>
      <c r="FRP1" s="657"/>
      <c r="FRQ1" s="657"/>
      <c r="FRR1" s="657"/>
      <c r="FRS1" s="657"/>
      <c r="FRT1" s="657"/>
      <c r="FRU1" s="657"/>
      <c r="FRV1" s="657"/>
      <c r="FRW1" s="657"/>
      <c r="FRX1" s="657"/>
      <c r="FRY1" s="657"/>
      <c r="FRZ1" s="657"/>
      <c r="FSA1" s="657"/>
      <c r="FSB1" s="657"/>
      <c r="FSC1" s="657"/>
      <c r="FSD1" s="657"/>
      <c r="FSE1" s="657"/>
      <c r="FSF1" s="657"/>
      <c r="FSG1" s="657"/>
      <c r="FSH1" s="657"/>
      <c r="FSI1" s="657"/>
      <c r="FSJ1" s="657"/>
      <c r="FSK1" s="657"/>
      <c r="FSL1" s="657"/>
      <c r="FSM1" s="657"/>
      <c r="FSN1" s="657"/>
      <c r="FSO1" s="657"/>
      <c r="FSP1" s="657"/>
      <c r="FSQ1" s="657"/>
      <c r="FSR1" s="657"/>
      <c r="FSS1" s="657"/>
      <c r="FST1" s="657"/>
      <c r="FSU1" s="657"/>
      <c r="FSV1" s="657"/>
      <c r="FSW1" s="657"/>
      <c r="FSX1" s="657"/>
      <c r="FSY1" s="657"/>
      <c r="FSZ1" s="657"/>
      <c r="FTA1" s="657"/>
      <c r="FTB1" s="657"/>
      <c r="FTC1" s="657"/>
      <c r="FTD1" s="657"/>
      <c r="FTE1" s="657"/>
      <c r="FTF1" s="657"/>
      <c r="FTG1" s="657"/>
      <c r="FTH1" s="657"/>
      <c r="FTI1" s="657"/>
      <c r="FTJ1" s="657"/>
      <c r="FTK1" s="657"/>
      <c r="FTL1" s="657"/>
      <c r="FTM1" s="657"/>
      <c r="FTN1" s="657"/>
      <c r="FTO1" s="657"/>
      <c r="FTP1" s="657"/>
      <c r="FTQ1" s="657"/>
      <c r="FTR1" s="657"/>
      <c r="FTS1" s="657"/>
      <c r="FTT1" s="657"/>
      <c r="FTU1" s="657"/>
      <c r="FTV1" s="657"/>
      <c r="FTW1" s="657"/>
      <c r="FTX1" s="657"/>
      <c r="FTY1" s="657"/>
      <c r="FTZ1" s="657"/>
      <c r="FUA1" s="657"/>
      <c r="FUB1" s="657"/>
      <c r="FUC1" s="657"/>
      <c r="FUD1" s="657"/>
      <c r="FUE1" s="657"/>
      <c r="FUF1" s="657"/>
      <c r="FUG1" s="657"/>
      <c r="FUH1" s="657"/>
      <c r="FUI1" s="657"/>
      <c r="FUJ1" s="657"/>
      <c r="FUK1" s="657"/>
      <c r="FUL1" s="657"/>
      <c r="FUM1" s="657"/>
      <c r="FUN1" s="657"/>
      <c r="FUO1" s="657"/>
      <c r="FUP1" s="657"/>
      <c r="FUQ1" s="657"/>
      <c r="FUR1" s="657"/>
      <c r="FUS1" s="657"/>
      <c r="FUT1" s="657"/>
      <c r="FUU1" s="657"/>
      <c r="FUV1" s="657"/>
      <c r="FUW1" s="657"/>
      <c r="FUX1" s="657"/>
      <c r="FUY1" s="657"/>
      <c r="FUZ1" s="657"/>
      <c r="FVA1" s="657"/>
      <c r="FVB1" s="657"/>
      <c r="FVC1" s="657"/>
      <c r="FVD1" s="657"/>
      <c r="FVE1" s="657"/>
      <c r="FVF1" s="657"/>
      <c r="FVG1" s="657"/>
      <c r="FVH1" s="657"/>
      <c r="FVI1" s="657"/>
      <c r="FVJ1" s="657"/>
      <c r="FVK1" s="657"/>
      <c r="FVL1" s="657"/>
      <c r="FVM1" s="657"/>
      <c r="FVN1" s="657"/>
      <c r="FVO1" s="657"/>
      <c r="FVP1" s="657"/>
      <c r="FVQ1" s="657"/>
      <c r="FVR1" s="657"/>
      <c r="FVS1" s="657"/>
      <c r="FVT1" s="657"/>
      <c r="FVU1" s="657"/>
      <c r="FVV1" s="657"/>
      <c r="FVW1" s="657"/>
      <c r="FVX1" s="657"/>
      <c r="FVY1" s="657"/>
      <c r="FVZ1" s="657"/>
      <c r="FWA1" s="657"/>
      <c r="FWB1" s="657"/>
      <c r="FWC1" s="657"/>
      <c r="FWD1" s="657"/>
      <c r="FWE1" s="657"/>
      <c r="FWF1" s="657"/>
      <c r="FWG1" s="657"/>
      <c r="FWH1" s="657"/>
      <c r="FWI1" s="657"/>
      <c r="FWJ1" s="657"/>
      <c r="FWK1" s="657"/>
      <c r="FWL1" s="657"/>
      <c r="FWM1" s="657"/>
      <c r="FWN1" s="657"/>
      <c r="FWO1" s="657"/>
      <c r="FWP1" s="657"/>
      <c r="FWQ1" s="657"/>
      <c r="FWR1" s="657"/>
      <c r="FWS1" s="657"/>
      <c r="FWT1" s="657"/>
      <c r="FWU1" s="657"/>
      <c r="FWV1" s="657"/>
      <c r="FWW1" s="657"/>
      <c r="FWX1" s="657"/>
      <c r="FWY1" s="657"/>
      <c r="FWZ1" s="657"/>
      <c r="FXA1" s="657"/>
      <c r="FXB1" s="657"/>
      <c r="FXC1" s="657"/>
      <c r="FXD1" s="657"/>
      <c r="FXE1" s="657"/>
      <c r="FXF1" s="657"/>
      <c r="FXG1" s="657"/>
      <c r="FXH1" s="657"/>
      <c r="FXI1" s="657"/>
      <c r="FXJ1" s="657"/>
      <c r="FXK1" s="657"/>
      <c r="FXL1" s="657"/>
      <c r="FXM1" s="657"/>
      <c r="FXN1" s="657"/>
      <c r="FXO1" s="657"/>
      <c r="FXP1" s="657"/>
      <c r="FXQ1" s="657"/>
      <c r="FXR1" s="657"/>
      <c r="FXS1" s="657"/>
      <c r="FXT1" s="657"/>
      <c r="FXU1" s="657"/>
      <c r="FXV1" s="657"/>
      <c r="FXW1" s="657"/>
      <c r="FXX1" s="657"/>
      <c r="FXY1" s="657"/>
      <c r="FXZ1" s="657"/>
      <c r="FYA1" s="657"/>
      <c r="FYB1" s="657"/>
      <c r="FYC1" s="657"/>
      <c r="FYD1" s="657"/>
      <c r="FYE1" s="657"/>
      <c r="FYF1" s="657"/>
      <c r="FYG1" s="657"/>
      <c r="FYH1" s="657"/>
      <c r="FYI1" s="657"/>
      <c r="FYJ1" s="657"/>
      <c r="FYK1" s="657"/>
      <c r="FYL1" s="657"/>
      <c r="FYM1" s="657"/>
      <c r="FYN1" s="657"/>
      <c r="FYO1" s="657"/>
      <c r="FYP1" s="657"/>
      <c r="FYQ1" s="657"/>
      <c r="FYR1" s="657"/>
      <c r="FYS1" s="657"/>
      <c r="FYT1" s="657"/>
      <c r="FYU1" s="657"/>
      <c r="FYV1" s="657"/>
      <c r="FYW1" s="657"/>
      <c r="FYX1" s="657"/>
      <c r="FYY1" s="657"/>
      <c r="FYZ1" s="657"/>
      <c r="FZA1" s="657"/>
      <c r="FZB1" s="657"/>
      <c r="FZC1" s="657"/>
      <c r="FZD1" s="657"/>
      <c r="FZE1" s="657"/>
      <c r="FZF1" s="657"/>
      <c r="FZG1" s="657"/>
      <c r="FZH1" s="657"/>
      <c r="FZI1" s="657"/>
      <c r="FZJ1" s="657"/>
      <c r="FZK1" s="657"/>
      <c r="FZL1" s="657"/>
      <c r="FZM1" s="657"/>
      <c r="FZN1" s="657"/>
      <c r="FZO1" s="657"/>
      <c r="FZP1" s="657"/>
      <c r="FZQ1" s="657"/>
      <c r="FZR1" s="657"/>
      <c r="FZS1" s="657"/>
      <c r="FZT1" s="657"/>
      <c r="FZU1" s="657"/>
      <c r="FZV1" s="657"/>
      <c r="FZW1" s="657"/>
      <c r="FZX1" s="657"/>
      <c r="FZY1" s="657"/>
      <c r="FZZ1" s="657"/>
      <c r="GAA1" s="657"/>
      <c r="GAB1" s="657"/>
      <c r="GAC1" s="657"/>
      <c r="GAD1" s="657"/>
      <c r="GAE1" s="657"/>
      <c r="GAF1" s="657"/>
      <c r="GAG1" s="657"/>
      <c r="GAH1" s="657"/>
      <c r="GAI1" s="657"/>
      <c r="GAJ1" s="657"/>
      <c r="GAK1" s="657"/>
      <c r="GAL1" s="657"/>
      <c r="GAM1" s="657"/>
      <c r="GAN1" s="657"/>
      <c r="GAO1" s="657"/>
      <c r="GAP1" s="657"/>
      <c r="GAQ1" s="657"/>
      <c r="GAR1" s="657"/>
      <c r="GAS1" s="657"/>
      <c r="GAT1" s="657"/>
      <c r="GAU1" s="657"/>
      <c r="GAV1" s="657"/>
      <c r="GAW1" s="657"/>
      <c r="GAX1" s="657"/>
      <c r="GAY1" s="657"/>
      <c r="GAZ1" s="657"/>
      <c r="GBA1" s="657"/>
      <c r="GBB1" s="657"/>
      <c r="GBC1" s="657"/>
      <c r="GBD1" s="657"/>
      <c r="GBE1" s="657"/>
      <c r="GBF1" s="657"/>
      <c r="GBG1" s="657"/>
      <c r="GBH1" s="657"/>
      <c r="GBI1" s="657"/>
      <c r="GBJ1" s="657"/>
      <c r="GBK1" s="657"/>
      <c r="GBL1" s="657"/>
      <c r="GBM1" s="657"/>
      <c r="GBN1" s="657"/>
      <c r="GBO1" s="657"/>
      <c r="GBP1" s="657"/>
      <c r="GBQ1" s="657"/>
      <c r="GBR1" s="657"/>
      <c r="GBS1" s="657"/>
      <c r="GBT1" s="657"/>
      <c r="GBU1" s="657"/>
      <c r="GBV1" s="657"/>
      <c r="GBW1" s="657"/>
      <c r="GBX1" s="657"/>
      <c r="GBY1" s="657"/>
      <c r="GBZ1" s="657"/>
      <c r="GCA1" s="657"/>
      <c r="GCB1" s="657"/>
      <c r="GCC1" s="657"/>
      <c r="GCD1" s="657"/>
      <c r="GCE1" s="657"/>
      <c r="GCF1" s="657"/>
      <c r="GCG1" s="657"/>
      <c r="GCH1" s="657"/>
      <c r="GCI1" s="657"/>
      <c r="GCJ1" s="657"/>
      <c r="GCK1" s="657"/>
      <c r="GCL1" s="657"/>
      <c r="GCM1" s="657"/>
      <c r="GCN1" s="657"/>
      <c r="GCO1" s="657"/>
      <c r="GCP1" s="657"/>
      <c r="GCQ1" s="657"/>
      <c r="GCR1" s="657"/>
      <c r="GCS1" s="657"/>
      <c r="GCT1" s="657"/>
      <c r="GCU1" s="657"/>
      <c r="GCV1" s="657"/>
      <c r="GCW1" s="657"/>
      <c r="GCX1" s="657"/>
      <c r="GCY1" s="657"/>
      <c r="GCZ1" s="657"/>
      <c r="GDA1" s="657"/>
      <c r="GDB1" s="657"/>
      <c r="GDC1" s="657"/>
      <c r="GDD1" s="657"/>
      <c r="GDE1" s="657"/>
      <c r="GDF1" s="657"/>
      <c r="GDG1" s="657"/>
      <c r="GDH1" s="657"/>
      <c r="GDI1" s="657"/>
      <c r="GDJ1" s="657"/>
      <c r="GDK1" s="657"/>
      <c r="GDL1" s="657"/>
      <c r="GDM1" s="657"/>
      <c r="GDN1" s="657"/>
      <c r="GDO1" s="657"/>
      <c r="GDP1" s="657"/>
      <c r="GDQ1" s="657"/>
      <c r="GDR1" s="657"/>
      <c r="GDS1" s="657"/>
      <c r="GDT1" s="657"/>
      <c r="GDU1" s="657"/>
      <c r="GDV1" s="657"/>
      <c r="GDW1" s="657"/>
      <c r="GDX1" s="657"/>
      <c r="GDY1" s="657"/>
      <c r="GDZ1" s="657"/>
      <c r="GEA1" s="657"/>
      <c r="GEB1" s="657"/>
      <c r="GEC1" s="657"/>
      <c r="GED1" s="657"/>
      <c r="GEE1" s="657"/>
      <c r="GEF1" s="657"/>
      <c r="GEG1" s="657"/>
      <c r="GEH1" s="657"/>
      <c r="GEI1" s="657"/>
      <c r="GEJ1" s="657"/>
      <c r="GEK1" s="657"/>
      <c r="GEL1" s="657"/>
      <c r="GEM1" s="657"/>
      <c r="GEN1" s="657"/>
      <c r="GEO1" s="657"/>
      <c r="GEP1" s="657"/>
      <c r="GEQ1" s="657"/>
      <c r="GER1" s="657"/>
      <c r="GES1" s="657"/>
      <c r="GET1" s="657"/>
      <c r="GEU1" s="657"/>
      <c r="GEV1" s="657"/>
      <c r="GEW1" s="657"/>
      <c r="GEX1" s="657"/>
      <c r="GEY1" s="657"/>
      <c r="GEZ1" s="657"/>
      <c r="GFA1" s="657"/>
      <c r="GFB1" s="657"/>
      <c r="GFC1" s="657"/>
      <c r="GFD1" s="657"/>
      <c r="GFE1" s="657"/>
      <c r="GFF1" s="657"/>
      <c r="GFG1" s="657"/>
      <c r="GFH1" s="657"/>
      <c r="GFI1" s="657"/>
      <c r="GFJ1" s="657"/>
      <c r="GFK1" s="657"/>
      <c r="GFL1" s="657"/>
      <c r="GFM1" s="657"/>
      <c r="GFN1" s="657"/>
      <c r="GFO1" s="657"/>
      <c r="GFP1" s="657"/>
      <c r="GFQ1" s="657"/>
      <c r="GFR1" s="657"/>
      <c r="GFS1" s="657"/>
      <c r="GFT1" s="657"/>
      <c r="GFU1" s="657"/>
      <c r="GFV1" s="657"/>
      <c r="GFW1" s="657"/>
      <c r="GFX1" s="657"/>
      <c r="GFY1" s="657"/>
      <c r="GFZ1" s="657"/>
      <c r="GGA1" s="657"/>
      <c r="GGB1" s="657"/>
      <c r="GGC1" s="657"/>
      <c r="GGD1" s="657"/>
      <c r="GGE1" s="657"/>
      <c r="GGF1" s="657"/>
      <c r="GGG1" s="657"/>
      <c r="GGH1" s="657"/>
      <c r="GGI1" s="657"/>
      <c r="GGJ1" s="657"/>
      <c r="GGK1" s="657"/>
      <c r="GGL1" s="657"/>
      <c r="GGM1" s="657"/>
      <c r="GGN1" s="657"/>
      <c r="GGO1" s="657"/>
      <c r="GGP1" s="657"/>
      <c r="GGQ1" s="657"/>
      <c r="GGR1" s="657"/>
      <c r="GGS1" s="657"/>
      <c r="GGT1" s="657"/>
      <c r="GGU1" s="657"/>
      <c r="GGV1" s="657"/>
      <c r="GGW1" s="657"/>
      <c r="GGX1" s="657"/>
      <c r="GGY1" s="657"/>
      <c r="GGZ1" s="657"/>
      <c r="GHA1" s="657"/>
      <c r="GHB1" s="657"/>
      <c r="GHC1" s="657"/>
      <c r="GHD1" s="657"/>
      <c r="GHE1" s="657"/>
      <c r="GHF1" s="657"/>
      <c r="GHG1" s="657"/>
      <c r="GHH1" s="657"/>
      <c r="GHI1" s="657"/>
      <c r="GHJ1" s="657"/>
      <c r="GHK1" s="657"/>
      <c r="GHL1" s="657"/>
      <c r="GHM1" s="657"/>
      <c r="GHN1" s="657"/>
      <c r="GHO1" s="657"/>
      <c r="GHP1" s="657"/>
      <c r="GHQ1" s="657"/>
      <c r="GHR1" s="657"/>
      <c r="GHS1" s="657"/>
      <c r="GHT1" s="657"/>
      <c r="GHU1" s="657"/>
      <c r="GHV1" s="657"/>
      <c r="GHW1" s="657"/>
      <c r="GHX1" s="657"/>
      <c r="GHY1" s="657"/>
      <c r="GHZ1" s="657"/>
      <c r="GIA1" s="657"/>
      <c r="GIB1" s="657"/>
      <c r="GIC1" s="657"/>
      <c r="GID1" s="657"/>
      <c r="GIE1" s="657"/>
      <c r="GIF1" s="657"/>
      <c r="GIG1" s="657"/>
      <c r="GIH1" s="657"/>
      <c r="GII1" s="657"/>
      <c r="GIJ1" s="657"/>
      <c r="GIK1" s="657"/>
      <c r="GIL1" s="657"/>
      <c r="GIM1" s="657"/>
      <c r="GIN1" s="657"/>
      <c r="GIO1" s="657"/>
      <c r="GIP1" s="657"/>
      <c r="GIQ1" s="657"/>
      <c r="GIR1" s="657"/>
      <c r="GIS1" s="657"/>
      <c r="GIT1" s="657"/>
      <c r="GIU1" s="657"/>
      <c r="GIV1" s="657"/>
      <c r="GIW1" s="657"/>
      <c r="GIX1" s="657"/>
      <c r="GIY1" s="657"/>
      <c r="GIZ1" s="657"/>
      <c r="GJA1" s="657"/>
      <c r="GJB1" s="657"/>
      <c r="GJC1" s="657"/>
      <c r="GJD1" s="657"/>
      <c r="GJE1" s="657"/>
      <c r="GJF1" s="657"/>
      <c r="GJG1" s="657"/>
      <c r="GJH1" s="657"/>
      <c r="GJI1" s="657"/>
      <c r="GJJ1" s="657"/>
      <c r="GJK1" s="657"/>
      <c r="GJL1" s="657"/>
      <c r="GJM1" s="657"/>
      <c r="GJN1" s="657"/>
      <c r="GJO1" s="657"/>
      <c r="GJP1" s="657"/>
      <c r="GJQ1" s="657"/>
      <c r="GJR1" s="657"/>
      <c r="GJS1" s="657"/>
      <c r="GJT1" s="657"/>
      <c r="GJU1" s="657"/>
      <c r="GJV1" s="657"/>
      <c r="GJW1" s="657"/>
      <c r="GJX1" s="657"/>
      <c r="GJY1" s="657"/>
      <c r="GJZ1" s="657"/>
      <c r="GKA1" s="657"/>
      <c r="GKB1" s="657"/>
      <c r="GKC1" s="657"/>
      <c r="GKD1" s="657"/>
      <c r="GKE1" s="657"/>
      <c r="GKF1" s="657"/>
      <c r="GKG1" s="657"/>
      <c r="GKH1" s="657"/>
      <c r="GKI1" s="657"/>
      <c r="GKJ1" s="657"/>
      <c r="GKK1" s="657"/>
      <c r="GKL1" s="657"/>
      <c r="GKM1" s="657"/>
      <c r="GKN1" s="657"/>
      <c r="GKO1" s="657"/>
      <c r="GKP1" s="657"/>
      <c r="GKQ1" s="657"/>
      <c r="GKR1" s="657"/>
      <c r="GKS1" s="657"/>
      <c r="GKT1" s="657"/>
      <c r="GKU1" s="657"/>
      <c r="GKV1" s="657"/>
      <c r="GKW1" s="657"/>
      <c r="GKX1" s="657"/>
      <c r="GKY1" s="657"/>
      <c r="GKZ1" s="657"/>
      <c r="GLA1" s="657"/>
      <c r="GLB1" s="657"/>
      <c r="GLC1" s="657"/>
      <c r="GLD1" s="657"/>
      <c r="GLE1" s="657"/>
      <c r="GLF1" s="657"/>
      <c r="GLG1" s="657"/>
      <c r="GLH1" s="657"/>
      <c r="GLI1" s="657"/>
      <c r="GLJ1" s="657"/>
      <c r="GLK1" s="657"/>
      <c r="GLL1" s="657"/>
      <c r="GLM1" s="657"/>
      <c r="GLN1" s="657"/>
      <c r="GLO1" s="657"/>
      <c r="GLP1" s="657"/>
      <c r="GLQ1" s="657"/>
      <c r="GLR1" s="657"/>
      <c r="GLS1" s="657"/>
      <c r="GLT1" s="657"/>
      <c r="GLU1" s="657"/>
      <c r="GLV1" s="657"/>
      <c r="GLW1" s="657"/>
      <c r="GLX1" s="657"/>
      <c r="GLY1" s="657"/>
      <c r="GLZ1" s="657"/>
      <c r="GMA1" s="657"/>
      <c r="GMB1" s="657"/>
      <c r="GMC1" s="657"/>
      <c r="GMD1" s="657"/>
      <c r="GME1" s="657"/>
      <c r="GMF1" s="657"/>
      <c r="GMG1" s="657"/>
      <c r="GMH1" s="657"/>
      <c r="GMI1" s="657"/>
      <c r="GMJ1" s="657"/>
      <c r="GMK1" s="657"/>
      <c r="GML1" s="657"/>
      <c r="GMM1" s="657"/>
      <c r="GMN1" s="657"/>
      <c r="GMO1" s="657"/>
      <c r="GMP1" s="657"/>
      <c r="GMQ1" s="657"/>
      <c r="GMR1" s="657"/>
      <c r="GMS1" s="657"/>
      <c r="GMT1" s="657"/>
      <c r="GMU1" s="657"/>
      <c r="GMV1" s="657"/>
      <c r="GMW1" s="657"/>
      <c r="GMX1" s="657"/>
      <c r="GMY1" s="657"/>
      <c r="GMZ1" s="657"/>
      <c r="GNA1" s="657"/>
      <c r="GNB1" s="657"/>
      <c r="GNC1" s="657"/>
      <c r="GND1" s="657"/>
      <c r="GNE1" s="657"/>
      <c r="GNF1" s="657"/>
      <c r="GNG1" s="657"/>
      <c r="GNH1" s="657"/>
      <c r="GNI1" s="657"/>
      <c r="GNJ1" s="657"/>
      <c r="GNK1" s="657"/>
      <c r="GNL1" s="657"/>
      <c r="GNM1" s="657"/>
      <c r="GNN1" s="657"/>
      <c r="GNO1" s="657"/>
      <c r="GNP1" s="657"/>
      <c r="GNQ1" s="657"/>
      <c r="GNR1" s="657"/>
      <c r="GNS1" s="657"/>
      <c r="GNT1" s="657"/>
      <c r="GNU1" s="657"/>
      <c r="GNV1" s="657"/>
      <c r="GNW1" s="657"/>
      <c r="GNX1" s="657"/>
      <c r="GNY1" s="657"/>
      <c r="GNZ1" s="657"/>
      <c r="GOA1" s="657"/>
      <c r="GOB1" s="657"/>
      <c r="GOC1" s="657"/>
      <c r="GOD1" s="657"/>
      <c r="GOE1" s="657"/>
      <c r="GOF1" s="657"/>
      <c r="GOG1" s="657"/>
      <c r="GOH1" s="657"/>
      <c r="GOI1" s="657"/>
      <c r="GOJ1" s="657"/>
      <c r="GOK1" s="657"/>
      <c r="GOL1" s="657"/>
      <c r="GOM1" s="657"/>
      <c r="GON1" s="657"/>
      <c r="GOO1" s="657"/>
      <c r="GOP1" s="657"/>
      <c r="GOQ1" s="657"/>
      <c r="GOR1" s="657"/>
      <c r="GOS1" s="657"/>
      <c r="GOT1" s="657"/>
      <c r="GOU1" s="657"/>
      <c r="GOV1" s="657"/>
      <c r="GOW1" s="657"/>
      <c r="GOX1" s="657"/>
      <c r="GOY1" s="657"/>
      <c r="GOZ1" s="657"/>
      <c r="GPA1" s="657"/>
      <c r="GPB1" s="657"/>
      <c r="GPC1" s="657"/>
      <c r="GPD1" s="657"/>
      <c r="GPE1" s="657"/>
      <c r="GPF1" s="657"/>
      <c r="GPG1" s="657"/>
      <c r="GPH1" s="657"/>
      <c r="GPI1" s="657"/>
      <c r="GPJ1" s="657"/>
      <c r="GPK1" s="657"/>
      <c r="GPL1" s="657"/>
      <c r="GPM1" s="657"/>
      <c r="GPN1" s="657"/>
      <c r="GPO1" s="657"/>
      <c r="GPP1" s="657"/>
      <c r="GPQ1" s="657"/>
      <c r="GPR1" s="657"/>
      <c r="GPS1" s="657"/>
      <c r="GPT1" s="657"/>
      <c r="GPU1" s="657"/>
      <c r="GPV1" s="657"/>
      <c r="GPW1" s="657"/>
      <c r="GPX1" s="657"/>
      <c r="GPY1" s="657"/>
      <c r="GPZ1" s="657"/>
      <c r="GQA1" s="657"/>
      <c r="GQB1" s="657"/>
      <c r="GQC1" s="657"/>
      <c r="GQD1" s="657"/>
      <c r="GQE1" s="657"/>
      <c r="GQF1" s="657"/>
      <c r="GQG1" s="657"/>
      <c r="GQH1" s="657"/>
      <c r="GQI1" s="657"/>
      <c r="GQJ1" s="657"/>
      <c r="GQK1" s="657"/>
      <c r="GQL1" s="657"/>
      <c r="GQM1" s="657"/>
      <c r="GQN1" s="657"/>
      <c r="GQO1" s="657"/>
      <c r="GQP1" s="657"/>
      <c r="GQQ1" s="657"/>
      <c r="GQR1" s="657"/>
      <c r="GQS1" s="657"/>
      <c r="GQT1" s="657"/>
      <c r="GQU1" s="657"/>
      <c r="GQV1" s="657"/>
      <c r="GQW1" s="657"/>
      <c r="GQX1" s="657"/>
      <c r="GQY1" s="657"/>
      <c r="GQZ1" s="657"/>
      <c r="GRA1" s="657"/>
      <c r="GRB1" s="657"/>
      <c r="GRC1" s="657"/>
      <c r="GRD1" s="657"/>
      <c r="GRE1" s="657"/>
      <c r="GRF1" s="657"/>
      <c r="GRG1" s="657"/>
      <c r="GRH1" s="657"/>
      <c r="GRI1" s="657"/>
      <c r="GRJ1" s="657"/>
      <c r="GRK1" s="657"/>
      <c r="GRL1" s="657"/>
      <c r="GRM1" s="657"/>
      <c r="GRN1" s="657"/>
      <c r="GRO1" s="657"/>
      <c r="GRP1" s="657"/>
      <c r="GRQ1" s="657"/>
      <c r="GRR1" s="657"/>
      <c r="GRS1" s="657"/>
      <c r="GRT1" s="657"/>
      <c r="GRU1" s="657"/>
      <c r="GRV1" s="657"/>
      <c r="GRW1" s="657"/>
      <c r="GRX1" s="657"/>
      <c r="GRY1" s="657"/>
      <c r="GRZ1" s="657"/>
      <c r="GSA1" s="657"/>
      <c r="GSB1" s="657"/>
      <c r="GSC1" s="657"/>
      <c r="GSD1" s="657"/>
      <c r="GSE1" s="657"/>
      <c r="GSF1" s="657"/>
      <c r="GSG1" s="657"/>
      <c r="GSH1" s="657"/>
      <c r="GSI1" s="657"/>
      <c r="GSJ1" s="657"/>
      <c r="GSK1" s="657"/>
      <c r="GSL1" s="657"/>
      <c r="GSM1" s="657"/>
      <c r="GSN1" s="657"/>
      <c r="GSO1" s="657"/>
      <c r="GSP1" s="657"/>
      <c r="GSQ1" s="657"/>
      <c r="GSR1" s="657"/>
      <c r="GSS1" s="657"/>
      <c r="GST1" s="657"/>
      <c r="GSU1" s="657"/>
      <c r="GSV1" s="657"/>
      <c r="GSW1" s="657"/>
      <c r="GSX1" s="657"/>
      <c r="GSY1" s="657"/>
      <c r="GSZ1" s="657"/>
      <c r="GTA1" s="657"/>
      <c r="GTB1" s="657"/>
      <c r="GTC1" s="657"/>
      <c r="GTD1" s="657"/>
      <c r="GTE1" s="657"/>
      <c r="GTF1" s="657"/>
      <c r="GTG1" s="657"/>
      <c r="GTH1" s="657"/>
      <c r="GTI1" s="657"/>
      <c r="GTJ1" s="657"/>
      <c r="GTK1" s="657"/>
      <c r="GTL1" s="657"/>
      <c r="GTM1" s="657"/>
      <c r="GTN1" s="657"/>
      <c r="GTO1" s="657"/>
      <c r="GTP1" s="657"/>
      <c r="GTQ1" s="657"/>
      <c r="GTR1" s="657"/>
      <c r="GTS1" s="657"/>
      <c r="GTT1" s="657"/>
      <c r="GTU1" s="657"/>
      <c r="GTV1" s="657"/>
      <c r="GTW1" s="657"/>
      <c r="GTX1" s="657"/>
      <c r="GTY1" s="657"/>
      <c r="GTZ1" s="657"/>
      <c r="GUA1" s="657"/>
      <c r="GUB1" s="657"/>
      <c r="GUC1" s="657"/>
      <c r="GUD1" s="657"/>
      <c r="GUE1" s="657"/>
      <c r="GUF1" s="657"/>
      <c r="GUG1" s="657"/>
      <c r="GUH1" s="657"/>
      <c r="GUI1" s="657"/>
      <c r="GUJ1" s="657"/>
      <c r="GUK1" s="657"/>
      <c r="GUL1" s="657"/>
      <c r="GUM1" s="657"/>
      <c r="GUN1" s="657"/>
      <c r="GUO1" s="657"/>
      <c r="GUP1" s="657"/>
      <c r="GUQ1" s="657"/>
      <c r="GUR1" s="657"/>
      <c r="GUS1" s="657"/>
      <c r="GUT1" s="657"/>
      <c r="GUU1" s="657"/>
      <c r="GUV1" s="657"/>
      <c r="GUW1" s="657"/>
      <c r="GUX1" s="657"/>
      <c r="GUY1" s="657"/>
      <c r="GUZ1" s="657"/>
      <c r="GVA1" s="657"/>
      <c r="GVB1" s="657"/>
      <c r="GVC1" s="657"/>
      <c r="GVD1" s="657"/>
      <c r="GVE1" s="657"/>
      <c r="GVF1" s="657"/>
      <c r="GVG1" s="657"/>
      <c r="GVH1" s="657"/>
      <c r="GVI1" s="657"/>
      <c r="GVJ1" s="657"/>
      <c r="GVK1" s="657"/>
      <c r="GVL1" s="657"/>
      <c r="GVM1" s="657"/>
      <c r="GVN1" s="657"/>
      <c r="GVO1" s="657"/>
      <c r="GVP1" s="657"/>
      <c r="GVQ1" s="657"/>
      <c r="GVR1" s="657"/>
      <c r="GVS1" s="657"/>
      <c r="GVT1" s="657"/>
      <c r="GVU1" s="657"/>
      <c r="GVV1" s="657"/>
      <c r="GVW1" s="657"/>
      <c r="GVX1" s="657"/>
      <c r="GVY1" s="657"/>
      <c r="GVZ1" s="657"/>
      <c r="GWA1" s="657"/>
      <c r="GWB1" s="657"/>
      <c r="GWC1" s="657"/>
      <c r="GWD1" s="657"/>
      <c r="GWE1" s="657"/>
      <c r="GWF1" s="657"/>
      <c r="GWG1" s="657"/>
      <c r="GWH1" s="657"/>
      <c r="GWI1" s="657"/>
      <c r="GWJ1" s="657"/>
      <c r="GWK1" s="657"/>
      <c r="GWL1" s="657"/>
      <c r="GWM1" s="657"/>
      <c r="GWN1" s="657"/>
      <c r="GWO1" s="657"/>
      <c r="GWP1" s="657"/>
      <c r="GWQ1" s="657"/>
      <c r="GWR1" s="657"/>
      <c r="GWS1" s="657"/>
      <c r="GWT1" s="657"/>
      <c r="GWU1" s="657"/>
      <c r="GWV1" s="657"/>
      <c r="GWW1" s="657"/>
      <c r="GWX1" s="657"/>
      <c r="GWY1" s="657"/>
      <c r="GWZ1" s="657"/>
      <c r="GXA1" s="657"/>
      <c r="GXB1" s="657"/>
      <c r="GXC1" s="657"/>
      <c r="GXD1" s="657"/>
      <c r="GXE1" s="657"/>
      <c r="GXF1" s="657"/>
      <c r="GXG1" s="657"/>
      <c r="GXH1" s="657"/>
      <c r="GXI1" s="657"/>
      <c r="GXJ1" s="657"/>
      <c r="GXK1" s="657"/>
      <c r="GXL1" s="657"/>
      <c r="GXM1" s="657"/>
      <c r="GXN1" s="657"/>
      <c r="GXO1" s="657"/>
      <c r="GXP1" s="657"/>
      <c r="GXQ1" s="657"/>
      <c r="GXR1" s="657"/>
      <c r="GXS1" s="657"/>
      <c r="GXT1" s="657"/>
      <c r="GXU1" s="657"/>
      <c r="GXV1" s="657"/>
      <c r="GXW1" s="657"/>
      <c r="GXX1" s="657"/>
      <c r="GXY1" s="657"/>
      <c r="GXZ1" s="657"/>
      <c r="GYA1" s="657"/>
      <c r="GYB1" s="657"/>
      <c r="GYC1" s="657"/>
      <c r="GYD1" s="657"/>
      <c r="GYE1" s="657"/>
      <c r="GYF1" s="657"/>
      <c r="GYG1" s="657"/>
      <c r="GYH1" s="657"/>
      <c r="GYI1" s="657"/>
      <c r="GYJ1" s="657"/>
      <c r="GYK1" s="657"/>
      <c r="GYL1" s="657"/>
      <c r="GYM1" s="657"/>
      <c r="GYN1" s="657"/>
      <c r="GYO1" s="657"/>
      <c r="GYP1" s="657"/>
      <c r="GYQ1" s="657"/>
      <c r="GYR1" s="657"/>
      <c r="GYS1" s="657"/>
      <c r="GYT1" s="657"/>
      <c r="GYU1" s="657"/>
      <c r="GYV1" s="657"/>
      <c r="GYW1" s="657"/>
      <c r="GYX1" s="657"/>
      <c r="GYY1" s="657"/>
      <c r="GYZ1" s="657"/>
      <c r="GZA1" s="657"/>
      <c r="GZB1" s="657"/>
      <c r="GZC1" s="657"/>
      <c r="GZD1" s="657"/>
      <c r="GZE1" s="657"/>
      <c r="GZF1" s="657"/>
      <c r="GZG1" s="657"/>
      <c r="GZH1" s="657"/>
      <c r="GZI1" s="657"/>
      <c r="GZJ1" s="657"/>
      <c r="GZK1" s="657"/>
      <c r="GZL1" s="657"/>
      <c r="GZM1" s="657"/>
      <c r="GZN1" s="657"/>
      <c r="GZO1" s="657"/>
      <c r="GZP1" s="657"/>
      <c r="GZQ1" s="657"/>
      <c r="GZR1" s="657"/>
      <c r="GZS1" s="657"/>
      <c r="GZT1" s="657"/>
      <c r="GZU1" s="657"/>
      <c r="GZV1" s="657"/>
      <c r="GZW1" s="657"/>
      <c r="GZX1" s="657"/>
      <c r="GZY1" s="657"/>
      <c r="GZZ1" s="657"/>
      <c r="HAA1" s="657"/>
      <c r="HAB1" s="657"/>
      <c r="HAC1" s="657"/>
      <c r="HAD1" s="657"/>
      <c r="HAE1" s="657"/>
      <c r="HAF1" s="657"/>
      <c r="HAG1" s="657"/>
      <c r="HAH1" s="657"/>
      <c r="HAI1" s="657"/>
      <c r="HAJ1" s="657"/>
      <c r="HAK1" s="657"/>
      <c r="HAL1" s="657"/>
      <c r="HAM1" s="657"/>
      <c r="HAN1" s="657"/>
      <c r="HAO1" s="657"/>
      <c r="HAP1" s="657"/>
      <c r="HAQ1" s="657"/>
      <c r="HAR1" s="657"/>
      <c r="HAS1" s="657"/>
      <c r="HAT1" s="657"/>
      <c r="HAU1" s="657"/>
      <c r="HAV1" s="657"/>
      <c r="HAW1" s="657"/>
      <c r="HAX1" s="657"/>
      <c r="HAY1" s="657"/>
      <c r="HAZ1" s="657"/>
      <c r="HBA1" s="657"/>
      <c r="HBB1" s="657"/>
      <c r="HBC1" s="657"/>
      <c r="HBD1" s="657"/>
      <c r="HBE1" s="657"/>
      <c r="HBF1" s="657"/>
      <c r="HBG1" s="657"/>
      <c r="HBH1" s="657"/>
      <c r="HBI1" s="657"/>
      <c r="HBJ1" s="657"/>
      <c r="HBK1" s="657"/>
      <c r="HBL1" s="657"/>
      <c r="HBM1" s="657"/>
      <c r="HBN1" s="657"/>
      <c r="HBO1" s="657"/>
      <c r="HBP1" s="657"/>
      <c r="HBQ1" s="657"/>
      <c r="HBR1" s="657"/>
      <c r="HBS1" s="657"/>
      <c r="HBT1" s="657"/>
      <c r="HBU1" s="657"/>
      <c r="HBV1" s="657"/>
      <c r="HBW1" s="657"/>
      <c r="HBX1" s="657"/>
      <c r="HBY1" s="657"/>
      <c r="HBZ1" s="657"/>
      <c r="HCA1" s="657"/>
      <c r="HCB1" s="657"/>
      <c r="HCC1" s="657"/>
      <c r="HCD1" s="657"/>
      <c r="HCE1" s="657"/>
      <c r="HCF1" s="657"/>
      <c r="HCG1" s="657"/>
      <c r="HCH1" s="657"/>
      <c r="HCI1" s="657"/>
      <c r="HCJ1" s="657"/>
      <c r="HCK1" s="657"/>
      <c r="HCL1" s="657"/>
      <c r="HCM1" s="657"/>
      <c r="HCN1" s="657"/>
      <c r="HCO1" s="657"/>
      <c r="HCP1" s="657"/>
      <c r="HCQ1" s="657"/>
      <c r="HCR1" s="657"/>
      <c r="HCS1" s="657"/>
      <c r="HCT1" s="657"/>
      <c r="HCU1" s="657"/>
      <c r="HCV1" s="657"/>
      <c r="HCW1" s="657"/>
      <c r="HCX1" s="657"/>
      <c r="HCY1" s="657"/>
      <c r="HCZ1" s="657"/>
      <c r="HDA1" s="657"/>
      <c r="HDB1" s="657"/>
      <c r="HDC1" s="657"/>
      <c r="HDD1" s="657"/>
      <c r="HDE1" s="657"/>
      <c r="HDF1" s="657"/>
      <c r="HDG1" s="657"/>
      <c r="HDH1" s="657"/>
      <c r="HDI1" s="657"/>
      <c r="HDJ1" s="657"/>
      <c r="HDK1" s="657"/>
      <c r="HDL1" s="657"/>
      <c r="HDM1" s="657"/>
      <c r="HDN1" s="657"/>
      <c r="HDO1" s="657"/>
      <c r="HDP1" s="657"/>
      <c r="HDQ1" s="657"/>
      <c r="HDR1" s="657"/>
      <c r="HDS1" s="657"/>
      <c r="HDT1" s="657"/>
      <c r="HDU1" s="657"/>
      <c r="HDV1" s="657"/>
      <c r="HDW1" s="657"/>
      <c r="HDX1" s="657"/>
      <c r="HDY1" s="657"/>
      <c r="HDZ1" s="657"/>
      <c r="HEA1" s="657"/>
      <c r="HEB1" s="657"/>
      <c r="HEC1" s="657"/>
      <c r="HED1" s="657"/>
      <c r="HEE1" s="657"/>
      <c r="HEF1" s="657"/>
      <c r="HEG1" s="657"/>
      <c r="HEH1" s="657"/>
      <c r="HEI1" s="657"/>
      <c r="HEJ1" s="657"/>
      <c r="HEK1" s="657"/>
      <c r="HEL1" s="657"/>
      <c r="HEM1" s="657"/>
      <c r="HEN1" s="657"/>
      <c r="HEO1" s="657"/>
      <c r="HEP1" s="657"/>
      <c r="HEQ1" s="657"/>
      <c r="HER1" s="657"/>
      <c r="HES1" s="657"/>
      <c r="HET1" s="657"/>
      <c r="HEU1" s="657"/>
      <c r="HEV1" s="657"/>
      <c r="HEW1" s="657"/>
      <c r="HEX1" s="657"/>
      <c r="HEY1" s="657"/>
      <c r="HEZ1" s="657"/>
      <c r="HFA1" s="657"/>
      <c r="HFB1" s="657"/>
      <c r="HFC1" s="657"/>
      <c r="HFD1" s="657"/>
      <c r="HFE1" s="657"/>
      <c r="HFF1" s="657"/>
      <c r="HFG1" s="657"/>
      <c r="HFH1" s="657"/>
      <c r="HFI1" s="657"/>
      <c r="HFJ1" s="657"/>
      <c r="HFK1" s="657"/>
      <c r="HFL1" s="657"/>
      <c r="HFM1" s="657"/>
      <c r="HFN1" s="657"/>
      <c r="HFO1" s="657"/>
      <c r="HFP1" s="657"/>
      <c r="HFQ1" s="657"/>
      <c r="HFR1" s="657"/>
      <c r="HFS1" s="657"/>
      <c r="HFT1" s="657"/>
      <c r="HFU1" s="657"/>
      <c r="HFV1" s="657"/>
      <c r="HFW1" s="657"/>
      <c r="HFX1" s="657"/>
      <c r="HFY1" s="657"/>
      <c r="HFZ1" s="657"/>
      <c r="HGA1" s="657"/>
      <c r="HGB1" s="657"/>
      <c r="HGC1" s="657"/>
      <c r="HGD1" s="657"/>
      <c r="HGE1" s="657"/>
      <c r="HGF1" s="657"/>
      <c r="HGG1" s="657"/>
      <c r="HGH1" s="657"/>
      <c r="HGI1" s="657"/>
      <c r="HGJ1" s="657"/>
      <c r="HGK1" s="657"/>
      <c r="HGL1" s="657"/>
      <c r="HGM1" s="657"/>
      <c r="HGN1" s="657"/>
      <c r="HGO1" s="657"/>
      <c r="HGP1" s="657"/>
      <c r="HGQ1" s="657"/>
      <c r="HGR1" s="657"/>
      <c r="HGS1" s="657"/>
      <c r="HGT1" s="657"/>
      <c r="HGU1" s="657"/>
      <c r="HGV1" s="657"/>
      <c r="HGW1" s="657"/>
      <c r="HGX1" s="657"/>
      <c r="HGY1" s="657"/>
      <c r="HGZ1" s="657"/>
      <c r="HHA1" s="657"/>
      <c r="HHB1" s="657"/>
      <c r="HHC1" s="657"/>
      <c r="HHD1" s="657"/>
      <c r="HHE1" s="657"/>
      <c r="HHF1" s="657"/>
      <c r="HHG1" s="657"/>
      <c r="HHH1" s="657"/>
      <c r="HHI1" s="657"/>
      <c r="HHJ1" s="657"/>
      <c r="HHK1" s="657"/>
      <c r="HHL1" s="657"/>
      <c r="HHM1" s="657"/>
      <c r="HHN1" s="657"/>
      <c r="HHO1" s="657"/>
      <c r="HHP1" s="657"/>
      <c r="HHQ1" s="657"/>
      <c r="HHR1" s="657"/>
      <c r="HHS1" s="657"/>
      <c r="HHT1" s="657"/>
      <c r="HHU1" s="657"/>
      <c r="HHV1" s="657"/>
      <c r="HHW1" s="657"/>
      <c r="HHX1" s="657"/>
      <c r="HHY1" s="657"/>
      <c r="HHZ1" s="657"/>
      <c r="HIA1" s="657"/>
      <c r="HIB1" s="657"/>
      <c r="HIC1" s="657"/>
      <c r="HID1" s="657"/>
      <c r="HIE1" s="657"/>
      <c r="HIF1" s="657"/>
      <c r="HIG1" s="657"/>
      <c r="HIH1" s="657"/>
      <c r="HII1" s="657"/>
      <c r="HIJ1" s="657"/>
      <c r="HIK1" s="657"/>
      <c r="HIL1" s="657"/>
      <c r="HIM1" s="657"/>
      <c r="HIN1" s="657"/>
      <c r="HIO1" s="657"/>
      <c r="HIP1" s="657"/>
      <c r="HIQ1" s="657"/>
      <c r="HIR1" s="657"/>
      <c r="HIS1" s="657"/>
      <c r="HIT1" s="657"/>
      <c r="HIU1" s="657"/>
      <c r="HIV1" s="657"/>
      <c r="HIW1" s="657"/>
      <c r="HIX1" s="657"/>
      <c r="HIY1" s="657"/>
      <c r="HIZ1" s="657"/>
      <c r="HJA1" s="657"/>
      <c r="HJB1" s="657"/>
      <c r="HJC1" s="657"/>
      <c r="HJD1" s="657"/>
      <c r="HJE1" s="657"/>
      <c r="HJF1" s="657"/>
      <c r="HJG1" s="657"/>
      <c r="HJH1" s="657"/>
      <c r="HJI1" s="657"/>
      <c r="HJJ1" s="657"/>
      <c r="HJK1" s="657"/>
      <c r="HJL1" s="657"/>
      <c r="HJM1" s="657"/>
      <c r="HJN1" s="657"/>
      <c r="HJO1" s="657"/>
      <c r="HJP1" s="657"/>
      <c r="HJQ1" s="657"/>
      <c r="HJR1" s="657"/>
      <c r="HJS1" s="657"/>
      <c r="HJT1" s="657"/>
      <c r="HJU1" s="657"/>
      <c r="HJV1" s="657"/>
      <c r="HJW1" s="657"/>
      <c r="HJX1" s="657"/>
      <c r="HJY1" s="657"/>
      <c r="HJZ1" s="657"/>
      <c r="HKA1" s="657"/>
      <c r="HKB1" s="657"/>
      <c r="HKC1" s="657"/>
      <c r="HKD1" s="657"/>
      <c r="HKE1" s="657"/>
      <c r="HKF1" s="657"/>
      <c r="HKG1" s="657"/>
      <c r="HKH1" s="657"/>
      <c r="HKI1" s="657"/>
      <c r="HKJ1" s="657"/>
      <c r="HKK1" s="657"/>
      <c r="HKL1" s="657"/>
      <c r="HKM1" s="657"/>
      <c r="HKN1" s="657"/>
      <c r="HKO1" s="657"/>
      <c r="HKP1" s="657"/>
      <c r="HKQ1" s="657"/>
      <c r="HKR1" s="657"/>
      <c r="HKS1" s="657"/>
      <c r="HKT1" s="657"/>
      <c r="HKU1" s="657"/>
      <c r="HKV1" s="657"/>
      <c r="HKW1" s="657"/>
      <c r="HKX1" s="657"/>
      <c r="HKY1" s="657"/>
      <c r="HKZ1" s="657"/>
      <c r="HLA1" s="657"/>
      <c r="HLB1" s="657"/>
      <c r="HLC1" s="657"/>
      <c r="HLD1" s="657"/>
      <c r="HLE1" s="657"/>
      <c r="HLF1" s="657"/>
      <c r="HLG1" s="657"/>
      <c r="HLH1" s="657"/>
      <c r="HLI1" s="657"/>
      <c r="HLJ1" s="657"/>
      <c r="HLK1" s="657"/>
      <c r="HLL1" s="657"/>
      <c r="HLM1" s="657"/>
      <c r="HLN1" s="657"/>
      <c r="HLO1" s="657"/>
      <c r="HLP1" s="657"/>
      <c r="HLQ1" s="657"/>
      <c r="HLR1" s="657"/>
      <c r="HLS1" s="657"/>
      <c r="HLT1" s="657"/>
      <c r="HLU1" s="657"/>
      <c r="HLV1" s="657"/>
      <c r="HLW1" s="657"/>
      <c r="HLX1" s="657"/>
      <c r="HLY1" s="657"/>
      <c r="HLZ1" s="657"/>
      <c r="HMA1" s="657"/>
      <c r="HMB1" s="657"/>
      <c r="HMC1" s="657"/>
      <c r="HMD1" s="657"/>
      <c r="HME1" s="657"/>
      <c r="HMF1" s="657"/>
      <c r="HMG1" s="657"/>
      <c r="HMH1" s="657"/>
      <c r="HMI1" s="657"/>
      <c r="HMJ1" s="657"/>
      <c r="HMK1" s="657"/>
      <c r="HML1" s="657"/>
      <c r="HMM1" s="657"/>
      <c r="HMN1" s="657"/>
      <c r="HMO1" s="657"/>
      <c r="HMP1" s="657"/>
      <c r="HMQ1" s="657"/>
      <c r="HMR1" s="657"/>
      <c r="HMS1" s="657"/>
      <c r="HMT1" s="657"/>
      <c r="HMU1" s="657"/>
      <c r="HMV1" s="657"/>
      <c r="HMW1" s="657"/>
      <c r="HMX1" s="657"/>
      <c r="HMY1" s="657"/>
      <c r="HMZ1" s="657"/>
      <c r="HNA1" s="657"/>
      <c r="HNB1" s="657"/>
      <c r="HNC1" s="657"/>
      <c r="HND1" s="657"/>
      <c r="HNE1" s="657"/>
      <c r="HNF1" s="657"/>
      <c r="HNG1" s="657"/>
      <c r="HNH1" s="657"/>
      <c r="HNI1" s="657"/>
      <c r="HNJ1" s="657"/>
      <c r="HNK1" s="657"/>
      <c r="HNL1" s="657"/>
      <c r="HNM1" s="657"/>
      <c r="HNN1" s="657"/>
      <c r="HNO1" s="657"/>
      <c r="HNP1" s="657"/>
      <c r="HNQ1" s="657"/>
      <c r="HNR1" s="657"/>
      <c r="HNS1" s="657"/>
      <c r="HNT1" s="657"/>
      <c r="HNU1" s="657"/>
      <c r="HNV1" s="657"/>
      <c r="HNW1" s="657"/>
      <c r="HNX1" s="657"/>
      <c r="HNY1" s="657"/>
      <c r="HNZ1" s="657"/>
      <c r="HOA1" s="657"/>
      <c r="HOB1" s="657"/>
      <c r="HOC1" s="657"/>
      <c r="HOD1" s="657"/>
      <c r="HOE1" s="657"/>
      <c r="HOF1" s="657"/>
      <c r="HOG1" s="657"/>
      <c r="HOH1" s="657"/>
      <c r="HOI1" s="657"/>
      <c r="HOJ1" s="657"/>
      <c r="HOK1" s="657"/>
      <c r="HOL1" s="657"/>
      <c r="HOM1" s="657"/>
      <c r="HON1" s="657"/>
      <c r="HOO1" s="657"/>
      <c r="HOP1" s="657"/>
      <c r="HOQ1" s="657"/>
      <c r="HOR1" s="657"/>
      <c r="HOS1" s="657"/>
      <c r="HOT1" s="657"/>
      <c r="HOU1" s="657"/>
      <c r="HOV1" s="657"/>
      <c r="HOW1" s="657"/>
      <c r="HOX1" s="657"/>
      <c r="HOY1" s="657"/>
      <c r="HOZ1" s="657"/>
      <c r="HPA1" s="657"/>
      <c r="HPB1" s="657"/>
      <c r="HPC1" s="657"/>
      <c r="HPD1" s="657"/>
      <c r="HPE1" s="657"/>
      <c r="HPF1" s="657"/>
      <c r="HPG1" s="657"/>
      <c r="HPH1" s="657"/>
      <c r="HPI1" s="657"/>
      <c r="HPJ1" s="657"/>
      <c r="HPK1" s="657"/>
      <c r="HPL1" s="657"/>
      <c r="HPM1" s="657"/>
      <c r="HPN1" s="657"/>
      <c r="HPO1" s="657"/>
      <c r="HPP1" s="657"/>
      <c r="HPQ1" s="657"/>
      <c r="HPR1" s="657"/>
      <c r="HPS1" s="657"/>
      <c r="HPT1" s="657"/>
      <c r="HPU1" s="657"/>
      <c r="HPV1" s="657"/>
      <c r="HPW1" s="657"/>
      <c r="HPX1" s="657"/>
      <c r="HPY1" s="657"/>
      <c r="HPZ1" s="657"/>
      <c r="HQA1" s="657"/>
      <c r="HQB1" s="657"/>
      <c r="HQC1" s="657"/>
      <c r="HQD1" s="657"/>
      <c r="HQE1" s="657"/>
      <c r="HQF1" s="657"/>
      <c r="HQG1" s="657"/>
      <c r="HQH1" s="657"/>
      <c r="HQI1" s="657"/>
      <c r="HQJ1" s="657"/>
      <c r="HQK1" s="657"/>
      <c r="HQL1" s="657"/>
      <c r="HQM1" s="657"/>
      <c r="HQN1" s="657"/>
      <c r="HQO1" s="657"/>
      <c r="HQP1" s="657"/>
      <c r="HQQ1" s="657"/>
      <c r="HQR1" s="657"/>
      <c r="HQS1" s="657"/>
      <c r="HQT1" s="657"/>
      <c r="HQU1" s="657"/>
      <c r="HQV1" s="657"/>
      <c r="HQW1" s="657"/>
      <c r="HQX1" s="657"/>
      <c r="HQY1" s="657"/>
      <c r="HQZ1" s="657"/>
      <c r="HRA1" s="657"/>
      <c r="HRB1" s="657"/>
      <c r="HRC1" s="657"/>
      <c r="HRD1" s="657"/>
      <c r="HRE1" s="657"/>
      <c r="HRF1" s="657"/>
      <c r="HRG1" s="657"/>
      <c r="HRH1" s="657"/>
      <c r="HRI1" s="657"/>
      <c r="HRJ1" s="657"/>
      <c r="HRK1" s="657"/>
      <c r="HRL1" s="657"/>
      <c r="HRM1" s="657"/>
      <c r="HRN1" s="657"/>
      <c r="HRO1" s="657"/>
      <c r="HRP1" s="657"/>
      <c r="HRQ1" s="657"/>
      <c r="HRR1" s="657"/>
      <c r="HRS1" s="657"/>
      <c r="HRT1" s="657"/>
      <c r="HRU1" s="657"/>
      <c r="HRV1" s="657"/>
      <c r="HRW1" s="657"/>
      <c r="HRX1" s="657"/>
      <c r="HRY1" s="657"/>
      <c r="HRZ1" s="657"/>
      <c r="HSA1" s="657"/>
      <c r="HSB1" s="657"/>
      <c r="HSC1" s="657"/>
      <c r="HSD1" s="657"/>
      <c r="HSE1" s="657"/>
      <c r="HSF1" s="657"/>
      <c r="HSG1" s="657"/>
      <c r="HSH1" s="657"/>
      <c r="HSI1" s="657"/>
      <c r="HSJ1" s="657"/>
      <c r="HSK1" s="657"/>
      <c r="HSL1" s="657"/>
      <c r="HSM1" s="657"/>
      <c r="HSN1" s="657"/>
      <c r="HSO1" s="657"/>
      <c r="HSP1" s="657"/>
      <c r="HSQ1" s="657"/>
      <c r="HSR1" s="657"/>
      <c r="HSS1" s="657"/>
      <c r="HST1" s="657"/>
      <c r="HSU1" s="657"/>
      <c r="HSV1" s="657"/>
      <c r="HSW1" s="657"/>
      <c r="HSX1" s="657"/>
      <c r="HSY1" s="657"/>
      <c r="HSZ1" s="657"/>
      <c r="HTA1" s="657"/>
      <c r="HTB1" s="657"/>
      <c r="HTC1" s="657"/>
      <c r="HTD1" s="657"/>
      <c r="HTE1" s="657"/>
      <c r="HTF1" s="657"/>
      <c r="HTG1" s="657"/>
      <c r="HTH1" s="657"/>
      <c r="HTI1" s="657"/>
      <c r="HTJ1" s="657"/>
      <c r="HTK1" s="657"/>
      <c r="HTL1" s="657"/>
      <c r="HTM1" s="657"/>
      <c r="HTN1" s="657"/>
      <c r="HTO1" s="657"/>
      <c r="HTP1" s="657"/>
      <c r="HTQ1" s="657"/>
      <c r="HTR1" s="657"/>
      <c r="HTS1" s="657"/>
      <c r="HTT1" s="657"/>
      <c r="HTU1" s="657"/>
      <c r="HTV1" s="657"/>
      <c r="HTW1" s="657"/>
      <c r="HTX1" s="657"/>
      <c r="HTY1" s="657"/>
      <c r="HTZ1" s="657"/>
      <c r="HUA1" s="657"/>
      <c r="HUB1" s="657"/>
      <c r="HUC1" s="657"/>
      <c r="HUD1" s="657"/>
      <c r="HUE1" s="657"/>
      <c r="HUF1" s="657"/>
      <c r="HUG1" s="657"/>
      <c r="HUH1" s="657"/>
      <c r="HUI1" s="657"/>
      <c r="HUJ1" s="657"/>
      <c r="HUK1" s="657"/>
      <c r="HUL1" s="657"/>
      <c r="HUM1" s="657"/>
      <c r="HUN1" s="657"/>
      <c r="HUO1" s="657"/>
      <c r="HUP1" s="657"/>
      <c r="HUQ1" s="657"/>
      <c r="HUR1" s="657"/>
      <c r="HUS1" s="657"/>
      <c r="HUT1" s="657"/>
      <c r="HUU1" s="657"/>
      <c r="HUV1" s="657"/>
      <c r="HUW1" s="657"/>
      <c r="HUX1" s="657"/>
      <c r="HUY1" s="657"/>
      <c r="HUZ1" s="657"/>
      <c r="HVA1" s="657"/>
      <c r="HVB1" s="657"/>
      <c r="HVC1" s="657"/>
      <c r="HVD1" s="657"/>
      <c r="HVE1" s="657"/>
      <c r="HVF1" s="657"/>
      <c r="HVG1" s="657"/>
      <c r="HVH1" s="657"/>
      <c r="HVI1" s="657"/>
      <c r="HVJ1" s="657"/>
      <c r="HVK1" s="657"/>
      <c r="HVL1" s="657"/>
      <c r="HVM1" s="657"/>
      <c r="HVN1" s="657"/>
      <c r="HVO1" s="657"/>
      <c r="HVP1" s="657"/>
      <c r="HVQ1" s="657"/>
      <c r="HVR1" s="657"/>
      <c r="HVS1" s="657"/>
      <c r="HVT1" s="657"/>
      <c r="HVU1" s="657"/>
      <c r="HVV1" s="657"/>
      <c r="HVW1" s="657"/>
      <c r="HVX1" s="657"/>
      <c r="HVY1" s="657"/>
      <c r="HVZ1" s="657"/>
      <c r="HWA1" s="657"/>
      <c r="HWB1" s="657"/>
      <c r="HWC1" s="657"/>
      <c r="HWD1" s="657"/>
      <c r="HWE1" s="657"/>
      <c r="HWF1" s="657"/>
      <c r="HWG1" s="657"/>
      <c r="HWH1" s="657"/>
      <c r="HWI1" s="657"/>
      <c r="HWJ1" s="657"/>
      <c r="HWK1" s="657"/>
      <c r="HWL1" s="657"/>
      <c r="HWM1" s="657"/>
      <c r="HWN1" s="657"/>
      <c r="HWO1" s="657"/>
      <c r="HWP1" s="657"/>
      <c r="HWQ1" s="657"/>
      <c r="HWR1" s="657"/>
      <c r="HWS1" s="657"/>
      <c r="HWT1" s="657"/>
      <c r="HWU1" s="657"/>
      <c r="HWV1" s="657"/>
      <c r="HWW1" s="657"/>
      <c r="HWX1" s="657"/>
      <c r="HWY1" s="657"/>
      <c r="HWZ1" s="657"/>
      <c r="HXA1" s="657"/>
      <c r="HXB1" s="657"/>
      <c r="HXC1" s="657"/>
      <c r="HXD1" s="657"/>
      <c r="HXE1" s="657"/>
      <c r="HXF1" s="657"/>
      <c r="HXG1" s="657"/>
      <c r="HXH1" s="657"/>
      <c r="HXI1" s="657"/>
      <c r="HXJ1" s="657"/>
      <c r="HXK1" s="657"/>
      <c r="HXL1" s="657"/>
      <c r="HXM1" s="657"/>
      <c r="HXN1" s="657"/>
      <c r="HXO1" s="657"/>
      <c r="HXP1" s="657"/>
      <c r="HXQ1" s="657"/>
      <c r="HXR1" s="657"/>
      <c r="HXS1" s="657"/>
      <c r="HXT1" s="657"/>
      <c r="HXU1" s="657"/>
      <c r="HXV1" s="657"/>
      <c r="HXW1" s="657"/>
      <c r="HXX1" s="657"/>
      <c r="HXY1" s="657"/>
      <c r="HXZ1" s="657"/>
      <c r="HYA1" s="657"/>
      <c r="HYB1" s="657"/>
      <c r="HYC1" s="657"/>
      <c r="HYD1" s="657"/>
      <c r="HYE1" s="657"/>
      <c r="HYF1" s="657"/>
      <c r="HYG1" s="657"/>
      <c r="HYH1" s="657"/>
      <c r="HYI1" s="657"/>
      <c r="HYJ1" s="657"/>
      <c r="HYK1" s="657"/>
      <c r="HYL1" s="657"/>
      <c r="HYM1" s="657"/>
      <c r="HYN1" s="657"/>
      <c r="HYO1" s="657"/>
      <c r="HYP1" s="657"/>
      <c r="HYQ1" s="657"/>
      <c r="HYR1" s="657"/>
      <c r="HYS1" s="657"/>
      <c r="HYT1" s="657"/>
      <c r="HYU1" s="657"/>
      <c r="HYV1" s="657"/>
      <c r="HYW1" s="657"/>
      <c r="HYX1" s="657"/>
      <c r="HYY1" s="657"/>
      <c r="HYZ1" s="657"/>
      <c r="HZA1" s="657"/>
      <c r="HZB1" s="657"/>
      <c r="HZC1" s="657"/>
      <c r="HZD1" s="657"/>
      <c r="HZE1" s="657"/>
      <c r="HZF1" s="657"/>
      <c r="HZG1" s="657"/>
      <c r="HZH1" s="657"/>
      <c r="HZI1" s="657"/>
      <c r="HZJ1" s="657"/>
      <c r="HZK1" s="657"/>
      <c r="HZL1" s="657"/>
      <c r="HZM1" s="657"/>
      <c r="HZN1" s="657"/>
      <c r="HZO1" s="657"/>
      <c r="HZP1" s="657"/>
      <c r="HZQ1" s="657"/>
      <c r="HZR1" s="657"/>
      <c r="HZS1" s="657"/>
      <c r="HZT1" s="657"/>
      <c r="HZU1" s="657"/>
      <c r="HZV1" s="657"/>
      <c r="HZW1" s="657"/>
      <c r="HZX1" s="657"/>
      <c r="HZY1" s="657"/>
      <c r="HZZ1" s="657"/>
      <c r="IAA1" s="657"/>
      <c r="IAB1" s="657"/>
      <c r="IAC1" s="657"/>
      <c r="IAD1" s="657"/>
      <c r="IAE1" s="657"/>
      <c r="IAF1" s="657"/>
      <c r="IAG1" s="657"/>
      <c r="IAH1" s="657"/>
      <c r="IAI1" s="657"/>
      <c r="IAJ1" s="657"/>
      <c r="IAK1" s="657"/>
      <c r="IAL1" s="657"/>
      <c r="IAM1" s="657"/>
      <c r="IAN1" s="657"/>
      <c r="IAO1" s="657"/>
      <c r="IAP1" s="657"/>
      <c r="IAQ1" s="657"/>
      <c r="IAR1" s="657"/>
      <c r="IAS1" s="657"/>
      <c r="IAT1" s="657"/>
      <c r="IAU1" s="657"/>
      <c r="IAV1" s="657"/>
      <c r="IAW1" s="657"/>
      <c r="IAX1" s="657"/>
      <c r="IAY1" s="657"/>
      <c r="IAZ1" s="657"/>
      <c r="IBA1" s="657"/>
      <c r="IBB1" s="657"/>
      <c r="IBC1" s="657"/>
      <c r="IBD1" s="657"/>
      <c r="IBE1" s="657"/>
      <c r="IBF1" s="657"/>
      <c r="IBG1" s="657"/>
      <c r="IBH1" s="657"/>
      <c r="IBI1" s="657"/>
      <c r="IBJ1" s="657"/>
      <c r="IBK1" s="657"/>
      <c r="IBL1" s="657"/>
      <c r="IBM1" s="657"/>
      <c r="IBN1" s="657"/>
      <c r="IBO1" s="657"/>
      <c r="IBP1" s="657"/>
      <c r="IBQ1" s="657"/>
      <c r="IBR1" s="657"/>
      <c r="IBS1" s="657"/>
      <c r="IBT1" s="657"/>
      <c r="IBU1" s="657"/>
      <c r="IBV1" s="657"/>
      <c r="IBW1" s="657"/>
      <c r="IBX1" s="657"/>
      <c r="IBY1" s="657"/>
      <c r="IBZ1" s="657"/>
      <c r="ICA1" s="657"/>
      <c r="ICB1" s="657"/>
      <c r="ICC1" s="657"/>
      <c r="ICD1" s="657"/>
      <c r="ICE1" s="657"/>
      <c r="ICF1" s="657"/>
      <c r="ICG1" s="657"/>
      <c r="ICH1" s="657"/>
      <c r="ICI1" s="657"/>
      <c r="ICJ1" s="657"/>
      <c r="ICK1" s="657"/>
      <c r="ICL1" s="657"/>
      <c r="ICM1" s="657"/>
      <c r="ICN1" s="657"/>
      <c r="ICO1" s="657"/>
      <c r="ICP1" s="657"/>
      <c r="ICQ1" s="657"/>
      <c r="ICR1" s="657"/>
      <c r="ICS1" s="657"/>
      <c r="ICT1" s="657"/>
      <c r="ICU1" s="657"/>
      <c r="ICV1" s="657"/>
      <c r="ICW1" s="657"/>
      <c r="ICX1" s="657"/>
      <c r="ICY1" s="657"/>
      <c r="ICZ1" s="657"/>
      <c r="IDA1" s="657"/>
      <c r="IDB1" s="657"/>
      <c r="IDC1" s="657"/>
      <c r="IDD1" s="657"/>
      <c r="IDE1" s="657"/>
      <c r="IDF1" s="657"/>
      <c r="IDG1" s="657"/>
      <c r="IDH1" s="657"/>
      <c r="IDI1" s="657"/>
      <c r="IDJ1" s="657"/>
      <c r="IDK1" s="657"/>
      <c r="IDL1" s="657"/>
      <c r="IDM1" s="657"/>
      <c r="IDN1" s="657"/>
      <c r="IDO1" s="657"/>
      <c r="IDP1" s="657"/>
      <c r="IDQ1" s="657"/>
      <c r="IDR1" s="657"/>
      <c r="IDS1" s="657"/>
      <c r="IDT1" s="657"/>
      <c r="IDU1" s="657"/>
      <c r="IDV1" s="657"/>
      <c r="IDW1" s="657"/>
      <c r="IDX1" s="657"/>
      <c r="IDY1" s="657"/>
      <c r="IDZ1" s="657"/>
      <c r="IEA1" s="657"/>
      <c r="IEB1" s="657"/>
      <c r="IEC1" s="657"/>
      <c r="IED1" s="657"/>
      <c r="IEE1" s="657"/>
      <c r="IEF1" s="657"/>
      <c r="IEG1" s="657"/>
      <c r="IEH1" s="657"/>
      <c r="IEI1" s="657"/>
      <c r="IEJ1" s="657"/>
      <c r="IEK1" s="657"/>
      <c r="IEL1" s="657"/>
      <c r="IEM1" s="657"/>
      <c r="IEN1" s="657"/>
      <c r="IEO1" s="657"/>
      <c r="IEP1" s="657"/>
      <c r="IEQ1" s="657"/>
      <c r="IER1" s="657"/>
      <c r="IES1" s="657"/>
      <c r="IET1" s="657"/>
      <c r="IEU1" s="657"/>
      <c r="IEV1" s="657"/>
      <c r="IEW1" s="657"/>
      <c r="IEX1" s="657"/>
      <c r="IEY1" s="657"/>
      <c r="IEZ1" s="657"/>
      <c r="IFA1" s="657"/>
      <c r="IFB1" s="657"/>
      <c r="IFC1" s="657"/>
      <c r="IFD1" s="657"/>
      <c r="IFE1" s="657"/>
      <c r="IFF1" s="657"/>
      <c r="IFG1" s="657"/>
      <c r="IFH1" s="657"/>
      <c r="IFI1" s="657"/>
      <c r="IFJ1" s="657"/>
      <c r="IFK1" s="657"/>
      <c r="IFL1" s="657"/>
      <c r="IFM1" s="657"/>
      <c r="IFN1" s="657"/>
      <c r="IFO1" s="657"/>
      <c r="IFP1" s="657"/>
      <c r="IFQ1" s="657"/>
      <c r="IFR1" s="657"/>
      <c r="IFS1" s="657"/>
      <c r="IFT1" s="657"/>
      <c r="IFU1" s="657"/>
      <c r="IFV1" s="657"/>
      <c r="IFW1" s="657"/>
      <c r="IFX1" s="657"/>
      <c r="IFY1" s="657"/>
      <c r="IFZ1" s="657"/>
      <c r="IGA1" s="657"/>
      <c r="IGB1" s="657"/>
      <c r="IGC1" s="657"/>
      <c r="IGD1" s="657"/>
      <c r="IGE1" s="657"/>
      <c r="IGF1" s="657"/>
      <c r="IGG1" s="657"/>
      <c r="IGH1" s="657"/>
      <c r="IGI1" s="657"/>
      <c r="IGJ1" s="657"/>
      <c r="IGK1" s="657"/>
      <c r="IGL1" s="657"/>
      <c r="IGM1" s="657"/>
      <c r="IGN1" s="657"/>
      <c r="IGO1" s="657"/>
      <c r="IGP1" s="657"/>
      <c r="IGQ1" s="657"/>
      <c r="IGR1" s="657"/>
      <c r="IGS1" s="657"/>
      <c r="IGT1" s="657"/>
      <c r="IGU1" s="657"/>
      <c r="IGV1" s="657"/>
      <c r="IGW1" s="657"/>
      <c r="IGX1" s="657"/>
      <c r="IGY1" s="657"/>
      <c r="IGZ1" s="657"/>
      <c r="IHA1" s="657"/>
      <c r="IHB1" s="657"/>
      <c r="IHC1" s="657"/>
      <c r="IHD1" s="657"/>
      <c r="IHE1" s="657"/>
      <c r="IHF1" s="657"/>
      <c r="IHG1" s="657"/>
      <c r="IHH1" s="657"/>
      <c r="IHI1" s="657"/>
      <c r="IHJ1" s="657"/>
      <c r="IHK1" s="657"/>
      <c r="IHL1" s="657"/>
      <c r="IHM1" s="657"/>
      <c r="IHN1" s="657"/>
      <c r="IHO1" s="657"/>
      <c r="IHP1" s="657"/>
      <c r="IHQ1" s="657"/>
      <c r="IHR1" s="657"/>
      <c r="IHS1" s="657"/>
      <c r="IHT1" s="657"/>
      <c r="IHU1" s="657"/>
      <c r="IHV1" s="657"/>
      <c r="IHW1" s="657"/>
      <c r="IHX1" s="657"/>
      <c r="IHY1" s="657"/>
      <c r="IHZ1" s="657"/>
      <c r="IIA1" s="657"/>
      <c r="IIB1" s="657"/>
      <c r="IIC1" s="657"/>
      <c r="IID1" s="657"/>
      <c r="IIE1" s="657"/>
      <c r="IIF1" s="657"/>
      <c r="IIG1" s="657"/>
      <c r="IIH1" s="657"/>
      <c r="III1" s="657"/>
      <c r="IIJ1" s="657"/>
      <c r="IIK1" s="657"/>
      <c r="IIL1" s="657"/>
      <c r="IIM1" s="657"/>
      <c r="IIN1" s="657"/>
      <c r="IIO1" s="657"/>
      <c r="IIP1" s="657"/>
      <c r="IIQ1" s="657"/>
      <c r="IIR1" s="657"/>
      <c r="IIS1" s="657"/>
      <c r="IIT1" s="657"/>
      <c r="IIU1" s="657"/>
      <c r="IIV1" s="657"/>
      <c r="IIW1" s="657"/>
      <c r="IIX1" s="657"/>
      <c r="IIY1" s="657"/>
      <c r="IIZ1" s="657"/>
      <c r="IJA1" s="657"/>
      <c r="IJB1" s="657"/>
      <c r="IJC1" s="657"/>
      <c r="IJD1" s="657"/>
      <c r="IJE1" s="657"/>
      <c r="IJF1" s="657"/>
      <c r="IJG1" s="657"/>
      <c r="IJH1" s="657"/>
      <c r="IJI1" s="657"/>
      <c r="IJJ1" s="657"/>
      <c r="IJK1" s="657"/>
      <c r="IJL1" s="657"/>
      <c r="IJM1" s="657"/>
      <c r="IJN1" s="657"/>
      <c r="IJO1" s="657"/>
      <c r="IJP1" s="657"/>
      <c r="IJQ1" s="657"/>
      <c r="IJR1" s="657"/>
      <c r="IJS1" s="657"/>
      <c r="IJT1" s="657"/>
      <c r="IJU1" s="657"/>
      <c r="IJV1" s="657"/>
      <c r="IJW1" s="657"/>
      <c r="IJX1" s="657"/>
      <c r="IJY1" s="657"/>
      <c r="IJZ1" s="657"/>
      <c r="IKA1" s="657"/>
      <c r="IKB1" s="657"/>
      <c r="IKC1" s="657"/>
      <c r="IKD1" s="657"/>
      <c r="IKE1" s="657"/>
      <c r="IKF1" s="657"/>
      <c r="IKG1" s="657"/>
      <c r="IKH1" s="657"/>
      <c r="IKI1" s="657"/>
      <c r="IKJ1" s="657"/>
      <c r="IKK1" s="657"/>
      <c r="IKL1" s="657"/>
      <c r="IKM1" s="657"/>
      <c r="IKN1" s="657"/>
      <c r="IKO1" s="657"/>
      <c r="IKP1" s="657"/>
      <c r="IKQ1" s="657"/>
      <c r="IKR1" s="657"/>
      <c r="IKS1" s="657"/>
      <c r="IKT1" s="657"/>
      <c r="IKU1" s="657"/>
      <c r="IKV1" s="657"/>
      <c r="IKW1" s="657"/>
      <c r="IKX1" s="657"/>
      <c r="IKY1" s="657"/>
      <c r="IKZ1" s="657"/>
      <c r="ILA1" s="657"/>
      <c r="ILB1" s="657"/>
      <c r="ILC1" s="657"/>
      <c r="ILD1" s="657"/>
      <c r="ILE1" s="657"/>
      <c r="ILF1" s="657"/>
      <c r="ILG1" s="657"/>
      <c r="ILH1" s="657"/>
      <c r="ILI1" s="657"/>
      <c r="ILJ1" s="657"/>
      <c r="ILK1" s="657"/>
      <c r="ILL1" s="657"/>
      <c r="ILM1" s="657"/>
      <c r="ILN1" s="657"/>
      <c r="ILO1" s="657"/>
      <c r="ILP1" s="657"/>
      <c r="ILQ1" s="657"/>
      <c r="ILR1" s="657"/>
      <c r="ILS1" s="657"/>
      <c r="ILT1" s="657"/>
      <c r="ILU1" s="657"/>
      <c r="ILV1" s="657"/>
      <c r="ILW1" s="657"/>
      <c r="ILX1" s="657"/>
      <c r="ILY1" s="657"/>
      <c r="ILZ1" s="657"/>
      <c r="IMA1" s="657"/>
      <c r="IMB1" s="657"/>
      <c r="IMC1" s="657"/>
      <c r="IMD1" s="657"/>
      <c r="IME1" s="657"/>
      <c r="IMF1" s="657"/>
      <c r="IMG1" s="657"/>
      <c r="IMH1" s="657"/>
      <c r="IMI1" s="657"/>
      <c r="IMJ1" s="657"/>
      <c r="IMK1" s="657"/>
      <c r="IML1" s="657"/>
      <c r="IMM1" s="657"/>
      <c r="IMN1" s="657"/>
      <c r="IMO1" s="657"/>
      <c r="IMP1" s="657"/>
      <c r="IMQ1" s="657"/>
      <c r="IMR1" s="657"/>
      <c r="IMS1" s="657"/>
      <c r="IMT1" s="657"/>
      <c r="IMU1" s="657"/>
      <c r="IMV1" s="657"/>
      <c r="IMW1" s="657"/>
      <c r="IMX1" s="657"/>
      <c r="IMY1" s="657"/>
      <c r="IMZ1" s="657"/>
      <c r="INA1" s="657"/>
      <c r="INB1" s="657"/>
      <c r="INC1" s="657"/>
      <c r="IND1" s="657"/>
      <c r="INE1" s="657"/>
      <c r="INF1" s="657"/>
      <c r="ING1" s="657"/>
      <c r="INH1" s="657"/>
      <c r="INI1" s="657"/>
      <c r="INJ1" s="657"/>
      <c r="INK1" s="657"/>
      <c r="INL1" s="657"/>
      <c r="INM1" s="657"/>
      <c r="INN1" s="657"/>
      <c r="INO1" s="657"/>
      <c r="INP1" s="657"/>
      <c r="INQ1" s="657"/>
      <c r="INR1" s="657"/>
      <c r="INS1" s="657"/>
      <c r="INT1" s="657"/>
      <c r="INU1" s="657"/>
      <c r="INV1" s="657"/>
      <c r="INW1" s="657"/>
      <c r="INX1" s="657"/>
      <c r="INY1" s="657"/>
      <c r="INZ1" s="657"/>
      <c r="IOA1" s="657"/>
      <c r="IOB1" s="657"/>
      <c r="IOC1" s="657"/>
      <c r="IOD1" s="657"/>
      <c r="IOE1" s="657"/>
      <c r="IOF1" s="657"/>
      <c r="IOG1" s="657"/>
      <c r="IOH1" s="657"/>
      <c r="IOI1" s="657"/>
      <c r="IOJ1" s="657"/>
      <c r="IOK1" s="657"/>
      <c r="IOL1" s="657"/>
      <c r="IOM1" s="657"/>
      <c r="ION1" s="657"/>
      <c r="IOO1" s="657"/>
      <c r="IOP1" s="657"/>
      <c r="IOQ1" s="657"/>
      <c r="IOR1" s="657"/>
      <c r="IOS1" s="657"/>
      <c r="IOT1" s="657"/>
      <c r="IOU1" s="657"/>
      <c r="IOV1" s="657"/>
      <c r="IOW1" s="657"/>
      <c r="IOX1" s="657"/>
      <c r="IOY1" s="657"/>
      <c r="IOZ1" s="657"/>
      <c r="IPA1" s="657"/>
      <c r="IPB1" s="657"/>
      <c r="IPC1" s="657"/>
      <c r="IPD1" s="657"/>
      <c r="IPE1" s="657"/>
      <c r="IPF1" s="657"/>
      <c r="IPG1" s="657"/>
      <c r="IPH1" s="657"/>
      <c r="IPI1" s="657"/>
      <c r="IPJ1" s="657"/>
      <c r="IPK1" s="657"/>
      <c r="IPL1" s="657"/>
      <c r="IPM1" s="657"/>
      <c r="IPN1" s="657"/>
      <c r="IPO1" s="657"/>
      <c r="IPP1" s="657"/>
      <c r="IPQ1" s="657"/>
      <c r="IPR1" s="657"/>
      <c r="IPS1" s="657"/>
      <c r="IPT1" s="657"/>
      <c r="IPU1" s="657"/>
      <c r="IPV1" s="657"/>
      <c r="IPW1" s="657"/>
      <c r="IPX1" s="657"/>
      <c r="IPY1" s="657"/>
      <c r="IPZ1" s="657"/>
      <c r="IQA1" s="657"/>
      <c r="IQB1" s="657"/>
      <c r="IQC1" s="657"/>
      <c r="IQD1" s="657"/>
      <c r="IQE1" s="657"/>
      <c r="IQF1" s="657"/>
      <c r="IQG1" s="657"/>
      <c r="IQH1" s="657"/>
      <c r="IQI1" s="657"/>
      <c r="IQJ1" s="657"/>
      <c r="IQK1" s="657"/>
      <c r="IQL1" s="657"/>
      <c r="IQM1" s="657"/>
      <c r="IQN1" s="657"/>
      <c r="IQO1" s="657"/>
      <c r="IQP1" s="657"/>
      <c r="IQQ1" s="657"/>
      <c r="IQR1" s="657"/>
      <c r="IQS1" s="657"/>
      <c r="IQT1" s="657"/>
      <c r="IQU1" s="657"/>
      <c r="IQV1" s="657"/>
      <c r="IQW1" s="657"/>
      <c r="IQX1" s="657"/>
      <c r="IQY1" s="657"/>
      <c r="IQZ1" s="657"/>
      <c r="IRA1" s="657"/>
      <c r="IRB1" s="657"/>
      <c r="IRC1" s="657"/>
      <c r="IRD1" s="657"/>
      <c r="IRE1" s="657"/>
      <c r="IRF1" s="657"/>
      <c r="IRG1" s="657"/>
      <c r="IRH1" s="657"/>
      <c r="IRI1" s="657"/>
      <c r="IRJ1" s="657"/>
      <c r="IRK1" s="657"/>
      <c r="IRL1" s="657"/>
      <c r="IRM1" s="657"/>
      <c r="IRN1" s="657"/>
      <c r="IRO1" s="657"/>
      <c r="IRP1" s="657"/>
      <c r="IRQ1" s="657"/>
      <c r="IRR1" s="657"/>
      <c r="IRS1" s="657"/>
      <c r="IRT1" s="657"/>
      <c r="IRU1" s="657"/>
      <c r="IRV1" s="657"/>
      <c r="IRW1" s="657"/>
      <c r="IRX1" s="657"/>
      <c r="IRY1" s="657"/>
      <c r="IRZ1" s="657"/>
      <c r="ISA1" s="657"/>
      <c r="ISB1" s="657"/>
      <c r="ISC1" s="657"/>
      <c r="ISD1" s="657"/>
      <c r="ISE1" s="657"/>
      <c r="ISF1" s="657"/>
      <c r="ISG1" s="657"/>
      <c r="ISH1" s="657"/>
      <c r="ISI1" s="657"/>
      <c r="ISJ1" s="657"/>
      <c r="ISK1" s="657"/>
      <c r="ISL1" s="657"/>
      <c r="ISM1" s="657"/>
      <c r="ISN1" s="657"/>
      <c r="ISO1" s="657"/>
      <c r="ISP1" s="657"/>
      <c r="ISQ1" s="657"/>
      <c r="ISR1" s="657"/>
      <c r="ISS1" s="657"/>
      <c r="IST1" s="657"/>
      <c r="ISU1" s="657"/>
      <c r="ISV1" s="657"/>
      <c r="ISW1" s="657"/>
      <c r="ISX1" s="657"/>
      <c r="ISY1" s="657"/>
      <c r="ISZ1" s="657"/>
      <c r="ITA1" s="657"/>
      <c r="ITB1" s="657"/>
      <c r="ITC1" s="657"/>
      <c r="ITD1" s="657"/>
      <c r="ITE1" s="657"/>
      <c r="ITF1" s="657"/>
      <c r="ITG1" s="657"/>
      <c r="ITH1" s="657"/>
      <c r="ITI1" s="657"/>
      <c r="ITJ1" s="657"/>
      <c r="ITK1" s="657"/>
      <c r="ITL1" s="657"/>
      <c r="ITM1" s="657"/>
      <c r="ITN1" s="657"/>
      <c r="ITO1" s="657"/>
      <c r="ITP1" s="657"/>
      <c r="ITQ1" s="657"/>
      <c r="ITR1" s="657"/>
      <c r="ITS1" s="657"/>
      <c r="ITT1" s="657"/>
      <c r="ITU1" s="657"/>
      <c r="ITV1" s="657"/>
      <c r="ITW1" s="657"/>
      <c r="ITX1" s="657"/>
      <c r="ITY1" s="657"/>
      <c r="ITZ1" s="657"/>
      <c r="IUA1" s="657"/>
      <c r="IUB1" s="657"/>
      <c r="IUC1" s="657"/>
      <c r="IUD1" s="657"/>
      <c r="IUE1" s="657"/>
      <c r="IUF1" s="657"/>
      <c r="IUG1" s="657"/>
      <c r="IUH1" s="657"/>
      <c r="IUI1" s="657"/>
      <c r="IUJ1" s="657"/>
      <c r="IUK1" s="657"/>
      <c r="IUL1" s="657"/>
      <c r="IUM1" s="657"/>
      <c r="IUN1" s="657"/>
      <c r="IUO1" s="657"/>
      <c r="IUP1" s="657"/>
      <c r="IUQ1" s="657"/>
      <c r="IUR1" s="657"/>
      <c r="IUS1" s="657"/>
      <c r="IUT1" s="657"/>
      <c r="IUU1" s="657"/>
      <c r="IUV1" s="657"/>
      <c r="IUW1" s="657"/>
      <c r="IUX1" s="657"/>
      <c r="IUY1" s="657"/>
      <c r="IUZ1" s="657"/>
      <c r="IVA1" s="657"/>
      <c r="IVB1" s="657"/>
      <c r="IVC1" s="657"/>
      <c r="IVD1" s="657"/>
      <c r="IVE1" s="657"/>
      <c r="IVF1" s="657"/>
      <c r="IVG1" s="657"/>
      <c r="IVH1" s="657"/>
      <c r="IVI1" s="657"/>
      <c r="IVJ1" s="657"/>
      <c r="IVK1" s="657"/>
      <c r="IVL1" s="657"/>
      <c r="IVM1" s="657"/>
      <c r="IVN1" s="657"/>
      <c r="IVO1" s="657"/>
      <c r="IVP1" s="657"/>
      <c r="IVQ1" s="657"/>
      <c r="IVR1" s="657"/>
      <c r="IVS1" s="657"/>
      <c r="IVT1" s="657"/>
      <c r="IVU1" s="657"/>
      <c r="IVV1" s="657"/>
      <c r="IVW1" s="657"/>
      <c r="IVX1" s="657"/>
      <c r="IVY1" s="657"/>
      <c r="IVZ1" s="657"/>
      <c r="IWA1" s="657"/>
      <c r="IWB1" s="657"/>
      <c r="IWC1" s="657"/>
      <c r="IWD1" s="657"/>
      <c r="IWE1" s="657"/>
      <c r="IWF1" s="657"/>
      <c r="IWG1" s="657"/>
      <c r="IWH1" s="657"/>
      <c r="IWI1" s="657"/>
      <c r="IWJ1" s="657"/>
      <c r="IWK1" s="657"/>
      <c r="IWL1" s="657"/>
      <c r="IWM1" s="657"/>
      <c r="IWN1" s="657"/>
      <c r="IWO1" s="657"/>
      <c r="IWP1" s="657"/>
      <c r="IWQ1" s="657"/>
      <c r="IWR1" s="657"/>
      <c r="IWS1" s="657"/>
      <c r="IWT1" s="657"/>
      <c r="IWU1" s="657"/>
      <c r="IWV1" s="657"/>
      <c r="IWW1" s="657"/>
      <c r="IWX1" s="657"/>
      <c r="IWY1" s="657"/>
      <c r="IWZ1" s="657"/>
      <c r="IXA1" s="657"/>
      <c r="IXB1" s="657"/>
      <c r="IXC1" s="657"/>
      <c r="IXD1" s="657"/>
      <c r="IXE1" s="657"/>
      <c r="IXF1" s="657"/>
      <c r="IXG1" s="657"/>
      <c r="IXH1" s="657"/>
      <c r="IXI1" s="657"/>
      <c r="IXJ1" s="657"/>
      <c r="IXK1" s="657"/>
      <c r="IXL1" s="657"/>
      <c r="IXM1" s="657"/>
      <c r="IXN1" s="657"/>
      <c r="IXO1" s="657"/>
      <c r="IXP1" s="657"/>
      <c r="IXQ1" s="657"/>
      <c r="IXR1" s="657"/>
      <c r="IXS1" s="657"/>
      <c r="IXT1" s="657"/>
      <c r="IXU1" s="657"/>
      <c r="IXV1" s="657"/>
      <c r="IXW1" s="657"/>
      <c r="IXX1" s="657"/>
      <c r="IXY1" s="657"/>
      <c r="IXZ1" s="657"/>
      <c r="IYA1" s="657"/>
      <c r="IYB1" s="657"/>
      <c r="IYC1" s="657"/>
      <c r="IYD1" s="657"/>
      <c r="IYE1" s="657"/>
      <c r="IYF1" s="657"/>
      <c r="IYG1" s="657"/>
      <c r="IYH1" s="657"/>
      <c r="IYI1" s="657"/>
      <c r="IYJ1" s="657"/>
      <c r="IYK1" s="657"/>
      <c r="IYL1" s="657"/>
      <c r="IYM1" s="657"/>
      <c r="IYN1" s="657"/>
      <c r="IYO1" s="657"/>
      <c r="IYP1" s="657"/>
      <c r="IYQ1" s="657"/>
      <c r="IYR1" s="657"/>
      <c r="IYS1" s="657"/>
      <c r="IYT1" s="657"/>
      <c r="IYU1" s="657"/>
      <c r="IYV1" s="657"/>
      <c r="IYW1" s="657"/>
      <c r="IYX1" s="657"/>
      <c r="IYY1" s="657"/>
      <c r="IYZ1" s="657"/>
      <c r="IZA1" s="657"/>
      <c r="IZB1" s="657"/>
      <c r="IZC1" s="657"/>
      <c r="IZD1" s="657"/>
      <c r="IZE1" s="657"/>
      <c r="IZF1" s="657"/>
      <c r="IZG1" s="657"/>
      <c r="IZH1" s="657"/>
      <c r="IZI1" s="657"/>
      <c r="IZJ1" s="657"/>
      <c r="IZK1" s="657"/>
      <c r="IZL1" s="657"/>
      <c r="IZM1" s="657"/>
      <c r="IZN1" s="657"/>
      <c r="IZO1" s="657"/>
      <c r="IZP1" s="657"/>
      <c r="IZQ1" s="657"/>
      <c r="IZR1" s="657"/>
      <c r="IZS1" s="657"/>
      <c r="IZT1" s="657"/>
      <c r="IZU1" s="657"/>
      <c r="IZV1" s="657"/>
      <c r="IZW1" s="657"/>
      <c r="IZX1" s="657"/>
      <c r="IZY1" s="657"/>
      <c r="IZZ1" s="657"/>
      <c r="JAA1" s="657"/>
      <c r="JAB1" s="657"/>
      <c r="JAC1" s="657"/>
      <c r="JAD1" s="657"/>
      <c r="JAE1" s="657"/>
      <c r="JAF1" s="657"/>
      <c r="JAG1" s="657"/>
      <c r="JAH1" s="657"/>
      <c r="JAI1" s="657"/>
      <c r="JAJ1" s="657"/>
      <c r="JAK1" s="657"/>
      <c r="JAL1" s="657"/>
      <c r="JAM1" s="657"/>
      <c r="JAN1" s="657"/>
      <c r="JAO1" s="657"/>
      <c r="JAP1" s="657"/>
      <c r="JAQ1" s="657"/>
      <c r="JAR1" s="657"/>
      <c r="JAS1" s="657"/>
      <c r="JAT1" s="657"/>
      <c r="JAU1" s="657"/>
      <c r="JAV1" s="657"/>
      <c r="JAW1" s="657"/>
      <c r="JAX1" s="657"/>
      <c r="JAY1" s="657"/>
      <c r="JAZ1" s="657"/>
      <c r="JBA1" s="657"/>
      <c r="JBB1" s="657"/>
      <c r="JBC1" s="657"/>
      <c r="JBD1" s="657"/>
      <c r="JBE1" s="657"/>
      <c r="JBF1" s="657"/>
      <c r="JBG1" s="657"/>
      <c r="JBH1" s="657"/>
      <c r="JBI1" s="657"/>
      <c r="JBJ1" s="657"/>
      <c r="JBK1" s="657"/>
      <c r="JBL1" s="657"/>
      <c r="JBM1" s="657"/>
      <c r="JBN1" s="657"/>
      <c r="JBO1" s="657"/>
      <c r="JBP1" s="657"/>
      <c r="JBQ1" s="657"/>
      <c r="JBR1" s="657"/>
      <c r="JBS1" s="657"/>
      <c r="JBT1" s="657"/>
      <c r="JBU1" s="657"/>
      <c r="JBV1" s="657"/>
      <c r="JBW1" s="657"/>
      <c r="JBX1" s="657"/>
      <c r="JBY1" s="657"/>
      <c r="JBZ1" s="657"/>
      <c r="JCA1" s="657"/>
      <c r="JCB1" s="657"/>
      <c r="JCC1" s="657"/>
      <c r="JCD1" s="657"/>
      <c r="JCE1" s="657"/>
      <c r="JCF1" s="657"/>
      <c r="JCG1" s="657"/>
      <c r="JCH1" s="657"/>
      <c r="JCI1" s="657"/>
      <c r="JCJ1" s="657"/>
      <c r="JCK1" s="657"/>
      <c r="JCL1" s="657"/>
      <c r="JCM1" s="657"/>
      <c r="JCN1" s="657"/>
      <c r="JCO1" s="657"/>
      <c r="JCP1" s="657"/>
      <c r="JCQ1" s="657"/>
      <c r="JCR1" s="657"/>
      <c r="JCS1" s="657"/>
      <c r="JCT1" s="657"/>
      <c r="JCU1" s="657"/>
      <c r="JCV1" s="657"/>
      <c r="JCW1" s="657"/>
      <c r="JCX1" s="657"/>
      <c r="JCY1" s="657"/>
      <c r="JCZ1" s="657"/>
      <c r="JDA1" s="657"/>
      <c r="JDB1" s="657"/>
      <c r="JDC1" s="657"/>
      <c r="JDD1" s="657"/>
      <c r="JDE1" s="657"/>
      <c r="JDF1" s="657"/>
      <c r="JDG1" s="657"/>
      <c r="JDH1" s="657"/>
      <c r="JDI1" s="657"/>
      <c r="JDJ1" s="657"/>
      <c r="JDK1" s="657"/>
      <c r="JDL1" s="657"/>
      <c r="JDM1" s="657"/>
      <c r="JDN1" s="657"/>
      <c r="JDO1" s="657"/>
      <c r="JDP1" s="657"/>
      <c r="JDQ1" s="657"/>
      <c r="JDR1" s="657"/>
      <c r="JDS1" s="657"/>
      <c r="JDT1" s="657"/>
      <c r="JDU1" s="657"/>
      <c r="JDV1" s="657"/>
      <c r="JDW1" s="657"/>
      <c r="JDX1" s="657"/>
      <c r="JDY1" s="657"/>
      <c r="JDZ1" s="657"/>
      <c r="JEA1" s="657"/>
      <c r="JEB1" s="657"/>
      <c r="JEC1" s="657"/>
      <c r="JED1" s="657"/>
      <c r="JEE1" s="657"/>
      <c r="JEF1" s="657"/>
      <c r="JEG1" s="657"/>
      <c r="JEH1" s="657"/>
      <c r="JEI1" s="657"/>
      <c r="JEJ1" s="657"/>
      <c r="JEK1" s="657"/>
      <c r="JEL1" s="657"/>
      <c r="JEM1" s="657"/>
      <c r="JEN1" s="657"/>
      <c r="JEO1" s="657"/>
      <c r="JEP1" s="657"/>
      <c r="JEQ1" s="657"/>
      <c r="JER1" s="657"/>
      <c r="JES1" s="657"/>
      <c r="JET1" s="657"/>
      <c r="JEU1" s="657"/>
      <c r="JEV1" s="657"/>
      <c r="JEW1" s="657"/>
      <c r="JEX1" s="657"/>
      <c r="JEY1" s="657"/>
      <c r="JEZ1" s="657"/>
      <c r="JFA1" s="657"/>
      <c r="JFB1" s="657"/>
      <c r="JFC1" s="657"/>
      <c r="JFD1" s="657"/>
      <c r="JFE1" s="657"/>
      <c r="JFF1" s="657"/>
      <c r="JFG1" s="657"/>
      <c r="JFH1" s="657"/>
      <c r="JFI1" s="657"/>
      <c r="JFJ1" s="657"/>
      <c r="JFK1" s="657"/>
      <c r="JFL1" s="657"/>
      <c r="JFM1" s="657"/>
      <c r="JFN1" s="657"/>
      <c r="JFO1" s="657"/>
      <c r="JFP1" s="657"/>
      <c r="JFQ1" s="657"/>
      <c r="JFR1" s="657"/>
      <c r="JFS1" s="657"/>
      <c r="JFT1" s="657"/>
      <c r="JFU1" s="657"/>
      <c r="JFV1" s="657"/>
      <c r="JFW1" s="657"/>
      <c r="JFX1" s="657"/>
      <c r="JFY1" s="657"/>
      <c r="JFZ1" s="657"/>
      <c r="JGA1" s="657"/>
      <c r="JGB1" s="657"/>
      <c r="JGC1" s="657"/>
      <c r="JGD1" s="657"/>
      <c r="JGE1" s="657"/>
      <c r="JGF1" s="657"/>
      <c r="JGG1" s="657"/>
      <c r="JGH1" s="657"/>
      <c r="JGI1" s="657"/>
      <c r="JGJ1" s="657"/>
      <c r="JGK1" s="657"/>
      <c r="JGL1" s="657"/>
      <c r="JGM1" s="657"/>
      <c r="JGN1" s="657"/>
      <c r="JGO1" s="657"/>
      <c r="JGP1" s="657"/>
      <c r="JGQ1" s="657"/>
      <c r="JGR1" s="657"/>
      <c r="JGS1" s="657"/>
      <c r="JGT1" s="657"/>
      <c r="JGU1" s="657"/>
      <c r="JGV1" s="657"/>
      <c r="JGW1" s="657"/>
      <c r="JGX1" s="657"/>
      <c r="JGY1" s="657"/>
      <c r="JGZ1" s="657"/>
      <c r="JHA1" s="657"/>
      <c r="JHB1" s="657"/>
      <c r="JHC1" s="657"/>
      <c r="JHD1" s="657"/>
      <c r="JHE1" s="657"/>
      <c r="JHF1" s="657"/>
      <c r="JHG1" s="657"/>
      <c r="JHH1" s="657"/>
      <c r="JHI1" s="657"/>
      <c r="JHJ1" s="657"/>
      <c r="JHK1" s="657"/>
      <c r="JHL1" s="657"/>
      <c r="JHM1" s="657"/>
      <c r="JHN1" s="657"/>
      <c r="JHO1" s="657"/>
      <c r="JHP1" s="657"/>
      <c r="JHQ1" s="657"/>
      <c r="JHR1" s="657"/>
      <c r="JHS1" s="657"/>
      <c r="JHT1" s="657"/>
      <c r="JHU1" s="657"/>
      <c r="JHV1" s="657"/>
      <c r="JHW1" s="657"/>
      <c r="JHX1" s="657"/>
      <c r="JHY1" s="657"/>
      <c r="JHZ1" s="657"/>
      <c r="JIA1" s="657"/>
      <c r="JIB1" s="657"/>
      <c r="JIC1" s="657"/>
      <c r="JID1" s="657"/>
      <c r="JIE1" s="657"/>
      <c r="JIF1" s="657"/>
      <c r="JIG1" s="657"/>
      <c r="JIH1" s="657"/>
      <c r="JII1" s="657"/>
      <c r="JIJ1" s="657"/>
      <c r="JIK1" s="657"/>
      <c r="JIL1" s="657"/>
      <c r="JIM1" s="657"/>
      <c r="JIN1" s="657"/>
      <c r="JIO1" s="657"/>
      <c r="JIP1" s="657"/>
      <c r="JIQ1" s="657"/>
      <c r="JIR1" s="657"/>
      <c r="JIS1" s="657"/>
      <c r="JIT1" s="657"/>
      <c r="JIU1" s="657"/>
      <c r="JIV1" s="657"/>
      <c r="JIW1" s="657"/>
      <c r="JIX1" s="657"/>
      <c r="JIY1" s="657"/>
      <c r="JIZ1" s="657"/>
      <c r="JJA1" s="657"/>
      <c r="JJB1" s="657"/>
      <c r="JJC1" s="657"/>
      <c r="JJD1" s="657"/>
      <c r="JJE1" s="657"/>
      <c r="JJF1" s="657"/>
      <c r="JJG1" s="657"/>
      <c r="JJH1" s="657"/>
      <c r="JJI1" s="657"/>
      <c r="JJJ1" s="657"/>
      <c r="JJK1" s="657"/>
      <c r="JJL1" s="657"/>
      <c r="JJM1" s="657"/>
      <c r="JJN1" s="657"/>
      <c r="JJO1" s="657"/>
      <c r="JJP1" s="657"/>
      <c r="JJQ1" s="657"/>
      <c r="JJR1" s="657"/>
      <c r="JJS1" s="657"/>
      <c r="JJT1" s="657"/>
      <c r="JJU1" s="657"/>
      <c r="JJV1" s="657"/>
      <c r="JJW1" s="657"/>
      <c r="JJX1" s="657"/>
      <c r="JJY1" s="657"/>
      <c r="JJZ1" s="657"/>
      <c r="JKA1" s="657"/>
      <c r="JKB1" s="657"/>
      <c r="JKC1" s="657"/>
      <c r="JKD1" s="657"/>
      <c r="JKE1" s="657"/>
      <c r="JKF1" s="657"/>
      <c r="JKG1" s="657"/>
      <c r="JKH1" s="657"/>
      <c r="JKI1" s="657"/>
      <c r="JKJ1" s="657"/>
      <c r="JKK1" s="657"/>
      <c r="JKL1" s="657"/>
      <c r="JKM1" s="657"/>
      <c r="JKN1" s="657"/>
      <c r="JKO1" s="657"/>
      <c r="JKP1" s="657"/>
      <c r="JKQ1" s="657"/>
      <c r="JKR1" s="657"/>
      <c r="JKS1" s="657"/>
      <c r="JKT1" s="657"/>
      <c r="JKU1" s="657"/>
      <c r="JKV1" s="657"/>
      <c r="JKW1" s="657"/>
      <c r="JKX1" s="657"/>
      <c r="JKY1" s="657"/>
      <c r="JKZ1" s="657"/>
      <c r="JLA1" s="657"/>
      <c r="JLB1" s="657"/>
      <c r="JLC1" s="657"/>
      <c r="JLD1" s="657"/>
      <c r="JLE1" s="657"/>
      <c r="JLF1" s="657"/>
      <c r="JLG1" s="657"/>
      <c r="JLH1" s="657"/>
      <c r="JLI1" s="657"/>
      <c r="JLJ1" s="657"/>
      <c r="JLK1" s="657"/>
      <c r="JLL1" s="657"/>
      <c r="JLM1" s="657"/>
      <c r="JLN1" s="657"/>
      <c r="JLO1" s="657"/>
      <c r="JLP1" s="657"/>
      <c r="JLQ1" s="657"/>
      <c r="JLR1" s="657"/>
      <c r="JLS1" s="657"/>
      <c r="JLT1" s="657"/>
      <c r="JLU1" s="657"/>
      <c r="JLV1" s="657"/>
      <c r="JLW1" s="657"/>
      <c r="JLX1" s="657"/>
      <c r="JLY1" s="657"/>
      <c r="JLZ1" s="657"/>
      <c r="JMA1" s="657"/>
      <c r="JMB1" s="657"/>
      <c r="JMC1" s="657"/>
      <c r="JMD1" s="657"/>
      <c r="JME1" s="657"/>
      <c r="JMF1" s="657"/>
      <c r="JMG1" s="657"/>
      <c r="JMH1" s="657"/>
      <c r="JMI1" s="657"/>
      <c r="JMJ1" s="657"/>
      <c r="JMK1" s="657"/>
      <c r="JML1" s="657"/>
      <c r="JMM1" s="657"/>
      <c r="JMN1" s="657"/>
      <c r="JMO1" s="657"/>
      <c r="JMP1" s="657"/>
      <c r="JMQ1" s="657"/>
      <c r="JMR1" s="657"/>
      <c r="JMS1" s="657"/>
      <c r="JMT1" s="657"/>
      <c r="JMU1" s="657"/>
      <c r="JMV1" s="657"/>
      <c r="JMW1" s="657"/>
      <c r="JMX1" s="657"/>
      <c r="JMY1" s="657"/>
      <c r="JMZ1" s="657"/>
      <c r="JNA1" s="657"/>
      <c r="JNB1" s="657"/>
      <c r="JNC1" s="657"/>
      <c r="JND1" s="657"/>
      <c r="JNE1" s="657"/>
      <c r="JNF1" s="657"/>
      <c r="JNG1" s="657"/>
      <c r="JNH1" s="657"/>
      <c r="JNI1" s="657"/>
      <c r="JNJ1" s="657"/>
      <c r="JNK1" s="657"/>
      <c r="JNL1" s="657"/>
      <c r="JNM1" s="657"/>
      <c r="JNN1" s="657"/>
      <c r="JNO1" s="657"/>
      <c r="JNP1" s="657"/>
      <c r="JNQ1" s="657"/>
      <c r="JNR1" s="657"/>
      <c r="JNS1" s="657"/>
      <c r="JNT1" s="657"/>
      <c r="JNU1" s="657"/>
      <c r="JNV1" s="657"/>
      <c r="JNW1" s="657"/>
      <c r="JNX1" s="657"/>
      <c r="JNY1" s="657"/>
      <c r="JNZ1" s="657"/>
      <c r="JOA1" s="657"/>
      <c r="JOB1" s="657"/>
      <c r="JOC1" s="657"/>
      <c r="JOD1" s="657"/>
      <c r="JOE1" s="657"/>
      <c r="JOF1" s="657"/>
      <c r="JOG1" s="657"/>
      <c r="JOH1" s="657"/>
      <c r="JOI1" s="657"/>
      <c r="JOJ1" s="657"/>
      <c r="JOK1" s="657"/>
      <c r="JOL1" s="657"/>
      <c r="JOM1" s="657"/>
      <c r="JON1" s="657"/>
      <c r="JOO1" s="657"/>
      <c r="JOP1" s="657"/>
      <c r="JOQ1" s="657"/>
      <c r="JOR1" s="657"/>
      <c r="JOS1" s="657"/>
      <c r="JOT1" s="657"/>
      <c r="JOU1" s="657"/>
      <c r="JOV1" s="657"/>
      <c r="JOW1" s="657"/>
      <c r="JOX1" s="657"/>
      <c r="JOY1" s="657"/>
      <c r="JOZ1" s="657"/>
      <c r="JPA1" s="657"/>
      <c r="JPB1" s="657"/>
      <c r="JPC1" s="657"/>
      <c r="JPD1" s="657"/>
      <c r="JPE1" s="657"/>
      <c r="JPF1" s="657"/>
      <c r="JPG1" s="657"/>
      <c r="JPH1" s="657"/>
      <c r="JPI1" s="657"/>
      <c r="JPJ1" s="657"/>
      <c r="JPK1" s="657"/>
      <c r="JPL1" s="657"/>
      <c r="JPM1" s="657"/>
      <c r="JPN1" s="657"/>
      <c r="JPO1" s="657"/>
      <c r="JPP1" s="657"/>
      <c r="JPQ1" s="657"/>
      <c r="JPR1" s="657"/>
      <c r="JPS1" s="657"/>
      <c r="JPT1" s="657"/>
      <c r="JPU1" s="657"/>
      <c r="JPV1" s="657"/>
      <c r="JPW1" s="657"/>
      <c r="JPX1" s="657"/>
      <c r="JPY1" s="657"/>
      <c r="JPZ1" s="657"/>
      <c r="JQA1" s="657"/>
      <c r="JQB1" s="657"/>
      <c r="JQC1" s="657"/>
      <c r="JQD1" s="657"/>
      <c r="JQE1" s="657"/>
      <c r="JQF1" s="657"/>
      <c r="JQG1" s="657"/>
      <c r="JQH1" s="657"/>
      <c r="JQI1" s="657"/>
      <c r="JQJ1" s="657"/>
      <c r="JQK1" s="657"/>
      <c r="JQL1" s="657"/>
      <c r="JQM1" s="657"/>
      <c r="JQN1" s="657"/>
      <c r="JQO1" s="657"/>
      <c r="JQP1" s="657"/>
      <c r="JQQ1" s="657"/>
      <c r="JQR1" s="657"/>
      <c r="JQS1" s="657"/>
      <c r="JQT1" s="657"/>
      <c r="JQU1" s="657"/>
      <c r="JQV1" s="657"/>
      <c r="JQW1" s="657"/>
      <c r="JQX1" s="657"/>
      <c r="JQY1" s="657"/>
      <c r="JQZ1" s="657"/>
      <c r="JRA1" s="657"/>
      <c r="JRB1" s="657"/>
      <c r="JRC1" s="657"/>
      <c r="JRD1" s="657"/>
      <c r="JRE1" s="657"/>
      <c r="JRF1" s="657"/>
      <c r="JRG1" s="657"/>
      <c r="JRH1" s="657"/>
      <c r="JRI1" s="657"/>
      <c r="JRJ1" s="657"/>
      <c r="JRK1" s="657"/>
      <c r="JRL1" s="657"/>
      <c r="JRM1" s="657"/>
      <c r="JRN1" s="657"/>
      <c r="JRO1" s="657"/>
      <c r="JRP1" s="657"/>
      <c r="JRQ1" s="657"/>
      <c r="JRR1" s="657"/>
      <c r="JRS1" s="657"/>
      <c r="JRT1" s="657"/>
      <c r="JRU1" s="657"/>
      <c r="JRV1" s="657"/>
      <c r="JRW1" s="657"/>
      <c r="JRX1" s="657"/>
      <c r="JRY1" s="657"/>
      <c r="JRZ1" s="657"/>
      <c r="JSA1" s="657"/>
      <c r="JSB1" s="657"/>
      <c r="JSC1" s="657"/>
      <c r="JSD1" s="657"/>
      <c r="JSE1" s="657"/>
      <c r="JSF1" s="657"/>
      <c r="JSG1" s="657"/>
      <c r="JSH1" s="657"/>
      <c r="JSI1" s="657"/>
      <c r="JSJ1" s="657"/>
      <c r="JSK1" s="657"/>
      <c r="JSL1" s="657"/>
      <c r="JSM1" s="657"/>
      <c r="JSN1" s="657"/>
      <c r="JSO1" s="657"/>
      <c r="JSP1" s="657"/>
      <c r="JSQ1" s="657"/>
      <c r="JSR1" s="657"/>
      <c r="JSS1" s="657"/>
      <c r="JST1" s="657"/>
      <c r="JSU1" s="657"/>
      <c r="JSV1" s="657"/>
      <c r="JSW1" s="657"/>
      <c r="JSX1" s="657"/>
      <c r="JSY1" s="657"/>
      <c r="JSZ1" s="657"/>
      <c r="JTA1" s="657"/>
      <c r="JTB1" s="657"/>
      <c r="JTC1" s="657"/>
      <c r="JTD1" s="657"/>
      <c r="JTE1" s="657"/>
      <c r="JTF1" s="657"/>
      <c r="JTG1" s="657"/>
      <c r="JTH1" s="657"/>
      <c r="JTI1" s="657"/>
      <c r="JTJ1" s="657"/>
      <c r="JTK1" s="657"/>
      <c r="JTL1" s="657"/>
      <c r="JTM1" s="657"/>
      <c r="JTN1" s="657"/>
      <c r="JTO1" s="657"/>
      <c r="JTP1" s="657"/>
      <c r="JTQ1" s="657"/>
      <c r="JTR1" s="657"/>
      <c r="JTS1" s="657"/>
      <c r="JTT1" s="657"/>
      <c r="JTU1" s="657"/>
      <c r="JTV1" s="657"/>
      <c r="JTW1" s="657"/>
      <c r="JTX1" s="657"/>
      <c r="JTY1" s="657"/>
      <c r="JTZ1" s="657"/>
      <c r="JUA1" s="657"/>
      <c r="JUB1" s="657"/>
      <c r="JUC1" s="657"/>
      <c r="JUD1" s="657"/>
      <c r="JUE1" s="657"/>
      <c r="JUF1" s="657"/>
      <c r="JUG1" s="657"/>
      <c r="JUH1" s="657"/>
      <c r="JUI1" s="657"/>
      <c r="JUJ1" s="657"/>
      <c r="JUK1" s="657"/>
      <c r="JUL1" s="657"/>
      <c r="JUM1" s="657"/>
      <c r="JUN1" s="657"/>
      <c r="JUO1" s="657"/>
      <c r="JUP1" s="657"/>
      <c r="JUQ1" s="657"/>
      <c r="JUR1" s="657"/>
      <c r="JUS1" s="657"/>
      <c r="JUT1" s="657"/>
      <c r="JUU1" s="657"/>
      <c r="JUV1" s="657"/>
      <c r="JUW1" s="657"/>
      <c r="JUX1" s="657"/>
      <c r="JUY1" s="657"/>
      <c r="JUZ1" s="657"/>
      <c r="JVA1" s="657"/>
      <c r="JVB1" s="657"/>
      <c r="JVC1" s="657"/>
      <c r="JVD1" s="657"/>
      <c r="JVE1" s="657"/>
      <c r="JVF1" s="657"/>
      <c r="JVG1" s="657"/>
      <c r="JVH1" s="657"/>
      <c r="JVI1" s="657"/>
      <c r="JVJ1" s="657"/>
      <c r="JVK1" s="657"/>
      <c r="JVL1" s="657"/>
      <c r="JVM1" s="657"/>
      <c r="JVN1" s="657"/>
      <c r="JVO1" s="657"/>
      <c r="JVP1" s="657"/>
      <c r="JVQ1" s="657"/>
      <c r="JVR1" s="657"/>
      <c r="JVS1" s="657"/>
      <c r="JVT1" s="657"/>
      <c r="JVU1" s="657"/>
      <c r="JVV1" s="657"/>
      <c r="JVW1" s="657"/>
      <c r="JVX1" s="657"/>
      <c r="JVY1" s="657"/>
      <c r="JVZ1" s="657"/>
      <c r="JWA1" s="657"/>
      <c r="JWB1" s="657"/>
      <c r="JWC1" s="657"/>
      <c r="JWD1" s="657"/>
      <c r="JWE1" s="657"/>
      <c r="JWF1" s="657"/>
      <c r="JWG1" s="657"/>
      <c r="JWH1" s="657"/>
      <c r="JWI1" s="657"/>
      <c r="JWJ1" s="657"/>
      <c r="JWK1" s="657"/>
      <c r="JWL1" s="657"/>
      <c r="JWM1" s="657"/>
      <c r="JWN1" s="657"/>
      <c r="JWO1" s="657"/>
      <c r="JWP1" s="657"/>
      <c r="JWQ1" s="657"/>
      <c r="JWR1" s="657"/>
      <c r="JWS1" s="657"/>
      <c r="JWT1" s="657"/>
      <c r="JWU1" s="657"/>
      <c r="JWV1" s="657"/>
      <c r="JWW1" s="657"/>
      <c r="JWX1" s="657"/>
      <c r="JWY1" s="657"/>
      <c r="JWZ1" s="657"/>
      <c r="JXA1" s="657"/>
      <c r="JXB1" s="657"/>
      <c r="JXC1" s="657"/>
      <c r="JXD1" s="657"/>
      <c r="JXE1" s="657"/>
      <c r="JXF1" s="657"/>
      <c r="JXG1" s="657"/>
      <c r="JXH1" s="657"/>
      <c r="JXI1" s="657"/>
      <c r="JXJ1" s="657"/>
      <c r="JXK1" s="657"/>
      <c r="JXL1" s="657"/>
      <c r="JXM1" s="657"/>
      <c r="JXN1" s="657"/>
      <c r="JXO1" s="657"/>
      <c r="JXP1" s="657"/>
      <c r="JXQ1" s="657"/>
      <c r="JXR1" s="657"/>
      <c r="JXS1" s="657"/>
      <c r="JXT1" s="657"/>
      <c r="JXU1" s="657"/>
      <c r="JXV1" s="657"/>
      <c r="JXW1" s="657"/>
      <c r="JXX1" s="657"/>
      <c r="JXY1" s="657"/>
      <c r="JXZ1" s="657"/>
      <c r="JYA1" s="657"/>
      <c r="JYB1" s="657"/>
      <c r="JYC1" s="657"/>
      <c r="JYD1" s="657"/>
      <c r="JYE1" s="657"/>
      <c r="JYF1" s="657"/>
      <c r="JYG1" s="657"/>
      <c r="JYH1" s="657"/>
      <c r="JYI1" s="657"/>
      <c r="JYJ1" s="657"/>
      <c r="JYK1" s="657"/>
      <c r="JYL1" s="657"/>
      <c r="JYM1" s="657"/>
      <c r="JYN1" s="657"/>
      <c r="JYO1" s="657"/>
      <c r="JYP1" s="657"/>
      <c r="JYQ1" s="657"/>
      <c r="JYR1" s="657"/>
      <c r="JYS1" s="657"/>
      <c r="JYT1" s="657"/>
      <c r="JYU1" s="657"/>
      <c r="JYV1" s="657"/>
      <c r="JYW1" s="657"/>
      <c r="JYX1" s="657"/>
      <c r="JYY1" s="657"/>
      <c r="JYZ1" s="657"/>
      <c r="JZA1" s="657"/>
      <c r="JZB1" s="657"/>
      <c r="JZC1" s="657"/>
      <c r="JZD1" s="657"/>
      <c r="JZE1" s="657"/>
      <c r="JZF1" s="657"/>
      <c r="JZG1" s="657"/>
      <c r="JZH1" s="657"/>
      <c r="JZI1" s="657"/>
      <c r="JZJ1" s="657"/>
      <c r="JZK1" s="657"/>
      <c r="JZL1" s="657"/>
      <c r="JZM1" s="657"/>
      <c r="JZN1" s="657"/>
      <c r="JZO1" s="657"/>
      <c r="JZP1" s="657"/>
      <c r="JZQ1" s="657"/>
      <c r="JZR1" s="657"/>
      <c r="JZS1" s="657"/>
      <c r="JZT1" s="657"/>
      <c r="JZU1" s="657"/>
      <c r="JZV1" s="657"/>
      <c r="JZW1" s="657"/>
      <c r="JZX1" s="657"/>
      <c r="JZY1" s="657"/>
      <c r="JZZ1" s="657"/>
      <c r="KAA1" s="657"/>
      <c r="KAB1" s="657"/>
      <c r="KAC1" s="657"/>
      <c r="KAD1" s="657"/>
      <c r="KAE1" s="657"/>
      <c r="KAF1" s="657"/>
      <c r="KAG1" s="657"/>
      <c r="KAH1" s="657"/>
      <c r="KAI1" s="657"/>
      <c r="KAJ1" s="657"/>
      <c r="KAK1" s="657"/>
      <c r="KAL1" s="657"/>
      <c r="KAM1" s="657"/>
      <c r="KAN1" s="657"/>
      <c r="KAO1" s="657"/>
      <c r="KAP1" s="657"/>
      <c r="KAQ1" s="657"/>
      <c r="KAR1" s="657"/>
      <c r="KAS1" s="657"/>
      <c r="KAT1" s="657"/>
      <c r="KAU1" s="657"/>
      <c r="KAV1" s="657"/>
      <c r="KAW1" s="657"/>
      <c r="KAX1" s="657"/>
      <c r="KAY1" s="657"/>
      <c r="KAZ1" s="657"/>
      <c r="KBA1" s="657"/>
      <c r="KBB1" s="657"/>
      <c r="KBC1" s="657"/>
      <c r="KBD1" s="657"/>
      <c r="KBE1" s="657"/>
      <c r="KBF1" s="657"/>
      <c r="KBG1" s="657"/>
      <c r="KBH1" s="657"/>
      <c r="KBI1" s="657"/>
      <c r="KBJ1" s="657"/>
      <c r="KBK1" s="657"/>
      <c r="KBL1" s="657"/>
      <c r="KBM1" s="657"/>
      <c r="KBN1" s="657"/>
      <c r="KBO1" s="657"/>
      <c r="KBP1" s="657"/>
      <c r="KBQ1" s="657"/>
      <c r="KBR1" s="657"/>
      <c r="KBS1" s="657"/>
      <c r="KBT1" s="657"/>
      <c r="KBU1" s="657"/>
      <c r="KBV1" s="657"/>
      <c r="KBW1" s="657"/>
      <c r="KBX1" s="657"/>
      <c r="KBY1" s="657"/>
      <c r="KBZ1" s="657"/>
      <c r="KCA1" s="657"/>
      <c r="KCB1" s="657"/>
      <c r="KCC1" s="657"/>
      <c r="KCD1" s="657"/>
      <c r="KCE1" s="657"/>
      <c r="KCF1" s="657"/>
      <c r="KCG1" s="657"/>
      <c r="KCH1" s="657"/>
      <c r="KCI1" s="657"/>
      <c r="KCJ1" s="657"/>
      <c r="KCK1" s="657"/>
      <c r="KCL1" s="657"/>
      <c r="KCM1" s="657"/>
      <c r="KCN1" s="657"/>
      <c r="KCO1" s="657"/>
      <c r="KCP1" s="657"/>
      <c r="KCQ1" s="657"/>
      <c r="KCR1" s="657"/>
      <c r="KCS1" s="657"/>
      <c r="KCT1" s="657"/>
      <c r="KCU1" s="657"/>
      <c r="KCV1" s="657"/>
      <c r="KCW1" s="657"/>
      <c r="KCX1" s="657"/>
      <c r="KCY1" s="657"/>
      <c r="KCZ1" s="657"/>
      <c r="KDA1" s="657"/>
      <c r="KDB1" s="657"/>
      <c r="KDC1" s="657"/>
      <c r="KDD1" s="657"/>
      <c r="KDE1" s="657"/>
      <c r="KDF1" s="657"/>
      <c r="KDG1" s="657"/>
      <c r="KDH1" s="657"/>
      <c r="KDI1" s="657"/>
      <c r="KDJ1" s="657"/>
      <c r="KDK1" s="657"/>
      <c r="KDL1" s="657"/>
      <c r="KDM1" s="657"/>
      <c r="KDN1" s="657"/>
      <c r="KDO1" s="657"/>
      <c r="KDP1" s="657"/>
      <c r="KDQ1" s="657"/>
      <c r="KDR1" s="657"/>
      <c r="KDS1" s="657"/>
      <c r="KDT1" s="657"/>
      <c r="KDU1" s="657"/>
      <c r="KDV1" s="657"/>
      <c r="KDW1" s="657"/>
      <c r="KDX1" s="657"/>
      <c r="KDY1" s="657"/>
      <c r="KDZ1" s="657"/>
      <c r="KEA1" s="657"/>
      <c r="KEB1" s="657"/>
      <c r="KEC1" s="657"/>
      <c r="KED1" s="657"/>
      <c r="KEE1" s="657"/>
      <c r="KEF1" s="657"/>
      <c r="KEG1" s="657"/>
      <c r="KEH1" s="657"/>
      <c r="KEI1" s="657"/>
      <c r="KEJ1" s="657"/>
      <c r="KEK1" s="657"/>
      <c r="KEL1" s="657"/>
      <c r="KEM1" s="657"/>
      <c r="KEN1" s="657"/>
      <c r="KEO1" s="657"/>
      <c r="KEP1" s="657"/>
      <c r="KEQ1" s="657"/>
      <c r="KER1" s="657"/>
      <c r="KES1" s="657"/>
      <c r="KET1" s="657"/>
      <c r="KEU1" s="657"/>
      <c r="KEV1" s="657"/>
      <c r="KEW1" s="657"/>
      <c r="KEX1" s="657"/>
      <c r="KEY1" s="657"/>
      <c r="KEZ1" s="657"/>
      <c r="KFA1" s="657"/>
      <c r="KFB1" s="657"/>
      <c r="KFC1" s="657"/>
      <c r="KFD1" s="657"/>
      <c r="KFE1" s="657"/>
      <c r="KFF1" s="657"/>
      <c r="KFG1" s="657"/>
      <c r="KFH1" s="657"/>
      <c r="KFI1" s="657"/>
      <c r="KFJ1" s="657"/>
      <c r="KFK1" s="657"/>
      <c r="KFL1" s="657"/>
      <c r="KFM1" s="657"/>
      <c r="KFN1" s="657"/>
      <c r="KFO1" s="657"/>
      <c r="KFP1" s="657"/>
      <c r="KFQ1" s="657"/>
      <c r="KFR1" s="657"/>
      <c r="KFS1" s="657"/>
      <c r="KFT1" s="657"/>
      <c r="KFU1" s="657"/>
      <c r="KFV1" s="657"/>
      <c r="KFW1" s="657"/>
      <c r="KFX1" s="657"/>
      <c r="KFY1" s="657"/>
      <c r="KFZ1" s="657"/>
      <c r="KGA1" s="657"/>
      <c r="KGB1" s="657"/>
      <c r="KGC1" s="657"/>
      <c r="KGD1" s="657"/>
      <c r="KGE1" s="657"/>
      <c r="KGF1" s="657"/>
      <c r="KGG1" s="657"/>
      <c r="KGH1" s="657"/>
      <c r="KGI1" s="657"/>
      <c r="KGJ1" s="657"/>
      <c r="KGK1" s="657"/>
      <c r="KGL1" s="657"/>
      <c r="KGM1" s="657"/>
      <c r="KGN1" s="657"/>
      <c r="KGO1" s="657"/>
      <c r="KGP1" s="657"/>
      <c r="KGQ1" s="657"/>
      <c r="KGR1" s="657"/>
      <c r="KGS1" s="657"/>
      <c r="KGT1" s="657"/>
      <c r="KGU1" s="657"/>
      <c r="KGV1" s="657"/>
      <c r="KGW1" s="657"/>
      <c r="KGX1" s="657"/>
      <c r="KGY1" s="657"/>
      <c r="KGZ1" s="657"/>
      <c r="KHA1" s="657"/>
      <c r="KHB1" s="657"/>
      <c r="KHC1" s="657"/>
      <c r="KHD1" s="657"/>
      <c r="KHE1" s="657"/>
      <c r="KHF1" s="657"/>
      <c r="KHG1" s="657"/>
      <c r="KHH1" s="657"/>
      <c r="KHI1" s="657"/>
      <c r="KHJ1" s="657"/>
      <c r="KHK1" s="657"/>
      <c r="KHL1" s="657"/>
      <c r="KHM1" s="657"/>
      <c r="KHN1" s="657"/>
      <c r="KHO1" s="657"/>
      <c r="KHP1" s="657"/>
      <c r="KHQ1" s="657"/>
      <c r="KHR1" s="657"/>
      <c r="KHS1" s="657"/>
      <c r="KHT1" s="657"/>
      <c r="KHU1" s="657"/>
      <c r="KHV1" s="657"/>
      <c r="KHW1" s="657"/>
      <c r="KHX1" s="657"/>
      <c r="KHY1" s="657"/>
      <c r="KHZ1" s="657"/>
      <c r="KIA1" s="657"/>
      <c r="KIB1" s="657"/>
      <c r="KIC1" s="657"/>
      <c r="KID1" s="657"/>
      <c r="KIE1" s="657"/>
      <c r="KIF1" s="657"/>
      <c r="KIG1" s="657"/>
      <c r="KIH1" s="657"/>
      <c r="KII1" s="657"/>
      <c r="KIJ1" s="657"/>
      <c r="KIK1" s="657"/>
      <c r="KIL1" s="657"/>
      <c r="KIM1" s="657"/>
      <c r="KIN1" s="657"/>
      <c r="KIO1" s="657"/>
      <c r="KIP1" s="657"/>
      <c r="KIQ1" s="657"/>
      <c r="KIR1" s="657"/>
      <c r="KIS1" s="657"/>
      <c r="KIT1" s="657"/>
      <c r="KIU1" s="657"/>
      <c r="KIV1" s="657"/>
      <c r="KIW1" s="657"/>
      <c r="KIX1" s="657"/>
      <c r="KIY1" s="657"/>
      <c r="KIZ1" s="657"/>
      <c r="KJA1" s="657"/>
      <c r="KJB1" s="657"/>
      <c r="KJC1" s="657"/>
      <c r="KJD1" s="657"/>
      <c r="KJE1" s="657"/>
      <c r="KJF1" s="657"/>
      <c r="KJG1" s="657"/>
      <c r="KJH1" s="657"/>
      <c r="KJI1" s="657"/>
      <c r="KJJ1" s="657"/>
      <c r="KJK1" s="657"/>
      <c r="KJL1" s="657"/>
      <c r="KJM1" s="657"/>
      <c r="KJN1" s="657"/>
      <c r="KJO1" s="657"/>
      <c r="KJP1" s="657"/>
      <c r="KJQ1" s="657"/>
      <c r="KJR1" s="657"/>
      <c r="KJS1" s="657"/>
      <c r="KJT1" s="657"/>
      <c r="KJU1" s="657"/>
      <c r="KJV1" s="657"/>
      <c r="KJW1" s="657"/>
      <c r="KJX1" s="657"/>
      <c r="KJY1" s="657"/>
      <c r="KJZ1" s="657"/>
      <c r="KKA1" s="657"/>
      <c r="KKB1" s="657"/>
      <c r="KKC1" s="657"/>
      <c r="KKD1" s="657"/>
      <c r="KKE1" s="657"/>
      <c r="KKF1" s="657"/>
      <c r="KKG1" s="657"/>
      <c r="KKH1" s="657"/>
      <c r="KKI1" s="657"/>
      <c r="KKJ1" s="657"/>
      <c r="KKK1" s="657"/>
      <c r="KKL1" s="657"/>
      <c r="KKM1" s="657"/>
      <c r="KKN1" s="657"/>
      <c r="KKO1" s="657"/>
      <c r="KKP1" s="657"/>
      <c r="KKQ1" s="657"/>
      <c r="KKR1" s="657"/>
      <c r="KKS1" s="657"/>
      <c r="KKT1" s="657"/>
      <c r="KKU1" s="657"/>
      <c r="KKV1" s="657"/>
      <c r="KKW1" s="657"/>
      <c r="KKX1" s="657"/>
      <c r="KKY1" s="657"/>
      <c r="KKZ1" s="657"/>
      <c r="KLA1" s="657"/>
      <c r="KLB1" s="657"/>
      <c r="KLC1" s="657"/>
      <c r="KLD1" s="657"/>
      <c r="KLE1" s="657"/>
      <c r="KLF1" s="657"/>
      <c r="KLG1" s="657"/>
      <c r="KLH1" s="657"/>
      <c r="KLI1" s="657"/>
      <c r="KLJ1" s="657"/>
      <c r="KLK1" s="657"/>
      <c r="KLL1" s="657"/>
      <c r="KLM1" s="657"/>
      <c r="KLN1" s="657"/>
      <c r="KLO1" s="657"/>
      <c r="KLP1" s="657"/>
      <c r="KLQ1" s="657"/>
      <c r="KLR1" s="657"/>
      <c r="KLS1" s="657"/>
      <c r="KLT1" s="657"/>
      <c r="KLU1" s="657"/>
      <c r="KLV1" s="657"/>
      <c r="KLW1" s="657"/>
      <c r="KLX1" s="657"/>
      <c r="KLY1" s="657"/>
      <c r="KLZ1" s="657"/>
      <c r="KMA1" s="657"/>
      <c r="KMB1" s="657"/>
      <c r="KMC1" s="657"/>
      <c r="KMD1" s="657"/>
      <c r="KME1" s="657"/>
      <c r="KMF1" s="657"/>
      <c r="KMG1" s="657"/>
      <c r="KMH1" s="657"/>
      <c r="KMI1" s="657"/>
      <c r="KMJ1" s="657"/>
      <c r="KMK1" s="657"/>
      <c r="KML1" s="657"/>
      <c r="KMM1" s="657"/>
      <c r="KMN1" s="657"/>
      <c r="KMO1" s="657"/>
      <c r="KMP1" s="657"/>
      <c r="KMQ1" s="657"/>
      <c r="KMR1" s="657"/>
      <c r="KMS1" s="657"/>
      <c r="KMT1" s="657"/>
      <c r="KMU1" s="657"/>
      <c r="KMV1" s="657"/>
      <c r="KMW1" s="657"/>
      <c r="KMX1" s="657"/>
      <c r="KMY1" s="657"/>
      <c r="KMZ1" s="657"/>
      <c r="KNA1" s="657"/>
      <c r="KNB1" s="657"/>
      <c r="KNC1" s="657"/>
      <c r="KND1" s="657"/>
      <c r="KNE1" s="657"/>
      <c r="KNF1" s="657"/>
      <c r="KNG1" s="657"/>
      <c r="KNH1" s="657"/>
      <c r="KNI1" s="657"/>
      <c r="KNJ1" s="657"/>
      <c r="KNK1" s="657"/>
      <c r="KNL1" s="657"/>
      <c r="KNM1" s="657"/>
      <c r="KNN1" s="657"/>
      <c r="KNO1" s="657"/>
      <c r="KNP1" s="657"/>
      <c r="KNQ1" s="657"/>
      <c r="KNR1" s="657"/>
      <c r="KNS1" s="657"/>
      <c r="KNT1" s="657"/>
      <c r="KNU1" s="657"/>
      <c r="KNV1" s="657"/>
      <c r="KNW1" s="657"/>
      <c r="KNX1" s="657"/>
      <c r="KNY1" s="657"/>
      <c r="KNZ1" s="657"/>
      <c r="KOA1" s="657"/>
      <c r="KOB1" s="657"/>
      <c r="KOC1" s="657"/>
      <c r="KOD1" s="657"/>
      <c r="KOE1" s="657"/>
      <c r="KOF1" s="657"/>
      <c r="KOG1" s="657"/>
      <c r="KOH1" s="657"/>
      <c r="KOI1" s="657"/>
      <c r="KOJ1" s="657"/>
      <c r="KOK1" s="657"/>
      <c r="KOL1" s="657"/>
      <c r="KOM1" s="657"/>
      <c r="KON1" s="657"/>
      <c r="KOO1" s="657"/>
      <c r="KOP1" s="657"/>
      <c r="KOQ1" s="657"/>
      <c r="KOR1" s="657"/>
      <c r="KOS1" s="657"/>
      <c r="KOT1" s="657"/>
      <c r="KOU1" s="657"/>
      <c r="KOV1" s="657"/>
      <c r="KOW1" s="657"/>
      <c r="KOX1" s="657"/>
      <c r="KOY1" s="657"/>
      <c r="KOZ1" s="657"/>
      <c r="KPA1" s="657"/>
      <c r="KPB1" s="657"/>
      <c r="KPC1" s="657"/>
      <c r="KPD1" s="657"/>
      <c r="KPE1" s="657"/>
      <c r="KPF1" s="657"/>
      <c r="KPG1" s="657"/>
      <c r="KPH1" s="657"/>
      <c r="KPI1" s="657"/>
      <c r="KPJ1" s="657"/>
      <c r="KPK1" s="657"/>
      <c r="KPL1" s="657"/>
      <c r="KPM1" s="657"/>
      <c r="KPN1" s="657"/>
      <c r="KPO1" s="657"/>
      <c r="KPP1" s="657"/>
      <c r="KPQ1" s="657"/>
      <c r="KPR1" s="657"/>
      <c r="KPS1" s="657"/>
      <c r="KPT1" s="657"/>
      <c r="KPU1" s="657"/>
      <c r="KPV1" s="657"/>
      <c r="KPW1" s="657"/>
      <c r="KPX1" s="657"/>
      <c r="KPY1" s="657"/>
      <c r="KPZ1" s="657"/>
      <c r="KQA1" s="657"/>
      <c r="KQB1" s="657"/>
      <c r="KQC1" s="657"/>
      <c r="KQD1" s="657"/>
      <c r="KQE1" s="657"/>
      <c r="KQF1" s="657"/>
      <c r="KQG1" s="657"/>
      <c r="KQH1" s="657"/>
      <c r="KQI1" s="657"/>
      <c r="KQJ1" s="657"/>
      <c r="KQK1" s="657"/>
      <c r="KQL1" s="657"/>
      <c r="KQM1" s="657"/>
      <c r="KQN1" s="657"/>
      <c r="KQO1" s="657"/>
      <c r="KQP1" s="657"/>
      <c r="KQQ1" s="657"/>
      <c r="KQR1" s="657"/>
      <c r="KQS1" s="657"/>
      <c r="KQT1" s="657"/>
      <c r="KQU1" s="657"/>
      <c r="KQV1" s="657"/>
      <c r="KQW1" s="657"/>
      <c r="KQX1" s="657"/>
      <c r="KQY1" s="657"/>
      <c r="KQZ1" s="657"/>
      <c r="KRA1" s="657"/>
      <c r="KRB1" s="657"/>
      <c r="KRC1" s="657"/>
      <c r="KRD1" s="657"/>
      <c r="KRE1" s="657"/>
      <c r="KRF1" s="657"/>
      <c r="KRG1" s="657"/>
      <c r="KRH1" s="657"/>
      <c r="KRI1" s="657"/>
      <c r="KRJ1" s="657"/>
      <c r="KRK1" s="657"/>
      <c r="KRL1" s="657"/>
      <c r="KRM1" s="657"/>
      <c r="KRN1" s="657"/>
      <c r="KRO1" s="657"/>
      <c r="KRP1" s="657"/>
      <c r="KRQ1" s="657"/>
      <c r="KRR1" s="657"/>
      <c r="KRS1" s="657"/>
      <c r="KRT1" s="657"/>
      <c r="KRU1" s="657"/>
      <c r="KRV1" s="657"/>
      <c r="KRW1" s="657"/>
      <c r="KRX1" s="657"/>
      <c r="KRY1" s="657"/>
      <c r="KRZ1" s="657"/>
      <c r="KSA1" s="657"/>
      <c r="KSB1" s="657"/>
      <c r="KSC1" s="657"/>
      <c r="KSD1" s="657"/>
      <c r="KSE1" s="657"/>
      <c r="KSF1" s="657"/>
      <c r="KSG1" s="657"/>
      <c r="KSH1" s="657"/>
      <c r="KSI1" s="657"/>
      <c r="KSJ1" s="657"/>
      <c r="KSK1" s="657"/>
      <c r="KSL1" s="657"/>
      <c r="KSM1" s="657"/>
      <c r="KSN1" s="657"/>
      <c r="KSO1" s="657"/>
      <c r="KSP1" s="657"/>
      <c r="KSQ1" s="657"/>
      <c r="KSR1" s="657"/>
      <c r="KSS1" s="657"/>
      <c r="KST1" s="657"/>
      <c r="KSU1" s="657"/>
      <c r="KSV1" s="657"/>
      <c r="KSW1" s="657"/>
      <c r="KSX1" s="657"/>
      <c r="KSY1" s="657"/>
      <c r="KSZ1" s="657"/>
      <c r="KTA1" s="657"/>
      <c r="KTB1" s="657"/>
      <c r="KTC1" s="657"/>
      <c r="KTD1" s="657"/>
      <c r="KTE1" s="657"/>
      <c r="KTF1" s="657"/>
      <c r="KTG1" s="657"/>
      <c r="KTH1" s="657"/>
      <c r="KTI1" s="657"/>
      <c r="KTJ1" s="657"/>
      <c r="KTK1" s="657"/>
      <c r="KTL1" s="657"/>
      <c r="KTM1" s="657"/>
      <c r="KTN1" s="657"/>
      <c r="KTO1" s="657"/>
      <c r="KTP1" s="657"/>
      <c r="KTQ1" s="657"/>
      <c r="KTR1" s="657"/>
      <c r="KTS1" s="657"/>
      <c r="KTT1" s="657"/>
      <c r="KTU1" s="657"/>
      <c r="KTV1" s="657"/>
      <c r="KTW1" s="657"/>
      <c r="KTX1" s="657"/>
      <c r="KTY1" s="657"/>
      <c r="KTZ1" s="657"/>
      <c r="KUA1" s="657"/>
      <c r="KUB1" s="657"/>
      <c r="KUC1" s="657"/>
      <c r="KUD1" s="657"/>
      <c r="KUE1" s="657"/>
      <c r="KUF1" s="657"/>
      <c r="KUG1" s="657"/>
      <c r="KUH1" s="657"/>
      <c r="KUI1" s="657"/>
      <c r="KUJ1" s="657"/>
      <c r="KUK1" s="657"/>
      <c r="KUL1" s="657"/>
      <c r="KUM1" s="657"/>
      <c r="KUN1" s="657"/>
      <c r="KUO1" s="657"/>
      <c r="KUP1" s="657"/>
      <c r="KUQ1" s="657"/>
      <c r="KUR1" s="657"/>
      <c r="KUS1" s="657"/>
      <c r="KUT1" s="657"/>
      <c r="KUU1" s="657"/>
      <c r="KUV1" s="657"/>
      <c r="KUW1" s="657"/>
      <c r="KUX1" s="657"/>
      <c r="KUY1" s="657"/>
      <c r="KUZ1" s="657"/>
      <c r="KVA1" s="657"/>
      <c r="KVB1" s="657"/>
      <c r="KVC1" s="657"/>
      <c r="KVD1" s="657"/>
      <c r="KVE1" s="657"/>
      <c r="KVF1" s="657"/>
      <c r="KVG1" s="657"/>
      <c r="KVH1" s="657"/>
      <c r="KVI1" s="657"/>
      <c r="KVJ1" s="657"/>
      <c r="KVK1" s="657"/>
      <c r="KVL1" s="657"/>
      <c r="KVM1" s="657"/>
      <c r="KVN1" s="657"/>
      <c r="KVO1" s="657"/>
      <c r="KVP1" s="657"/>
      <c r="KVQ1" s="657"/>
      <c r="KVR1" s="657"/>
      <c r="KVS1" s="657"/>
      <c r="KVT1" s="657"/>
      <c r="KVU1" s="657"/>
      <c r="KVV1" s="657"/>
      <c r="KVW1" s="657"/>
      <c r="KVX1" s="657"/>
      <c r="KVY1" s="657"/>
      <c r="KVZ1" s="657"/>
      <c r="KWA1" s="657"/>
      <c r="KWB1" s="657"/>
      <c r="KWC1" s="657"/>
      <c r="KWD1" s="657"/>
      <c r="KWE1" s="657"/>
      <c r="KWF1" s="657"/>
      <c r="KWG1" s="657"/>
      <c r="KWH1" s="657"/>
      <c r="KWI1" s="657"/>
      <c r="KWJ1" s="657"/>
      <c r="KWK1" s="657"/>
      <c r="KWL1" s="657"/>
      <c r="KWM1" s="657"/>
      <c r="KWN1" s="657"/>
      <c r="KWO1" s="657"/>
      <c r="KWP1" s="657"/>
      <c r="KWQ1" s="657"/>
      <c r="KWR1" s="657"/>
      <c r="KWS1" s="657"/>
      <c r="KWT1" s="657"/>
      <c r="KWU1" s="657"/>
      <c r="KWV1" s="657"/>
      <c r="KWW1" s="657"/>
      <c r="KWX1" s="657"/>
      <c r="KWY1" s="657"/>
      <c r="KWZ1" s="657"/>
      <c r="KXA1" s="657"/>
      <c r="KXB1" s="657"/>
      <c r="KXC1" s="657"/>
      <c r="KXD1" s="657"/>
      <c r="KXE1" s="657"/>
      <c r="KXF1" s="657"/>
      <c r="KXG1" s="657"/>
      <c r="KXH1" s="657"/>
      <c r="KXI1" s="657"/>
      <c r="KXJ1" s="657"/>
      <c r="KXK1" s="657"/>
      <c r="KXL1" s="657"/>
      <c r="KXM1" s="657"/>
      <c r="KXN1" s="657"/>
      <c r="KXO1" s="657"/>
      <c r="KXP1" s="657"/>
      <c r="KXQ1" s="657"/>
      <c r="KXR1" s="657"/>
      <c r="KXS1" s="657"/>
      <c r="KXT1" s="657"/>
      <c r="KXU1" s="657"/>
      <c r="KXV1" s="657"/>
      <c r="KXW1" s="657"/>
      <c r="KXX1" s="657"/>
      <c r="KXY1" s="657"/>
      <c r="KXZ1" s="657"/>
      <c r="KYA1" s="657"/>
      <c r="KYB1" s="657"/>
      <c r="KYC1" s="657"/>
      <c r="KYD1" s="657"/>
      <c r="KYE1" s="657"/>
      <c r="KYF1" s="657"/>
      <c r="KYG1" s="657"/>
      <c r="KYH1" s="657"/>
      <c r="KYI1" s="657"/>
      <c r="KYJ1" s="657"/>
      <c r="KYK1" s="657"/>
      <c r="KYL1" s="657"/>
      <c r="KYM1" s="657"/>
      <c r="KYN1" s="657"/>
      <c r="KYO1" s="657"/>
      <c r="KYP1" s="657"/>
      <c r="KYQ1" s="657"/>
      <c r="KYR1" s="657"/>
      <c r="KYS1" s="657"/>
      <c r="KYT1" s="657"/>
      <c r="KYU1" s="657"/>
      <c r="KYV1" s="657"/>
      <c r="KYW1" s="657"/>
      <c r="KYX1" s="657"/>
      <c r="KYY1" s="657"/>
      <c r="KYZ1" s="657"/>
      <c r="KZA1" s="657"/>
      <c r="KZB1" s="657"/>
      <c r="KZC1" s="657"/>
      <c r="KZD1" s="657"/>
      <c r="KZE1" s="657"/>
      <c r="KZF1" s="657"/>
      <c r="KZG1" s="657"/>
      <c r="KZH1" s="657"/>
      <c r="KZI1" s="657"/>
      <c r="KZJ1" s="657"/>
      <c r="KZK1" s="657"/>
      <c r="KZL1" s="657"/>
      <c r="KZM1" s="657"/>
      <c r="KZN1" s="657"/>
      <c r="KZO1" s="657"/>
      <c r="KZP1" s="657"/>
      <c r="KZQ1" s="657"/>
      <c r="KZR1" s="657"/>
      <c r="KZS1" s="657"/>
      <c r="KZT1" s="657"/>
      <c r="KZU1" s="657"/>
      <c r="KZV1" s="657"/>
      <c r="KZW1" s="657"/>
      <c r="KZX1" s="657"/>
      <c r="KZY1" s="657"/>
      <c r="KZZ1" s="657"/>
      <c r="LAA1" s="657"/>
      <c r="LAB1" s="657"/>
      <c r="LAC1" s="657"/>
      <c r="LAD1" s="657"/>
      <c r="LAE1" s="657"/>
      <c r="LAF1" s="657"/>
      <c r="LAG1" s="657"/>
      <c r="LAH1" s="657"/>
      <c r="LAI1" s="657"/>
      <c r="LAJ1" s="657"/>
      <c r="LAK1" s="657"/>
      <c r="LAL1" s="657"/>
      <c r="LAM1" s="657"/>
      <c r="LAN1" s="657"/>
      <c r="LAO1" s="657"/>
      <c r="LAP1" s="657"/>
      <c r="LAQ1" s="657"/>
      <c r="LAR1" s="657"/>
      <c r="LAS1" s="657"/>
      <c r="LAT1" s="657"/>
      <c r="LAU1" s="657"/>
      <c r="LAV1" s="657"/>
      <c r="LAW1" s="657"/>
      <c r="LAX1" s="657"/>
      <c r="LAY1" s="657"/>
      <c r="LAZ1" s="657"/>
      <c r="LBA1" s="657"/>
      <c r="LBB1" s="657"/>
      <c r="LBC1" s="657"/>
      <c r="LBD1" s="657"/>
      <c r="LBE1" s="657"/>
      <c r="LBF1" s="657"/>
      <c r="LBG1" s="657"/>
      <c r="LBH1" s="657"/>
      <c r="LBI1" s="657"/>
      <c r="LBJ1" s="657"/>
      <c r="LBK1" s="657"/>
      <c r="LBL1" s="657"/>
      <c r="LBM1" s="657"/>
      <c r="LBN1" s="657"/>
      <c r="LBO1" s="657"/>
      <c r="LBP1" s="657"/>
      <c r="LBQ1" s="657"/>
      <c r="LBR1" s="657"/>
      <c r="LBS1" s="657"/>
      <c r="LBT1" s="657"/>
      <c r="LBU1" s="657"/>
      <c r="LBV1" s="657"/>
      <c r="LBW1" s="657"/>
      <c r="LBX1" s="657"/>
      <c r="LBY1" s="657"/>
      <c r="LBZ1" s="657"/>
      <c r="LCA1" s="657"/>
      <c r="LCB1" s="657"/>
      <c r="LCC1" s="657"/>
      <c r="LCD1" s="657"/>
      <c r="LCE1" s="657"/>
      <c r="LCF1" s="657"/>
      <c r="LCG1" s="657"/>
      <c r="LCH1" s="657"/>
      <c r="LCI1" s="657"/>
      <c r="LCJ1" s="657"/>
      <c r="LCK1" s="657"/>
      <c r="LCL1" s="657"/>
      <c r="LCM1" s="657"/>
      <c r="LCN1" s="657"/>
      <c r="LCO1" s="657"/>
      <c r="LCP1" s="657"/>
      <c r="LCQ1" s="657"/>
      <c r="LCR1" s="657"/>
      <c r="LCS1" s="657"/>
      <c r="LCT1" s="657"/>
      <c r="LCU1" s="657"/>
      <c r="LCV1" s="657"/>
      <c r="LCW1" s="657"/>
      <c r="LCX1" s="657"/>
      <c r="LCY1" s="657"/>
      <c r="LCZ1" s="657"/>
      <c r="LDA1" s="657"/>
      <c r="LDB1" s="657"/>
      <c r="LDC1" s="657"/>
      <c r="LDD1" s="657"/>
      <c r="LDE1" s="657"/>
      <c r="LDF1" s="657"/>
      <c r="LDG1" s="657"/>
      <c r="LDH1" s="657"/>
      <c r="LDI1" s="657"/>
      <c r="LDJ1" s="657"/>
      <c r="LDK1" s="657"/>
      <c r="LDL1" s="657"/>
      <c r="LDM1" s="657"/>
      <c r="LDN1" s="657"/>
      <c r="LDO1" s="657"/>
      <c r="LDP1" s="657"/>
      <c r="LDQ1" s="657"/>
      <c r="LDR1" s="657"/>
      <c r="LDS1" s="657"/>
      <c r="LDT1" s="657"/>
      <c r="LDU1" s="657"/>
      <c r="LDV1" s="657"/>
      <c r="LDW1" s="657"/>
      <c r="LDX1" s="657"/>
      <c r="LDY1" s="657"/>
      <c r="LDZ1" s="657"/>
      <c r="LEA1" s="657"/>
      <c r="LEB1" s="657"/>
      <c r="LEC1" s="657"/>
      <c r="LED1" s="657"/>
      <c r="LEE1" s="657"/>
      <c r="LEF1" s="657"/>
      <c r="LEG1" s="657"/>
      <c r="LEH1" s="657"/>
      <c r="LEI1" s="657"/>
      <c r="LEJ1" s="657"/>
      <c r="LEK1" s="657"/>
      <c r="LEL1" s="657"/>
      <c r="LEM1" s="657"/>
      <c r="LEN1" s="657"/>
      <c r="LEO1" s="657"/>
      <c r="LEP1" s="657"/>
      <c r="LEQ1" s="657"/>
      <c r="LER1" s="657"/>
      <c r="LES1" s="657"/>
      <c r="LET1" s="657"/>
      <c r="LEU1" s="657"/>
      <c r="LEV1" s="657"/>
      <c r="LEW1" s="657"/>
      <c r="LEX1" s="657"/>
      <c r="LEY1" s="657"/>
      <c r="LEZ1" s="657"/>
      <c r="LFA1" s="657"/>
      <c r="LFB1" s="657"/>
      <c r="LFC1" s="657"/>
      <c r="LFD1" s="657"/>
      <c r="LFE1" s="657"/>
      <c r="LFF1" s="657"/>
      <c r="LFG1" s="657"/>
      <c r="LFH1" s="657"/>
      <c r="LFI1" s="657"/>
      <c r="LFJ1" s="657"/>
      <c r="LFK1" s="657"/>
      <c r="LFL1" s="657"/>
      <c r="LFM1" s="657"/>
      <c r="LFN1" s="657"/>
      <c r="LFO1" s="657"/>
      <c r="LFP1" s="657"/>
      <c r="LFQ1" s="657"/>
      <c r="LFR1" s="657"/>
      <c r="LFS1" s="657"/>
      <c r="LFT1" s="657"/>
      <c r="LFU1" s="657"/>
      <c r="LFV1" s="657"/>
      <c r="LFW1" s="657"/>
      <c r="LFX1" s="657"/>
      <c r="LFY1" s="657"/>
      <c r="LFZ1" s="657"/>
      <c r="LGA1" s="657"/>
      <c r="LGB1" s="657"/>
      <c r="LGC1" s="657"/>
      <c r="LGD1" s="657"/>
      <c r="LGE1" s="657"/>
      <c r="LGF1" s="657"/>
      <c r="LGG1" s="657"/>
      <c r="LGH1" s="657"/>
      <c r="LGI1" s="657"/>
      <c r="LGJ1" s="657"/>
      <c r="LGK1" s="657"/>
      <c r="LGL1" s="657"/>
      <c r="LGM1" s="657"/>
      <c r="LGN1" s="657"/>
      <c r="LGO1" s="657"/>
      <c r="LGP1" s="657"/>
      <c r="LGQ1" s="657"/>
      <c r="LGR1" s="657"/>
      <c r="LGS1" s="657"/>
      <c r="LGT1" s="657"/>
      <c r="LGU1" s="657"/>
      <c r="LGV1" s="657"/>
      <c r="LGW1" s="657"/>
      <c r="LGX1" s="657"/>
      <c r="LGY1" s="657"/>
      <c r="LGZ1" s="657"/>
      <c r="LHA1" s="657"/>
      <c r="LHB1" s="657"/>
      <c r="LHC1" s="657"/>
      <c r="LHD1" s="657"/>
      <c r="LHE1" s="657"/>
      <c r="LHF1" s="657"/>
      <c r="LHG1" s="657"/>
      <c r="LHH1" s="657"/>
      <c r="LHI1" s="657"/>
      <c r="LHJ1" s="657"/>
      <c r="LHK1" s="657"/>
      <c r="LHL1" s="657"/>
      <c r="LHM1" s="657"/>
      <c r="LHN1" s="657"/>
      <c r="LHO1" s="657"/>
      <c r="LHP1" s="657"/>
      <c r="LHQ1" s="657"/>
      <c r="LHR1" s="657"/>
      <c r="LHS1" s="657"/>
      <c r="LHT1" s="657"/>
      <c r="LHU1" s="657"/>
      <c r="LHV1" s="657"/>
      <c r="LHW1" s="657"/>
      <c r="LHX1" s="657"/>
      <c r="LHY1" s="657"/>
      <c r="LHZ1" s="657"/>
      <c r="LIA1" s="657"/>
      <c r="LIB1" s="657"/>
      <c r="LIC1" s="657"/>
      <c r="LID1" s="657"/>
      <c r="LIE1" s="657"/>
      <c r="LIF1" s="657"/>
      <c r="LIG1" s="657"/>
      <c r="LIH1" s="657"/>
      <c r="LII1" s="657"/>
      <c r="LIJ1" s="657"/>
      <c r="LIK1" s="657"/>
      <c r="LIL1" s="657"/>
      <c r="LIM1" s="657"/>
      <c r="LIN1" s="657"/>
      <c r="LIO1" s="657"/>
      <c r="LIP1" s="657"/>
      <c r="LIQ1" s="657"/>
      <c r="LIR1" s="657"/>
      <c r="LIS1" s="657"/>
      <c r="LIT1" s="657"/>
      <c r="LIU1" s="657"/>
      <c r="LIV1" s="657"/>
      <c r="LIW1" s="657"/>
      <c r="LIX1" s="657"/>
      <c r="LIY1" s="657"/>
      <c r="LIZ1" s="657"/>
      <c r="LJA1" s="657"/>
      <c r="LJB1" s="657"/>
      <c r="LJC1" s="657"/>
      <c r="LJD1" s="657"/>
      <c r="LJE1" s="657"/>
      <c r="LJF1" s="657"/>
      <c r="LJG1" s="657"/>
      <c r="LJH1" s="657"/>
      <c r="LJI1" s="657"/>
      <c r="LJJ1" s="657"/>
      <c r="LJK1" s="657"/>
      <c r="LJL1" s="657"/>
      <c r="LJM1" s="657"/>
      <c r="LJN1" s="657"/>
      <c r="LJO1" s="657"/>
      <c r="LJP1" s="657"/>
      <c r="LJQ1" s="657"/>
      <c r="LJR1" s="657"/>
      <c r="LJS1" s="657"/>
      <c r="LJT1" s="657"/>
      <c r="LJU1" s="657"/>
      <c r="LJV1" s="657"/>
      <c r="LJW1" s="657"/>
      <c r="LJX1" s="657"/>
      <c r="LJY1" s="657"/>
      <c r="LJZ1" s="657"/>
      <c r="LKA1" s="657"/>
      <c r="LKB1" s="657"/>
      <c r="LKC1" s="657"/>
      <c r="LKD1" s="657"/>
      <c r="LKE1" s="657"/>
      <c r="LKF1" s="657"/>
      <c r="LKG1" s="657"/>
      <c r="LKH1" s="657"/>
      <c r="LKI1" s="657"/>
      <c r="LKJ1" s="657"/>
      <c r="LKK1" s="657"/>
      <c r="LKL1" s="657"/>
      <c r="LKM1" s="657"/>
      <c r="LKN1" s="657"/>
      <c r="LKO1" s="657"/>
      <c r="LKP1" s="657"/>
      <c r="LKQ1" s="657"/>
      <c r="LKR1" s="657"/>
      <c r="LKS1" s="657"/>
      <c r="LKT1" s="657"/>
      <c r="LKU1" s="657"/>
      <c r="LKV1" s="657"/>
      <c r="LKW1" s="657"/>
      <c r="LKX1" s="657"/>
      <c r="LKY1" s="657"/>
      <c r="LKZ1" s="657"/>
      <c r="LLA1" s="657"/>
      <c r="LLB1" s="657"/>
      <c r="LLC1" s="657"/>
      <c r="LLD1" s="657"/>
      <c r="LLE1" s="657"/>
      <c r="LLF1" s="657"/>
      <c r="LLG1" s="657"/>
      <c r="LLH1" s="657"/>
      <c r="LLI1" s="657"/>
      <c r="LLJ1" s="657"/>
      <c r="LLK1" s="657"/>
      <c r="LLL1" s="657"/>
      <c r="LLM1" s="657"/>
      <c r="LLN1" s="657"/>
      <c r="LLO1" s="657"/>
      <c r="LLP1" s="657"/>
      <c r="LLQ1" s="657"/>
      <c r="LLR1" s="657"/>
      <c r="LLS1" s="657"/>
      <c r="LLT1" s="657"/>
      <c r="LLU1" s="657"/>
      <c r="LLV1" s="657"/>
      <c r="LLW1" s="657"/>
      <c r="LLX1" s="657"/>
      <c r="LLY1" s="657"/>
      <c r="LLZ1" s="657"/>
      <c r="LMA1" s="657"/>
      <c r="LMB1" s="657"/>
      <c r="LMC1" s="657"/>
      <c r="LMD1" s="657"/>
      <c r="LME1" s="657"/>
      <c r="LMF1" s="657"/>
      <c r="LMG1" s="657"/>
      <c r="LMH1" s="657"/>
      <c r="LMI1" s="657"/>
      <c r="LMJ1" s="657"/>
      <c r="LMK1" s="657"/>
      <c r="LML1" s="657"/>
      <c r="LMM1" s="657"/>
      <c r="LMN1" s="657"/>
      <c r="LMO1" s="657"/>
      <c r="LMP1" s="657"/>
      <c r="LMQ1" s="657"/>
      <c r="LMR1" s="657"/>
      <c r="LMS1" s="657"/>
      <c r="LMT1" s="657"/>
      <c r="LMU1" s="657"/>
      <c r="LMV1" s="657"/>
      <c r="LMW1" s="657"/>
      <c r="LMX1" s="657"/>
      <c r="LMY1" s="657"/>
      <c r="LMZ1" s="657"/>
      <c r="LNA1" s="657"/>
      <c r="LNB1" s="657"/>
      <c r="LNC1" s="657"/>
      <c r="LND1" s="657"/>
      <c r="LNE1" s="657"/>
      <c r="LNF1" s="657"/>
      <c r="LNG1" s="657"/>
      <c r="LNH1" s="657"/>
      <c r="LNI1" s="657"/>
      <c r="LNJ1" s="657"/>
      <c r="LNK1" s="657"/>
      <c r="LNL1" s="657"/>
      <c r="LNM1" s="657"/>
      <c r="LNN1" s="657"/>
      <c r="LNO1" s="657"/>
      <c r="LNP1" s="657"/>
      <c r="LNQ1" s="657"/>
      <c r="LNR1" s="657"/>
      <c r="LNS1" s="657"/>
      <c r="LNT1" s="657"/>
      <c r="LNU1" s="657"/>
      <c r="LNV1" s="657"/>
      <c r="LNW1" s="657"/>
      <c r="LNX1" s="657"/>
      <c r="LNY1" s="657"/>
      <c r="LNZ1" s="657"/>
      <c r="LOA1" s="657"/>
      <c r="LOB1" s="657"/>
      <c r="LOC1" s="657"/>
      <c r="LOD1" s="657"/>
      <c r="LOE1" s="657"/>
      <c r="LOF1" s="657"/>
      <c r="LOG1" s="657"/>
      <c r="LOH1" s="657"/>
      <c r="LOI1" s="657"/>
      <c r="LOJ1" s="657"/>
      <c r="LOK1" s="657"/>
      <c r="LOL1" s="657"/>
      <c r="LOM1" s="657"/>
      <c r="LON1" s="657"/>
      <c r="LOO1" s="657"/>
      <c r="LOP1" s="657"/>
      <c r="LOQ1" s="657"/>
      <c r="LOR1" s="657"/>
      <c r="LOS1" s="657"/>
      <c r="LOT1" s="657"/>
      <c r="LOU1" s="657"/>
      <c r="LOV1" s="657"/>
      <c r="LOW1" s="657"/>
      <c r="LOX1" s="657"/>
      <c r="LOY1" s="657"/>
      <c r="LOZ1" s="657"/>
      <c r="LPA1" s="657"/>
      <c r="LPB1" s="657"/>
      <c r="LPC1" s="657"/>
      <c r="LPD1" s="657"/>
      <c r="LPE1" s="657"/>
      <c r="LPF1" s="657"/>
      <c r="LPG1" s="657"/>
      <c r="LPH1" s="657"/>
      <c r="LPI1" s="657"/>
      <c r="LPJ1" s="657"/>
      <c r="LPK1" s="657"/>
      <c r="LPL1" s="657"/>
      <c r="LPM1" s="657"/>
      <c r="LPN1" s="657"/>
      <c r="LPO1" s="657"/>
      <c r="LPP1" s="657"/>
      <c r="LPQ1" s="657"/>
      <c r="LPR1" s="657"/>
      <c r="LPS1" s="657"/>
      <c r="LPT1" s="657"/>
      <c r="LPU1" s="657"/>
      <c r="LPV1" s="657"/>
      <c r="LPW1" s="657"/>
      <c r="LPX1" s="657"/>
      <c r="LPY1" s="657"/>
      <c r="LPZ1" s="657"/>
      <c r="LQA1" s="657"/>
      <c r="LQB1" s="657"/>
      <c r="LQC1" s="657"/>
      <c r="LQD1" s="657"/>
      <c r="LQE1" s="657"/>
      <c r="LQF1" s="657"/>
      <c r="LQG1" s="657"/>
      <c r="LQH1" s="657"/>
      <c r="LQI1" s="657"/>
      <c r="LQJ1" s="657"/>
      <c r="LQK1" s="657"/>
      <c r="LQL1" s="657"/>
      <c r="LQM1" s="657"/>
      <c r="LQN1" s="657"/>
      <c r="LQO1" s="657"/>
      <c r="LQP1" s="657"/>
      <c r="LQQ1" s="657"/>
      <c r="LQR1" s="657"/>
      <c r="LQS1" s="657"/>
      <c r="LQT1" s="657"/>
      <c r="LQU1" s="657"/>
      <c r="LQV1" s="657"/>
      <c r="LQW1" s="657"/>
      <c r="LQX1" s="657"/>
      <c r="LQY1" s="657"/>
      <c r="LQZ1" s="657"/>
      <c r="LRA1" s="657"/>
      <c r="LRB1" s="657"/>
      <c r="LRC1" s="657"/>
      <c r="LRD1" s="657"/>
      <c r="LRE1" s="657"/>
      <c r="LRF1" s="657"/>
      <c r="LRG1" s="657"/>
      <c r="LRH1" s="657"/>
      <c r="LRI1" s="657"/>
      <c r="LRJ1" s="657"/>
      <c r="LRK1" s="657"/>
      <c r="LRL1" s="657"/>
      <c r="LRM1" s="657"/>
      <c r="LRN1" s="657"/>
      <c r="LRO1" s="657"/>
      <c r="LRP1" s="657"/>
      <c r="LRQ1" s="657"/>
      <c r="LRR1" s="657"/>
      <c r="LRS1" s="657"/>
      <c r="LRT1" s="657"/>
      <c r="LRU1" s="657"/>
      <c r="LRV1" s="657"/>
      <c r="LRW1" s="657"/>
      <c r="LRX1" s="657"/>
      <c r="LRY1" s="657"/>
      <c r="LRZ1" s="657"/>
      <c r="LSA1" s="657"/>
      <c r="LSB1" s="657"/>
      <c r="LSC1" s="657"/>
      <c r="LSD1" s="657"/>
      <c r="LSE1" s="657"/>
      <c r="LSF1" s="657"/>
      <c r="LSG1" s="657"/>
      <c r="LSH1" s="657"/>
      <c r="LSI1" s="657"/>
      <c r="LSJ1" s="657"/>
      <c r="LSK1" s="657"/>
      <c r="LSL1" s="657"/>
      <c r="LSM1" s="657"/>
      <c r="LSN1" s="657"/>
      <c r="LSO1" s="657"/>
      <c r="LSP1" s="657"/>
      <c r="LSQ1" s="657"/>
      <c r="LSR1" s="657"/>
      <c r="LSS1" s="657"/>
      <c r="LST1" s="657"/>
      <c r="LSU1" s="657"/>
      <c r="LSV1" s="657"/>
      <c r="LSW1" s="657"/>
      <c r="LSX1" s="657"/>
      <c r="LSY1" s="657"/>
      <c r="LSZ1" s="657"/>
      <c r="LTA1" s="657"/>
      <c r="LTB1" s="657"/>
      <c r="LTC1" s="657"/>
      <c r="LTD1" s="657"/>
      <c r="LTE1" s="657"/>
      <c r="LTF1" s="657"/>
      <c r="LTG1" s="657"/>
      <c r="LTH1" s="657"/>
      <c r="LTI1" s="657"/>
      <c r="LTJ1" s="657"/>
      <c r="LTK1" s="657"/>
      <c r="LTL1" s="657"/>
      <c r="LTM1" s="657"/>
      <c r="LTN1" s="657"/>
      <c r="LTO1" s="657"/>
      <c r="LTP1" s="657"/>
      <c r="LTQ1" s="657"/>
      <c r="LTR1" s="657"/>
      <c r="LTS1" s="657"/>
      <c r="LTT1" s="657"/>
      <c r="LTU1" s="657"/>
      <c r="LTV1" s="657"/>
      <c r="LTW1" s="657"/>
      <c r="LTX1" s="657"/>
      <c r="LTY1" s="657"/>
      <c r="LTZ1" s="657"/>
      <c r="LUA1" s="657"/>
      <c r="LUB1" s="657"/>
      <c r="LUC1" s="657"/>
      <c r="LUD1" s="657"/>
      <c r="LUE1" s="657"/>
      <c r="LUF1" s="657"/>
      <c r="LUG1" s="657"/>
      <c r="LUH1" s="657"/>
      <c r="LUI1" s="657"/>
      <c r="LUJ1" s="657"/>
      <c r="LUK1" s="657"/>
      <c r="LUL1" s="657"/>
      <c r="LUM1" s="657"/>
      <c r="LUN1" s="657"/>
      <c r="LUO1" s="657"/>
      <c r="LUP1" s="657"/>
      <c r="LUQ1" s="657"/>
      <c r="LUR1" s="657"/>
      <c r="LUS1" s="657"/>
      <c r="LUT1" s="657"/>
      <c r="LUU1" s="657"/>
      <c r="LUV1" s="657"/>
      <c r="LUW1" s="657"/>
      <c r="LUX1" s="657"/>
      <c r="LUY1" s="657"/>
      <c r="LUZ1" s="657"/>
      <c r="LVA1" s="657"/>
      <c r="LVB1" s="657"/>
      <c r="LVC1" s="657"/>
      <c r="LVD1" s="657"/>
      <c r="LVE1" s="657"/>
      <c r="LVF1" s="657"/>
      <c r="LVG1" s="657"/>
      <c r="LVH1" s="657"/>
      <c r="LVI1" s="657"/>
      <c r="LVJ1" s="657"/>
      <c r="LVK1" s="657"/>
      <c r="LVL1" s="657"/>
      <c r="LVM1" s="657"/>
      <c r="LVN1" s="657"/>
      <c r="LVO1" s="657"/>
      <c r="LVP1" s="657"/>
      <c r="LVQ1" s="657"/>
      <c r="LVR1" s="657"/>
      <c r="LVS1" s="657"/>
      <c r="LVT1" s="657"/>
      <c r="LVU1" s="657"/>
      <c r="LVV1" s="657"/>
      <c r="LVW1" s="657"/>
      <c r="LVX1" s="657"/>
      <c r="LVY1" s="657"/>
      <c r="LVZ1" s="657"/>
      <c r="LWA1" s="657"/>
      <c r="LWB1" s="657"/>
      <c r="LWC1" s="657"/>
      <c r="LWD1" s="657"/>
      <c r="LWE1" s="657"/>
      <c r="LWF1" s="657"/>
      <c r="LWG1" s="657"/>
      <c r="LWH1" s="657"/>
      <c r="LWI1" s="657"/>
      <c r="LWJ1" s="657"/>
      <c r="LWK1" s="657"/>
      <c r="LWL1" s="657"/>
      <c r="LWM1" s="657"/>
      <c r="LWN1" s="657"/>
      <c r="LWO1" s="657"/>
      <c r="LWP1" s="657"/>
      <c r="LWQ1" s="657"/>
      <c r="LWR1" s="657"/>
      <c r="LWS1" s="657"/>
      <c r="LWT1" s="657"/>
      <c r="LWU1" s="657"/>
      <c r="LWV1" s="657"/>
      <c r="LWW1" s="657"/>
      <c r="LWX1" s="657"/>
      <c r="LWY1" s="657"/>
      <c r="LWZ1" s="657"/>
      <c r="LXA1" s="657"/>
      <c r="LXB1" s="657"/>
      <c r="LXC1" s="657"/>
      <c r="LXD1" s="657"/>
      <c r="LXE1" s="657"/>
      <c r="LXF1" s="657"/>
      <c r="LXG1" s="657"/>
      <c r="LXH1" s="657"/>
      <c r="LXI1" s="657"/>
      <c r="LXJ1" s="657"/>
      <c r="LXK1" s="657"/>
      <c r="LXL1" s="657"/>
      <c r="LXM1" s="657"/>
      <c r="LXN1" s="657"/>
      <c r="LXO1" s="657"/>
      <c r="LXP1" s="657"/>
      <c r="LXQ1" s="657"/>
      <c r="LXR1" s="657"/>
      <c r="LXS1" s="657"/>
      <c r="LXT1" s="657"/>
      <c r="LXU1" s="657"/>
      <c r="LXV1" s="657"/>
      <c r="LXW1" s="657"/>
      <c r="LXX1" s="657"/>
      <c r="LXY1" s="657"/>
      <c r="LXZ1" s="657"/>
      <c r="LYA1" s="657"/>
      <c r="LYB1" s="657"/>
      <c r="LYC1" s="657"/>
      <c r="LYD1" s="657"/>
      <c r="LYE1" s="657"/>
      <c r="LYF1" s="657"/>
      <c r="LYG1" s="657"/>
      <c r="LYH1" s="657"/>
      <c r="LYI1" s="657"/>
      <c r="LYJ1" s="657"/>
      <c r="LYK1" s="657"/>
      <c r="LYL1" s="657"/>
      <c r="LYM1" s="657"/>
      <c r="LYN1" s="657"/>
      <c r="LYO1" s="657"/>
      <c r="LYP1" s="657"/>
      <c r="LYQ1" s="657"/>
      <c r="LYR1" s="657"/>
      <c r="LYS1" s="657"/>
      <c r="LYT1" s="657"/>
      <c r="LYU1" s="657"/>
      <c r="LYV1" s="657"/>
      <c r="LYW1" s="657"/>
      <c r="LYX1" s="657"/>
      <c r="LYY1" s="657"/>
      <c r="LYZ1" s="657"/>
      <c r="LZA1" s="657"/>
      <c r="LZB1" s="657"/>
      <c r="LZC1" s="657"/>
      <c r="LZD1" s="657"/>
      <c r="LZE1" s="657"/>
      <c r="LZF1" s="657"/>
      <c r="LZG1" s="657"/>
      <c r="LZH1" s="657"/>
      <c r="LZI1" s="657"/>
      <c r="LZJ1" s="657"/>
      <c r="LZK1" s="657"/>
      <c r="LZL1" s="657"/>
      <c r="LZM1" s="657"/>
      <c r="LZN1" s="657"/>
      <c r="LZO1" s="657"/>
      <c r="LZP1" s="657"/>
      <c r="LZQ1" s="657"/>
      <c r="LZR1" s="657"/>
      <c r="LZS1" s="657"/>
      <c r="LZT1" s="657"/>
      <c r="LZU1" s="657"/>
      <c r="LZV1" s="657"/>
      <c r="LZW1" s="657"/>
      <c r="LZX1" s="657"/>
      <c r="LZY1" s="657"/>
      <c r="LZZ1" s="657"/>
      <c r="MAA1" s="657"/>
      <c r="MAB1" s="657"/>
      <c r="MAC1" s="657"/>
      <c r="MAD1" s="657"/>
      <c r="MAE1" s="657"/>
      <c r="MAF1" s="657"/>
      <c r="MAG1" s="657"/>
      <c r="MAH1" s="657"/>
      <c r="MAI1" s="657"/>
      <c r="MAJ1" s="657"/>
      <c r="MAK1" s="657"/>
      <c r="MAL1" s="657"/>
      <c r="MAM1" s="657"/>
      <c r="MAN1" s="657"/>
      <c r="MAO1" s="657"/>
      <c r="MAP1" s="657"/>
      <c r="MAQ1" s="657"/>
      <c r="MAR1" s="657"/>
      <c r="MAS1" s="657"/>
      <c r="MAT1" s="657"/>
      <c r="MAU1" s="657"/>
      <c r="MAV1" s="657"/>
      <c r="MAW1" s="657"/>
      <c r="MAX1" s="657"/>
      <c r="MAY1" s="657"/>
      <c r="MAZ1" s="657"/>
      <c r="MBA1" s="657"/>
      <c r="MBB1" s="657"/>
      <c r="MBC1" s="657"/>
      <c r="MBD1" s="657"/>
      <c r="MBE1" s="657"/>
      <c r="MBF1" s="657"/>
      <c r="MBG1" s="657"/>
      <c r="MBH1" s="657"/>
      <c r="MBI1" s="657"/>
      <c r="MBJ1" s="657"/>
      <c r="MBK1" s="657"/>
      <c r="MBL1" s="657"/>
      <c r="MBM1" s="657"/>
      <c r="MBN1" s="657"/>
      <c r="MBO1" s="657"/>
      <c r="MBP1" s="657"/>
      <c r="MBQ1" s="657"/>
      <c r="MBR1" s="657"/>
      <c r="MBS1" s="657"/>
      <c r="MBT1" s="657"/>
      <c r="MBU1" s="657"/>
      <c r="MBV1" s="657"/>
      <c r="MBW1" s="657"/>
      <c r="MBX1" s="657"/>
      <c r="MBY1" s="657"/>
      <c r="MBZ1" s="657"/>
      <c r="MCA1" s="657"/>
      <c r="MCB1" s="657"/>
      <c r="MCC1" s="657"/>
      <c r="MCD1" s="657"/>
      <c r="MCE1" s="657"/>
      <c r="MCF1" s="657"/>
      <c r="MCG1" s="657"/>
      <c r="MCH1" s="657"/>
      <c r="MCI1" s="657"/>
      <c r="MCJ1" s="657"/>
      <c r="MCK1" s="657"/>
      <c r="MCL1" s="657"/>
      <c r="MCM1" s="657"/>
      <c r="MCN1" s="657"/>
      <c r="MCO1" s="657"/>
      <c r="MCP1" s="657"/>
      <c r="MCQ1" s="657"/>
      <c r="MCR1" s="657"/>
      <c r="MCS1" s="657"/>
      <c r="MCT1" s="657"/>
      <c r="MCU1" s="657"/>
      <c r="MCV1" s="657"/>
      <c r="MCW1" s="657"/>
      <c r="MCX1" s="657"/>
      <c r="MCY1" s="657"/>
      <c r="MCZ1" s="657"/>
      <c r="MDA1" s="657"/>
      <c r="MDB1" s="657"/>
      <c r="MDC1" s="657"/>
      <c r="MDD1" s="657"/>
      <c r="MDE1" s="657"/>
      <c r="MDF1" s="657"/>
      <c r="MDG1" s="657"/>
      <c r="MDH1" s="657"/>
      <c r="MDI1" s="657"/>
      <c r="MDJ1" s="657"/>
      <c r="MDK1" s="657"/>
      <c r="MDL1" s="657"/>
      <c r="MDM1" s="657"/>
      <c r="MDN1" s="657"/>
      <c r="MDO1" s="657"/>
      <c r="MDP1" s="657"/>
      <c r="MDQ1" s="657"/>
      <c r="MDR1" s="657"/>
      <c r="MDS1" s="657"/>
      <c r="MDT1" s="657"/>
      <c r="MDU1" s="657"/>
      <c r="MDV1" s="657"/>
      <c r="MDW1" s="657"/>
      <c r="MDX1" s="657"/>
      <c r="MDY1" s="657"/>
      <c r="MDZ1" s="657"/>
      <c r="MEA1" s="657"/>
      <c r="MEB1" s="657"/>
      <c r="MEC1" s="657"/>
      <c r="MED1" s="657"/>
      <c r="MEE1" s="657"/>
      <c r="MEF1" s="657"/>
      <c r="MEG1" s="657"/>
      <c r="MEH1" s="657"/>
      <c r="MEI1" s="657"/>
      <c r="MEJ1" s="657"/>
      <c r="MEK1" s="657"/>
      <c r="MEL1" s="657"/>
      <c r="MEM1" s="657"/>
      <c r="MEN1" s="657"/>
      <c r="MEO1" s="657"/>
      <c r="MEP1" s="657"/>
      <c r="MEQ1" s="657"/>
      <c r="MER1" s="657"/>
      <c r="MES1" s="657"/>
      <c r="MET1" s="657"/>
      <c r="MEU1" s="657"/>
      <c r="MEV1" s="657"/>
      <c r="MEW1" s="657"/>
      <c r="MEX1" s="657"/>
      <c r="MEY1" s="657"/>
      <c r="MEZ1" s="657"/>
      <c r="MFA1" s="657"/>
      <c r="MFB1" s="657"/>
      <c r="MFC1" s="657"/>
      <c r="MFD1" s="657"/>
      <c r="MFE1" s="657"/>
      <c r="MFF1" s="657"/>
      <c r="MFG1" s="657"/>
      <c r="MFH1" s="657"/>
      <c r="MFI1" s="657"/>
      <c r="MFJ1" s="657"/>
      <c r="MFK1" s="657"/>
      <c r="MFL1" s="657"/>
      <c r="MFM1" s="657"/>
      <c r="MFN1" s="657"/>
      <c r="MFO1" s="657"/>
      <c r="MFP1" s="657"/>
      <c r="MFQ1" s="657"/>
      <c r="MFR1" s="657"/>
      <c r="MFS1" s="657"/>
      <c r="MFT1" s="657"/>
      <c r="MFU1" s="657"/>
      <c r="MFV1" s="657"/>
      <c r="MFW1" s="657"/>
      <c r="MFX1" s="657"/>
      <c r="MFY1" s="657"/>
      <c r="MFZ1" s="657"/>
      <c r="MGA1" s="657"/>
      <c r="MGB1" s="657"/>
      <c r="MGC1" s="657"/>
      <c r="MGD1" s="657"/>
      <c r="MGE1" s="657"/>
      <c r="MGF1" s="657"/>
      <c r="MGG1" s="657"/>
      <c r="MGH1" s="657"/>
      <c r="MGI1" s="657"/>
      <c r="MGJ1" s="657"/>
      <c r="MGK1" s="657"/>
      <c r="MGL1" s="657"/>
      <c r="MGM1" s="657"/>
      <c r="MGN1" s="657"/>
      <c r="MGO1" s="657"/>
      <c r="MGP1" s="657"/>
      <c r="MGQ1" s="657"/>
      <c r="MGR1" s="657"/>
      <c r="MGS1" s="657"/>
      <c r="MGT1" s="657"/>
      <c r="MGU1" s="657"/>
      <c r="MGV1" s="657"/>
      <c r="MGW1" s="657"/>
      <c r="MGX1" s="657"/>
      <c r="MGY1" s="657"/>
      <c r="MGZ1" s="657"/>
      <c r="MHA1" s="657"/>
      <c r="MHB1" s="657"/>
      <c r="MHC1" s="657"/>
      <c r="MHD1" s="657"/>
      <c r="MHE1" s="657"/>
      <c r="MHF1" s="657"/>
      <c r="MHG1" s="657"/>
      <c r="MHH1" s="657"/>
      <c r="MHI1" s="657"/>
      <c r="MHJ1" s="657"/>
      <c r="MHK1" s="657"/>
      <c r="MHL1" s="657"/>
      <c r="MHM1" s="657"/>
      <c r="MHN1" s="657"/>
      <c r="MHO1" s="657"/>
      <c r="MHP1" s="657"/>
      <c r="MHQ1" s="657"/>
      <c r="MHR1" s="657"/>
      <c r="MHS1" s="657"/>
      <c r="MHT1" s="657"/>
      <c r="MHU1" s="657"/>
      <c r="MHV1" s="657"/>
      <c r="MHW1" s="657"/>
      <c r="MHX1" s="657"/>
      <c r="MHY1" s="657"/>
      <c r="MHZ1" s="657"/>
      <c r="MIA1" s="657"/>
      <c r="MIB1" s="657"/>
      <c r="MIC1" s="657"/>
      <c r="MID1" s="657"/>
      <c r="MIE1" s="657"/>
      <c r="MIF1" s="657"/>
      <c r="MIG1" s="657"/>
      <c r="MIH1" s="657"/>
      <c r="MII1" s="657"/>
      <c r="MIJ1" s="657"/>
      <c r="MIK1" s="657"/>
      <c r="MIL1" s="657"/>
      <c r="MIM1" s="657"/>
      <c r="MIN1" s="657"/>
      <c r="MIO1" s="657"/>
      <c r="MIP1" s="657"/>
      <c r="MIQ1" s="657"/>
      <c r="MIR1" s="657"/>
      <c r="MIS1" s="657"/>
      <c r="MIT1" s="657"/>
      <c r="MIU1" s="657"/>
      <c r="MIV1" s="657"/>
      <c r="MIW1" s="657"/>
      <c r="MIX1" s="657"/>
      <c r="MIY1" s="657"/>
      <c r="MIZ1" s="657"/>
      <c r="MJA1" s="657"/>
      <c r="MJB1" s="657"/>
      <c r="MJC1" s="657"/>
      <c r="MJD1" s="657"/>
      <c r="MJE1" s="657"/>
      <c r="MJF1" s="657"/>
      <c r="MJG1" s="657"/>
      <c r="MJH1" s="657"/>
      <c r="MJI1" s="657"/>
      <c r="MJJ1" s="657"/>
      <c r="MJK1" s="657"/>
      <c r="MJL1" s="657"/>
      <c r="MJM1" s="657"/>
      <c r="MJN1" s="657"/>
      <c r="MJO1" s="657"/>
      <c r="MJP1" s="657"/>
      <c r="MJQ1" s="657"/>
      <c r="MJR1" s="657"/>
      <c r="MJS1" s="657"/>
      <c r="MJT1" s="657"/>
      <c r="MJU1" s="657"/>
      <c r="MJV1" s="657"/>
      <c r="MJW1" s="657"/>
      <c r="MJX1" s="657"/>
      <c r="MJY1" s="657"/>
      <c r="MJZ1" s="657"/>
      <c r="MKA1" s="657"/>
      <c r="MKB1" s="657"/>
      <c r="MKC1" s="657"/>
      <c r="MKD1" s="657"/>
      <c r="MKE1" s="657"/>
      <c r="MKF1" s="657"/>
      <c r="MKG1" s="657"/>
      <c r="MKH1" s="657"/>
      <c r="MKI1" s="657"/>
      <c r="MKJ1" s="657"/>
      <c r="MKK1" s="657"/>
      <c r="MKL1" s="657"/>
      <c r="MKM1" s="657"/>
      <c r="MKN1" s="657"/>
      <c r="MKO1" s="657"/>
      <c r="MKP1" s="657"/>
      <c r="MKQ1" s="657"/>
      <c r="MKR1" s="657"/>
      <c r="MKS1" s="657"/>
      <c r="MKT1" s="657"/>
      <c r="MKU1" s="657"/>
      <c r="MKV1" s="657"/>
      <c r="MKW1" s="657"/>
      <c r="MKX1" s="657"/>
      <c r="MKY1" s="657"/>
      <c r="MKZ1" s="657"/>
      <c r="MLA1" s="657"/>
      <c r="MLB1" s="657"/>
      <c r="MLC1" s="657"/>
      <c r="MLD1" s="657"/>
      <c r="MLE1" s="657"/>
      <c r="MLF1" s="657"/>
      <c r="MLG1" s="657"/>
      <c r="MLH1" s="657"/>
      <c r="MLI1" s="657"/>
      <c r="MLJ1" s="657"/>
      <c r="MLK1" s="657"/>
      <c r="MLL1" s="657"/>
      <c r="MLM1" s="657"/>
      <c r="MLN1" s="657"/>
      <c r="MLO1" s="657"/>
      <c r="MLP1" s="657"/>
      <c r="MLQ1" s="657"/>
      <c r="MLR1" s="657"/>
      <c r="MLS1" s="657"/>
      <c r="MLT1" s="657"/>
      <c r="MLU1" s="657"/>
      <c r="MLV1" s="657"/>
      <c r="MLW1" s="657"/>
      <c r="MLX1" s="657"/>
      <c r="MLY1" s="657"/>
      <c r="MLZ1" s="657"/>
      <c r="MMA1" s="657"/>
      <c r="MMB1" s="657"/>
      <c r="MMC1" s="657"/>
      <c r="MMD1" s="657"/>
      <c r="MME1" s="657"/>
      <c r="MMF1" s="657"/>
      <c r="MMG1" s="657"/>
      <c r="MMH1" s="657"/>
      <c r="MMI1" s="657"/>
      <c r="MMJ1" s="657"/>
      <c r="MMK1" s="657"/>
      <c r="MML1" s="657"/>
      <c r="MMM1" s="657"/>
      <c r="MMN1" s="657"/>
      <c r="MMO1" s="657"/>
      <c r="MMP1" s="657"/>
      <c r="MMQ1" s="657"/>
      <c r="MMR1" s="657"/>
      <c r="MMS1" s="657"/>
      <c r="MMT1" s="657"/>
      <c r="MMU1" s="657"/>
      <c r="MMV1" s="657"/>
      <c r="MMW1" s="657"/>
      <c r="MMX1" s="657"/>
      <c r="MMY1" s="657"/>
      <c r="MMZ1" s="657"/>
      <c r="MNA1" s="657"/>
      <c r="MNB1" s="657"/>
      <c r="MNC1" s="657"/>
      <c r="MND1" s="657"/>
      <c r="MNE1" s="657"/>
      <c r="MNF1" s="657"/>
      <c r="MNG1" s="657"/>
      <c r="MNH1" s="657"/>
      <c r="MNI1" s="657"/>
      <c r="MNJ1" s="657"/>
      <c r="MNK1" s="657"/>
      <c r="MNL1" s="657"/>
      <c r="MNM1" s="657"/>
      <c r="MNN1" s="657"/>
      <c r="MNO1" s="657"/>
      <c r="MNP1" s="657"/>
      <c r="MNQ1" s="657"/>
      <c r="MNR1" s="657"/>
      <c r="MNS1" s="657"/>
      <c r="MNT1" s="657"/>
      <c r="MNU1" s="657"/>
      <c r="MNV1" s="657"/>
      <c r="MNW1" s="657"/>
      <c r="MNX1" s="657"/>
      <c r="MNY1" s="657"/>
      <c r="MNZ1" s="657"/>
      <c r="MOA1" s="657"/>
      <c r="MOB1" s="657"/>
      <c r="MOC1" s="657"/>
      <c r="MOD1" s="657"/>
      <c r="MOE1" s="657"/>
      <c r="MOF1" s="657"/>
      <c r="MOG1" s="657"/>
      <c r="MOH1" s="657"/>
      <c r="MOI1" s="657"/>
      <c r="MOJ1" s="657"/>
      <c r="MOK1" s="657"/>
      <c r="MOL1" s="657"/>
      <c r="MOM1" s="657"/>
      <c r="MON1" s="657"/>
      <c r="MOO1" s="657"/>
      <c r="MOP1" s="657"/>
      <c r="MOQ1" s="657"/>
      <c r="MOR1" s="657"/>
      <c r="MOS1" s="657"/>
      <c r="MOT1" s="657"/>
      <c r="MOU1" s="657"/>
      <c r="MOV1" s="657"/>
      <c r="MOW1" s="657"/>
      <c r="MOX1" s="657"/>
      <c r="MOY1" s="657"/>
      <c r="MOZ1" s="657"/>
      <c r="MPA1" s="657"/>
      <c r="MPB1" s="657"/>
      <c r="MPC1" s="657"/>
      <c r="MPD1" s="657"/>
      <c r="MPE1" s="657"/>
      <c r="MPF1" s="657"/>
      <c r="MPG1" s="657"/>
      <c r="MPH1" s="657"/>
      <c r="MPI1" s="657"/>
      <c r="MPJ1" s="657"/>
      <c r="MPK1" s="657"/>
      <c r="MPL1" s="657"/>
      <c r="MPM1" s="657"/>
      <c r="MPN1" s="657"/>
      <c r="MPO1" s="657"/>
      <c r="MPP1" s="657"/>
      <c r="MPQ1" s="657"/>
      <c r="MPR1" s="657"/>
      <c r="MPS1" s="657"/>
      <c r="MPT1" s="657"/>
      <c r="MPU1" s="657"/>
      <c r="MPV1" s="657"/>
      <c r="MPW1" s="657"/>
      <c r="MPX1" s="657"/>
      <c r="MPY1" s="657"/>
      <c r="MPZ1" s="657"/>
      <c r="MQA1" s="657"/>
      <c r="MQB1" s="657"/>
      <c r="MQC1" s="657"/>
      <c r="MQD1" s="657"/>
      <c r="MQE1" s="657"/>
      <c r="MQF1" s="657"/>
      <c r="MQG1" s="657"/>
      <c r="MQH1" s="657"/>
      <c r="MQI1" s="657"/>
      <c r="MQJ1" s="657"/>
      <c r="MQK1" s="657"/>
      <c r="MQL1" s="657"/>
      <c r="MQM1" s="657"/>
      <c r="MQN1" s="657"/>
      <c r="MQO1" s="657"/>
      <c r="MQP1" s="657"/>
      <c r="MQQ1" s="657"/>
      <c r="MQR1" s="657"/>
      <c r="MQS1" s="657"/>
      <c r="MQT1" s="657"/>
      <c r="MQU1" s="657"/>
      <c r="MQV1" s="657"/>
      <c r="MQW1" s="657"/>
      <c r="MQX1" s="657"/>
      <c r="MQY1" s="657"/>
      <c r="MQZ1" s="657"/>
      <c r="MRA1" s="657"/>
      <c r="MRB1" s="657"/>
      <c r="MRC1" s="657"/>
      <c r="MRD1" s="657"/>
      <c r="MRE1" s="657"/>
      <c r="MRF1" s="657"/>
      <c r="MRG1" s="657"/>
      <c r="MRH1" s="657"/>
      <c r="MRI1" s="657"/>
      <c r="MRJ1" s="657"/>
      <c r="MRK1" s="657"/>
      <c r="MRL1" s="657"/>
      <c r="MRM1" s="657"/>
      <c r="MRN1" s="657"/>
      <c r="MRO1" s="657"/>
      <c r="MRP1" s="657"/>
      <c r="MRQ1" s="657"/>
      <c r="MRR1" s="657"/>
      <c r="MRS1" s="657"/>
      <c r="MRT1" s="657"/>
      <c r="MRU1" s="657"/>
      <c r="MRV1" s="657"/>
      <c r="MRW1" s="657"/>
      <c r="MRX1" s="657"/>
      <c r="MRY1" s="657"/>
      <c r="MRZ1" s="657"/>
      <c r="MSA1" s="657"/>
      <c r="MSB1" s="657"/>
      <c r="MSC1" s="657"/>
      <c r="MSD1" s="657"/>
      <c r="MSE1" s="657"/>
      <c r="MSF1" s="657"/>
      <c r="MSG1" s="657"/>
      <c r="MSH1" s="657"/>
      <c r="MSI1" s="657"/>
      <c r="MSJ1" s="657"/>
      <c r="MSK1" s="657"/>
      <c r="MSL1" s="657"/>
      <c r="MSM1" s="657"/>
      <c r="MSN1" s="657"/>
      <c r="MSO1" s="657"/>
      <c r="MSP1" s="657"/>
      <c r="MSQ1" s="657"/>
      <c r="MSR1" s="657"/>
      <c r="MSS1" s="657"/>
      <c r="MST1" s="657"/>
      <c r="MSU1" s="657"/>
      <c r="MSV1" s="657"/>
      <c r="MSW1" s="657"/>
      <c r="MSX1" s="657"/>
      <c r="MSY1" s="657"/>
      <c r="MSZ1" s="657"/>
      <c r="MTA1" s="657"/>
      <c r="MTB1" s="657"/>
      <c r="MTC1" s="657"/>
      <c r="MTD1" s="657"/>
      <c r="MTE1" s="657"/>
      <c r="MTF1" s="657"/>
      <c r="MTG1" s="657"/>
      <c r="MTH1" s="657"/>
      <c r="MTI1" s="657"/>
      <c r="MTJ1" s="657"/>
      <c r="MTK1" s="657"/>
      <c r="MTL1" s="657"/>
      <c r="MTM1" s="657"/>
      <c r="MTN1" s="657"/>
      <c r="MTO1" s="657"/>
      <c r="MTP1" s="657"/>
      <c r="MTQ1" s="657"/>
      <c r="MTR1" s="657"/>
      <c r="MTS1" s="657"/>
      <c r="MTT1" s="657"/>
      <c r="MTU1" s="657"/>
      <c r="MTV1" s="657"/>
      <c r="MTW1" s="657"/>
      <c r="MTX1" s="657"/>
      <c r="MTY1" s="657"/>
      <c r="MTZ1" s="657"/>
      <c r="MUA1" s="657"/>
      <c r="MUB1" s="657"/>
      <c r="MUC1" s="657"/>
      <c r="MUD1" s="657"/>
      <c r="MUE1" s="657"/>
      <c r="MUF1" s="657"/>
      <c r="MUG1" s="657"/>
      <c r="MUH1" s="657"/>
      <c r="MUI1" s="657"/>
      <c r="MUJ1" s="657"/>
      <c r="MUK1" s="657"/>
      <c r="MUL1" s="657"/>
      <c r="MUM1" s="657"/>
      <c r="MUN1" s="657"/>
      <c r="MUO1" s="657"/>
      <c r="MUP1" s="657"/>
      <c r="MUQ1" s="657"/>
      <c r="MUR1" s="657"/>
      <c r="MUS1" s="657"/>
      <c r="MUT1" s="657"/>
      <c r="MUU1" s="657"/>
      <c r="MUV1" s="657"/>
      <c r="MUW1" s="657"/>
      <c r="MUX1" s="657"/>
      <c r="MUY1" s="657"/>
      <c r="MUZ1" s="657"/>
      <c r="MVA1" s="657"/>
      <c r="MVB1" s="657"/>
      <c r="MVC1" s="657"/>
      <c r="MVD1" s="657"/>
      <c r="MVE1" s="657"/>
      <c r="MVF1" s="657"/>
      <c r="MVG1" s="657"/>
      <c r="MVH1" s="657"/>
      <c r="MVI1" s="657"/>
      <c r="MVJ1" s="657"/>
      <c r="MVK1" s="657"/>
      <c r="MVL1" s="657"/>
      <c r="MVM1" s="657"/>
      <c r="MVN1" s="657"/>
      <c r="MVO1" s="657"/>
      <c r="MVP1" s="657"/>
      <c r="MVQ1" s="657"/>
      <c r="MVR1" s="657"/>
      <c r="MVS1" s="657"/>
      <c r="MVT1" s="657"/>
      <c r="MVU1" s="657"/>
      <c r="MVV1" s="657"/>
      <c r="MVW1" s="657"/>
      <c r="MVX1" s="657"/>
      <c r="MVY1" s="657"/>
      <c r="MVZ1" s="657"/>
      <c r="MWA1" s="657"/>
      <c r="MWB1" s="657"/>
      <c r="MWC1" s="657"/>
      <c r="MWD1" s="657"/>
      <c r="MWE1" s="657"/>
      <c r="MWF1" s="657"/>
      <c r="MWG1" s="657"/>
      <c r="MWH1" s="657"/>
      <c r="MWI1" s="657"/>
      <c r="MWJ1" s="657"/>
      <c r="MWK1" s="657"/>
      <c r="MWL1" s="657"/>
      <c r="MWM1" s="657"/>
      <c r="MWN1" s="657"/>
      <c r="MWO1" s="657"/>
      <c r="MWP1" s="657"/>
      <c r="MWQ1" s="657"/>
      <c r="MWR1" s="657"/>
      <c r="MWS1" s="657"/>
      <c r="MWT1" s="657"/>
      <c r="MWU1" s="657"/>
      <c r="MWV1" s="657"/>
      <c r="MWW1" s="657"/>
      <c r="MWX1" s="657"/>
      <c r="MWY1" s="657"/>
      <c r="MWZ1" s="657"/>
      <c r="MXA1" s="657"/>
      <c r="MXB1" s="657"/>
      <c r="MXC1" s="657"/>
      <c r="MXD1" s="657"/>
      <c r="MXE1" s="657"/>
      <c r="MXF1" s="657"/>
      <c r="MXG1" s="657"/>
      <c r="MXH1" s="657"/>
      <c r="MXI1" s="657"/>
      <c r="MXJ1" s="657"/>
      <c r="MXK1" s="657"/>
      <c r="MXL1" s="657"/>
      <c r="MXM1" s="657"/>
      <c r="MXN1" s="657"/>
      <c r="MXO1" s="657"/>
      <c r="MXP1" s="657"/>
      <c r="MXQ1" s="657"/>
      <c r="MXR1" s="657"/>
      <c r="MXS1" s="657"/>
      <c r="MXT1" s="657"/>
      <c r="MXU1" s="657"/>
      <c r="MXV1" s="657"/>
      <c r="MXW1" s="657"/>
      <c r="MXX1" s="657"/>
      <c r="MXY1" s="657"/>
      <c r="MXZ1" s="657"/>
      <c r="MYA1" s="657"/>
      <c r="MYB1" s="657"/>
      <c r="MYC1" s="657"/>
      <c r="MYD1" s="657"/>
      <c r="MYE1" s="657"/>
      <c r="MYF1" s="657"/>
      <c r="MYG1" s="657"/>
      <c r="MYH1" s="657"/>
      <c r="MYI1" s="657"/>
      <c r="MYJ1" s="657"/>
      <c r="MYK1" s="657"/>
      <c r="MYL1" s="657"/>
      <c r="MYM1" s="657"/>
      <c r="MYN1" s="657"/>
      <c r="MYO1" s="657"/>
      <c r="MYP1" s="657"/>
      <c r="MYQ1" s="657"/>
      <c r="MYR1" s="657"/>
      <c r="MYS1" s="657"/>
      <c r="MYT1" s="657"/>
      <c r="MYU1" s="657"/>
      <c r="MYV1" s="657"/>
      <c r="MYW1" s="657"/>
      <c r="MYX1" s="657"/>
      <c r="MYY1" s="657"/>
      <c r="MYZ1" s="657"/>
      <c r="MZA1" s="657"/>
      <c r="MZB1" s="657"/>
      <c r="MZC1" s="657"/>
      <c r="MZD1" s="657"/>
      <c r="MZE1" s="657"/>
      <c r="MZF1" s="657"/>
      <c r="MZG1" s="657"/>
      <c r="MZH1" s="657"/>
      <c r="MZI1" s="657"/>
      <c r="MZJ1" s="657"/>
      <c r="MZK1" s="657"/>
      <c r="MZL1" s="657"/>
      <c r="MZM1" s="657"/>
      <c r="MZN1" s="657"/>
      <c r="MZO1" s="657"/>
      <c r="MZP1" s="657"/>
      <c r="MZQ1" s="657"/>
      <c r="MZR1" s="657"/>
      <c r="MZS1" s="657"/>
      <c r="MZT1" s="657"/>
      <c r="MZU1" s="657"/>
      <c r="MZV1" s="657"/>
      <c r="MZW1" s="657"/>
      <c r="MZX1" s="657"/>
      <c r="MZY1" s="657"/>
      <c r="MZZ1" s="657"/>
      <c r="NAA1" s="657"/>
      <c r="NAB1" s="657"/>
      <c r="NAC1" s="657"/>
      <c r="NAD1" s="657"/>
      <c r="NAE1" s="657"/>
      <c r="NAF1" s="657"/>
      <c r="NAG1" s="657"/>
      <c r="NAH1" s="657"/>
      <c r="NAI1" s="657"/>
      <c r="NAJ1" s="657"/>
      <c r="NAK1" s="657"/>
      <c r="NAL1" s="657"/>
      <c r="NAM1" s="657"/>
      <c r="NAN1" s="657"/>
      <c r="NAO1" s="657"/>
      <c r="NAP1" s="657"/>
      <c r="NAQ1" s="657"/>
      <c r="NAR1" s="657"/>
      <c r="NAS1" s="657"/>
      <c r="NAT1" s="657"/>
      <c r="NAU1" s="657"/>
      <c r="NAV1" s="657"/>
      <c r="NAW1" s="657"/>
      <c r="NAX1" s="657"/>
      <c r="NAY1" s="657"/>
      <c r="NAZ1" s="657"/>
      <c r="NBA1" s="657"/>
      <c r="NBB1" s="657"/>
      <c r="NBC1" s="657"/>
      <c r="NBD1" s="657"/>
      <c r="NBE1" s="657"/>
      <c r="NBF1" s="657"/>
      <c r="NBG1" s="657"/>
      <c r="NBH1" s="657"/>
      <c r="NBI1" s="657"/>
      <c r="NBJ1" s="657"/>
      <c r="NBK1" s="657"/>
      <c r="NBL1" s="657"/>
      <c r="NBM1" s="657"/>
      <c r="NBN1" s="657"/>
      <c r="NBO1" s="657"/>
      <c r="NBP1" s="657"/>
      <c r="NBQ1" s="657"/>
      <c r="NBR1" s="657"/>
      <c r="NBS1" s="657"/>
      <c r="NBT1" s="657"/>
      <c r="NBU1" s="657"/>
      <c r="NBV1" s="657"/>
      <c r="NBW1" s="657"/>
      <c r="NBX1" s="657"/>
      <c r="NBY1" s="657"/>
      <c r="NBZ1" s="657"/>
      <c r="NCA1" s="657"/>
      <c r="NCB1" s="657"/>
      <c r="NCC1" s="657"/>
      <c r="NCD1" s="657"/>
      <c r="NCE1" s="657"/>
      <c r="NCF1" s="657"/>
      <c r="NCG1" s="657"/>
      <c r="NCH1" s="657"/>
      <c r="NCI1" s="657"/>
      <c r="NCJ1" s="657"/>
      <c r="NCK1" s="657"/>
      <c r="NCL1" s="657"/>
      <c r="NCM1" s="657"/>
      <c r="NCN1" s="657"/>
      <c r="NCO1" s="657"/>
      <c r="NCP1" s="657"/>
      <c r="NCQ1" s="657"/>
      <c r="NCR1" s="657"/>
      <c r="NCS1" s="657"/>
      <c r="NCT1" s="657"/>
      <c r="NCU1" s="657"/>
      <c r="NCV1" s="657"/>
      <c r="NCW1" s="657"/>
      <c r="NCX1" s="657"/>
      <c r="NCY1" s="657"/>
      <c r="NCZ1" s="657"/>
      <c r="NDA1" s="657"/>
      <c r="NDB1" s="657"/>
      <c r="NDC1" s="657"/>
      <c r="NDD1" s="657"/>
      <c r="NDE1" s="657"/>
      <c r="NDF1" s="657"/>
      <c r="NDG1" s="657"/>
      <c r="NDH1" s="657"/>
      <c r="NDI1" s="657"/>
      <c r="NDJ1" s="657"/>
      <c r="NDK1" s="657"/>
      <c r="NDL1" s="657"/>
      <c r="NDM1" s="657"/>
      <c r="NDN1" s="657"/>
      <c r="NDO1" s="657"/>
      <c r="NDP1" s="657"/>
      <c r="NDQ1" s="657"/>
      <c r="NDR1" s="657"/>
      <c r="NDS1" s="657"/>
      <c r="NDT1" s="657"/>
      <c r="NDU1" s="657"/>
      <c r="NDV1" s="657"/>
      <c r="NDW1" s="657"/>
      <c r="NDX1" s="657"/>
      <c r="NDY1" s="657"/>
      <c r="NDZ1" s="657"/>
      <c r="NEA1" s="657"/>
      <c r="NEB1" s="657"/>
      <c r="NEC1" s="657"/>
      <c r="NED1" s="657"/>
      <c r="NEE1" s="657"/>
      <c r="NEF1" s="657"/>
      <c r="NEG1" s="657"/>
      <c r="NEH1" s="657"/>
      <c r="NEI1" s="657"/>
      <c r="NEJ1" s="657"/>
      <c r="NEK1" s="657"/>
      <c r="NEL1" s="657"/>
      <c r="NEM1" s="657"/>
      <c r="NEN1" s="657"/>
      <c r="NEO1" s="657"/>
      <c r="NEP1" s="657"/>
      <c r="NEQ1" s="657"/>
      <c r="NER1" s="657"/>
      <c r="NES1" s="657"/>
      <c r="NET1" s="657"/>
      <c r="NEU1" s="657"/>
      <c r="NEV1" s="657"/>
      <c r="NEW1" s="657"/>
      <c r="NEX1" s="657"/>
      <c r="NEY1" s="657"/>
      <c r="NEZ1" s="657"/>
      <c r="NFA1" s="657"/>
      <c r="NFB1" s="657"/>
      <c r="NFC1" s="657"/>
      <c r="NFD1" s="657"/>
      <c r="NFE1" s="657"/>
      <c r="NFF1" s="657"/>
      <c r="NFG1" s="657"/>
      <c r="NFH1" s="657"/>
      <c r="NFI1" s="657"/>
      <c r="NFJ1" s="657"/>
      <c r="NFK1" s="657"/>
      <c r="NFL1" s="657"/>
      <c r="NFM1" s="657"/>
      <c r="NFN1" s="657"/>
      <c r="NFO1" s="657"/>
      <c r="NFP1" s="657"/>
      <c r="NFQ1" s="657"/>
      <c r="NFR1" s="657"/>
      <c r="NFS1" s="657"/>
      <c r="NFT1" s="657"/>
      <c r="NFU1" s="657"/>
      <c r="NFV1" s="657"/>
      <c r="NFW1" s="657"/>
      <c r="NFX1" s="657"/>
      <c r="NFY1" s="657"/>
      <c r="NFZ1" s="657"/>
      <c r="NGA1" s="657"/>
      <c r="NGB1" s="657"/>
      <c r="NGC1" s="657"/>
      <c r="NGD1" s="657"/>
      <c r="NGE1" s="657"/>
      <c r="NGF1" s="657"/>
      <c r="NGG1" s="657"/>
      <c r="NGH1" s="657"/>
      <c r="NGI1" s="657"/>
      <c r="NGJ1" s="657"/>
      <c r="NGK1" s="657"/>
      <c r="NGL1" s="657"/>
      <c r="NGM1" s="657"/>
      <c r="NGN1" s="657"/>
      <c r="NGO1" s="657"/>
      <c r="NGP1" s="657"/>
      <c r="NGQ1" s="657"/>
      <c r="NGR1" s="657"/>
      <c r="NGS1" s="657"/>
      <c r="NGT1" s="657"/>
      <c r="NGU1" s="657"/>
      <c r="NGV1" s="657"/>
      <c r="NGW1" s="657"/>
      <c r="NGX1" s="657"/>
      <c r="NGY1" s="657"/>
      <c r="NGZ1" s="657"/>
      <c r="NHA1" s="657"/>
      <c r="NHB1" s="657"/>
      <c r="NHC1" s="657"/>
      <c r="NHD1" s="657"/>
      <c r="NHE1" s="657"/>
      <c r="NHF1" s="657"/>
      <c r="NHG1" s="657"/>
      <c r="NHH1" s="657"/>
      <c r="NHI1" s="657"/>
      <c r="NHJ1" s="657"/>
      <c r="NHK1" s="657"/>
      <c r="NHL1" s="657"/>
      <c r="NHM1" s="657"/>
      <c r="NHN1" s="657"/>
      <c r="NHO1" s="657"/>
      <c r="NHP1" s="657"/>
      <c r="NHQ1" s="657"/>
      <c r="NHR1" s="657"/>
      <c r="NHS1" s="657"/>
      <c r="NHT1" s="657"/>
      <c r="NHU1" s="657"/>
      <c r="NHV1" s="657"/>
      <c r="NHW1" s="657"/>
      <c r="NHX1" s="657"/>
      <c r="NHY1" s="657"/>
      <c r="NHZ1" s="657"/>
      <c r="NIA1" s="657"/>
      <c r="NIB1" s="657"/>
      <c r="NIC1" s="657"/>
      <c r="NID1" s="657"/>
      <c r="NIE1" s="657"/>
      <c r="NIF1" s="657"/>
      <c r="NIG1" s="657"/>
      <c r="NIH1" s="657"/>
      <c r="NII1" s="657"/>
      <c r="NIJ1" s="657"/>
      <c r="NIK1" s="657"/>
      <c r="NIL1" s="657"/>
      <c r="NIM1" s="657"/>
      <c r="NIN1" s="657"/>
      <c r="NIO1" s="657"/>
      <c r="NIP1" s="657"/>
      <c r="NIQ1" s="657"/>
      <c r="NIR1" s="657"/>
      <c r="NIS1" s="657"/>
      <c r="NIT1" s="657"/>
      <c r="NIU1" s="657"/>
      <c r="NIV1" s="657"/>
      <c r="NIW1" s="657"/>
      <c r="NIX1" s="657"/>
      <c r="NIY1" s="657"/>
      <c r="NIZ1" s="657"/>
      <c r="NJA1" s="657"/>
      <c r="NJB1" s="657"/>
      <c r="NJC1" s="657"/>
      <c r="NJD1" s="657"/>
      <c r="NJE1" s="657"/>
      <c r="NJF1" s="657"/>
      <c r="NJG1" s="657"/>
      <c r="NJH1" s="657"/>
      <c r="NJI1" s="657"/>
      <c r="NJJ1" s="657"/>
      <c r="NJK1" s="657"/>
      <c r="NJL1" s="657"/>
      <c r="NJM1" s="657"/>
      <c r="NJN1" s="657"/>
      <c r="NJO1" s="657"/>
      <c r="NJP1" s="657"/>
      <c r="NJQ1" s="657"/>
      <c r="NJR1" s="657"/>
      <c r="NJS1" s="657"/>
      <c r="NJT1" s="657"/>
      <c r="NJU1" s="657"/>
      <c r="NJV1" s="657"/>
      <c r="NJW1" s="657"/>
      <c r="NJX1" s="657"/>
      <c r="NJY1" s="657"/>
      <c r="NJZ1" s="657"/>
      <c r="NKA1" s="657"/>
      <c r="NKB1" s="657"/>
      <c r="NKC1" s="657"/>
      <c r="NKD1" s="657"/>
      <c r="NKE1" s="657"/>
      <c r="NKF1" s="657"/>
      <c r="NKG1" s="657"/>
      <c r="NKH1" s="657"/>
      <c r="NKI1" s="657"/>
      <c r="NKJ1" s="657"/>
      <c r="NKK1" s="657"/>
      <c r="NKL1" s="657"/>
      <c r="NKM1" s="657"/>
      <c r="NKN1" s="657"/>
      <c r="NKO1" s="657"/>
      <c r="NKP1" s="657"/>
      <c r="NKQ1" s="657"/>
      <c r="NKR1" s="657"/>
      <c r="NKS1" s="657"/>
      <c r="NKT1" s="657"/>
      <c r="NKU1" s="657"/>
      <c r="NKV1" s="657"/>
      <c r="NKW1" s="657"/>
      <c r="NKX1" s="657"/>
      <c r="NKY1" s="657"/>
      <c r="NKZ1" s="657"/>
      <c r="NLA1" s="657"/>
      <c r="NLB1" s="657"/>
      <c r="NLC1" s="657"/>
      <c r="NLD1" s="657"/>
      <c r="NLE1" s="657"/>
      <c r="NLF1" s="657"/>
      <c r="NLG1" s="657"/>
      <c r="NLH1" s="657"/>
      <c r="NLI1" s="657"/>
      <c r="NLJ1" s="657"/>
      <c r="NLK1" s="657"/>
      <c r="NLL1" s="657"/>
      <c r="NLM1" s="657"/>
      <c r="NLN1" s="657"/>
      <c r="NLO1" s="657"/>
      <c r="NLP1" s="657"/>
      <c r="NLQ1" s="657"/>
      <c r="NLR1" s="657"/>
      <c r="NLS1" s="657"/>
      <c r="NLT1" s="657"/>
      <c r="NLU1" s="657"/>
      <c r="NLV1" s="657"/>
      <c r="NLW1" s="657"/>
      <c r="NLX1" s="657"/>
      <c r="NLY1" s="657"/>
      <c r="NLZ1" s="657"/>
      <c r="NMA1" s="657"/>
      <c r="NMB1" s="657"/>
      <c r="NMC1" s="657"/>
      <c r="NMD1" s="657"/>
      <c r="NME1" s="657"/>
      <c r="NMF1" s="657"/>
      <c r="NMG1" s="657"/>
      <c r="NMH1" s="657"/>
      <c r="NMI1" s="657"/>
      <c r="NMJ1" s="657"/>
      <c r="NMK1" s="657"/>
      <c r="NML1" s="657"/>
      <c r="NMM1" s="657"/>
      <c r="NMN1" s="657"/>
      <c r="NMO1" s="657"/>
      <c r="NMP1" s="657"/>
      <c r="NMQ1" s="657"/>
      <c r="NMR1" s="657"/>
      <c r="NMS1" s="657"/>
      <c r="NMT1" s="657"/>
      <c r="NMU1" s="657"/>
      <c r="NMV1" s="657"/>
      <c r="NMW1" s="657"/>
      <c r="NMX1" s="657"/>
      <c r="NMY1" s="657"/>
      <c r="NMZ1" s="657"/>
      <c r="NNA1" s="657"/>
      <c r="NNB1" s="657"/>
      <c r="NNC1" s="657"/>
      <c r="NND1" s="657"/>
      <c r="NNE1" s="657"/>
      <c r="NNF1" s="657"/>
      <c r="NNG1" s="657"/>
      <c r="NNH1" s="657"/>
      <c r="NNI1" s="657"/>
      <c r="NNJ1" s="657"/>
      <c r="NNK1" s="657"/>
      <c r="NNL1" s="657"/>
      <c r="NNM1" s="657"/>
      <c r="NNN1" s="657"/>
      <c r="NNO1" s="657"/>
      <c r="NNP1" s="657"/>
      <c r="NNQ1" s="657"/>
      <c r="NNR1" s="657"/>
      <c r="NNS1" s="657"/>
      <c r="NNT1" s="657"/>
      <c r="NNU1" s="657"/>
      <c r="NNV1" s="657"/>
      <c r="NNW1" s="657"/>
      <c r="NNX1" s="657"/>
      <c r="NNY1" s="657"/>
      <c r="NNZ1" s="657"/>
      <c r="NOA1" s="657"/>
      <c r="NOB1" s="657"/>
      <c r="NOC1" s="657"/>
      <c r="NOD1" s="657"/>
      <c r="NOE1" s="657"/>
      <c r="NOF1" s="657"/>
      <c r="NOG1" s="657"/>
      <c r="NOH1" s="657"/>
      <c r="NOI1" s="657"/>
      <c r="NOJ1" s="657"/>
      <c r="NOK1" s="657"/>
      <c r="NOL1" s="657"/>
      <c r="NOM1" s="657"/>
      <c r="NON1" s="657"/>
      <c r="NOO1" s="657"/>
      <c r="NOP1" s="657"/>
      <c r="NOQ1" s="657"/>
      <c r="NOR1" s="657"/>
      <c r="NOS1" s="657"/>
      <c r="NOT1" s="657"/>
      <c r="NOU1" s="657"/>
      <c r="NOV1" s="657"/>
      <c r="NOW1" s="657"/>
      <c r="NOX1" s="657"/>
      <c r="NOY1" s="657"/>
      <c r="NOZ1" s="657"/>
      <c r="NPA1" s="657"/>
      <c r="NPB1" s="657"/>
      <c r="NPC1" s="657"/>
      <c r="NPD1" s="657"/>
      <c r="NPE1" s="657"/>
      <c r="NPF1" s="657"/>
      <c r="NPG1" s="657"/>
      <c r="NPH1" s="657"/>
      <c r="NPI1" s="657"/>
      <c r="NPJ1" s="657"/>
      <c r="NPK1" s="657"/>
      <c r="NPL1" s="657"/>
      <c r="NPM1" s="657"/>
      <c r="NPN1" s="657"/>
      <c r="NPO1" s="657"/>
      <c r="NPP1" s="657"/>
      <c r="NPQ1" s="657"/>
      <c r="NPR1" s="657"/>
      <c r="NPS1" s="657"/>
      <c r="NPT1" s="657"/>
      <c r="NPU1" s="657"/>
      <c r="NPV1" s="657"/>
      <c r="NPW1" s="657"/>
      <c r="NPX1" s="657"/>
      <c r="NPY1" s="657"/>
      <c r="NPZ1" s="657"/>
      <c r="NQA1" s="657"/>
      <c r="NQB1" s="657"/>
      <c r="NQC1" s="657"/>
      <c r="NQD1" s="657"/>
      <c r="NQE1" s="657"/>
      <c r="NQF1" s="657"/>
      <c r="NQG1" s="657"/>
      <c r="NQH1" s="657"/>
      <c r="NQI1" s="657"/>
      <c r="NQJ1" s="657"/>
      <c r="NQK1" s="657"/>
      <c r="NQL1" s="657"/>
      <c r="NQM1" s="657"/>
      <c r="NQN1" s="657"/>
      <c r="NQO1" s="657"/>
      <c r="NQP1" s="657"/>
      <c r="NQQ1" s="657"/>
      <c r="NQR1" s="657"/>
      <c r="NQS1" s="657"/>
      <c r="NQT1" s="657"/>
      <c r="NQU1" s="657"/>
      <c r="NQV1" s="657"/>
      <c r="NQW1" s="657"/>
      <c r="NQX1" s="657"/>
      <c r="NQY1" s="657"/>
      <c r="NQZ1" s="657"/>
      <c r="NRA1" s="657"/>
      <c r="NRB1" s="657"/>
      <c r="NRC1" s="657"/>
      <c r="NRD1" s="657"/>
      <c r="NRE1" s="657"/>
      <c r="NRF1" s="657"/>
      <c r="NRG1" s="657"/>
      <c r="NRH1" s="657"/>
      <c r="NRI1" s="657"/>
      <c r="NRJ1" s="657"/>
      <c r="NRK1" s="657"/>
      <c r="NRL1" s="657"/>
      <c r="NRM1" s="657"/>
      <c r="NRN1" s="657"/>
      <c r="NRO1" s="657"/>
      <c r="NRP1" s="657"/>
      <c r="NRQ1" s="657"/>
      <c r="NRR1" s="657"/>
      <c r="NRS1" s="657"/>
      <c r="NRT1" s="657"/>
      <c r="NRU1" s="657"/>
      <c r="NRV1" s="657"/>
      <c r="NRW1" s="657"/>
      <c r="NRX1" s="657"/>
      <c r="NRY1" s="657"/>
      <c r="NRZ1" s="657"/>
      <c r="NSA1" s="657"/>
      <c r="NSB1" s="657"/>
      <c r="NSC1" s="657"/>
      <c r="NSD1" s="657"/>
      <c r="NSE1" s="657"/>
      <c r="NSF1" s="657"/>
      <c r="NSG1" s="657"/>
      <c r="NSH1" s="657"/>
      <c r="NSI1" s="657"/>
      <c r="NSJ1" s="657"/>
      <c r="NSK1" s="657"/>
      <c r="NSL1" s="657"/>
      <c r="NSM1" s="657"/>
      <c r="NSN1" s="657"/>
      <c r="NSO1" s="657"/>
      <c r="NSP1" s="657"/>
      <c r="NSQ1" s="657"/>
      <c r="NSR1" s="657"/>
      <c r="NSS1" s="657"/>
      <c r="NST1" s="657"/>
      <c r="NSU1" s="657"/>
      <c r="NSV1" s="657"/>
      <c r="NSW1" s="657"/>
      <c r="NSX1" s="657"/>
      <c r="NSY1" s="657"/>
      <c r="NSZ1" s="657"/>
      <c r="NTA1" s="657"/>
      <c r="NTB1" s="657"/>
      <c r="NTC1" s="657"/>
      <c r="NTD1" s="657"/>
      <c r="NTE1" s="657"/>
      <c r="NTF1" s="657"/>
      <c r="NTG1" s="657"/>
      <c r="NTH1" s="657"/>
      <c r="NTI1" s="657"/>
      <c r="NTJ1" s="657"/>
      <c r="NTK1" s="657"/>
      <c r="NTL1" s="657"/>
      <c r="NTM1" s="657"/>
      <c r="NTN1" s="657"/>
      <c r="NTO1" s="657"/>
      <c r="NTP1" s="657"/>
      <c r="NTQ1" s="657"/>
      <c r="NTR1" s="657"/>
      <c r="NTS1" s="657"/>
      <c r="NTT1" s="657"/>
      <c r="NTU1" s="657"/>
      <c r="NTV1" s="657"/>
      <c r="NTW1" s="657"/>
      <c r="NTX1" s="657"/>
      <c r="NTY1" s="657"/>
      <c r="NTZ1" s="657"/>
      <c r="NUA1" s="657"/>
      <c r="NUB1" s="657"/>
      <c r="NUC1" s="657"/>
      <c r="NUD1" s="657"/>
      <c r="NUE1" s="657"/>
      <c r="NUF1" s="657"/>
      <c r="NUG1" s="657"/>
      <c r="NUH1" s="657"/>
      <c r="NUI1" s="657"/>
      <c r="NUJ1" s="657"/>
      <c r="NUK1" s="657"/>
      <c r="NUL1" s="657"/>
      <c r="NUM1" s="657"/>
      <c r="NUN1" s="657"/>
      <c r="NUO1" s="657"/>
      <c r="NUP1" s="657"/>
      <c r="NUQ1" s="657"/>
      <c r="NUR1" s="657"/>
      <c r="NUS1" s="657"/>
      <c r="NUT1" s="657"/>
      <c r="NUU1" s="657"/>
      <c r="NUV1" s="657"/>
      <c r="NUW1" s="657"/>
      <c r="NUX1" s="657"/>
      <c r="NUY1" s="657"/>
      <c r="NUZ1" s="657"/>
      <c r="NVA1" s="657"/>
      <c r="NVB1" s="657"/>
      <c r="NVC1" s="657"/>
      <c r="NVD1" s="657"/>
      <c r="NVE1" s="657"/>
      <c r="NVF1" s="657"/>
      <c r="NVG1" s="657"/>
      <c r="NVH1" s="657"/>
      <c r="NVI1" s="657"/>
      <c r="NVJ1" s="657"/>
      <c r="NVK1" s="657"/>
      <c r="NVL1" s="657"/>
      <c r="NVM1" s="657"/>
      <c r="NVN1" s="657"/>
      <c r="NVO1" s="657"/>
      <c r="NVP1" s="657"/>
      <c r="NVQ1" s="657"/>
      <c r="NVR1" s="657"/>
      <c r="NVS1" s="657"/>
      <c r="NVT1" s="657"/>
      <c r="NVU1" s="657"/>
      <c r="NVV1" s="657"/>
      <c r="NVW1" s="657"/>
      <c r="NVX1" s="657"/>
      <c r="NVY1" s="657"/>
      <c r="NVZ1" s="657"/>
      <c r="NWA1" s="657"/>
      <c r="NWB1" s="657"/>
      <c r="NWC1" s="657"/>
      <c r="NWD1" s="657"/>
      <c r="NWE1" s="657"/>
      <c r="NWF1" s="657"/>
      <c r="NWG1" s="657"/>
      <c r="NWH1" s="657"/>
      <c r="NWI1" s="657"/>
      <c r="NWJ1" s="657"/>
      <c r="NWK1" s="657"/>
      <c r="NWL1" s="657"/>
      <c r="NWM1" s="657"/>
      <c r="NWN1" s="657"/>
      <c r="NWO1" s="657"/>
      <c r="NWP1" s="657"/>
      <c r="NWQ1" s="657"/>
      <c r="NWR1" s="657"/>
      <c r="NWS1" s="657"/>
      <c r="NWT1" s="657"/>
      <c r="NWU1" s="657"/>
      <c r="NWV1" s="657"/>
      <c r="NWW1" s="657"/>
      <c r="NWX1" s="657"/>
      <c r="NWY1" s="657"/>
      <c r="NWZ1" s="657"/>
      <c r="NXA1" s="657"/>
      <c r="NXB1" s="657"/>
      <c r="NXC1" s="657"/>
      <c r="NXD1" s="657"/>
      <c r="NXE1" s="657"/>
      <c r="NXF1" s="657"/>
      <c r="NXG1" s="657"/>
      <c r="NXH1" s="657"/>
      <c r="NXI1" s="657"/>
      <c r="NXJ1" s="657"/>
      <c r="NXK1" s="657"/>
      <c r="NXL1" s="657"/>
      <c r="NXM1" s="657"/>
      <c r="NXN1" s="657"/>
      <c r="NXO1" s="657"/>
      <c r="NXP1" s="657"/>
      <c r="NXQ1" s="657"/>
      <c r="NXR1" s="657"/>
      <c r="NXS1" s="657"/>
      <c r="NXT1" s="657"/>
      <c r="NXU1" s="657"/>
      <c r="NXV1" s="657"/>
      <c r="NXW1" s="657"/>
      <c r="NXX1" s="657"/>
      <c r="NXY1" s="657"/>
      <c r="NXZ1" s="657"/>
      <c r="NYA1" s="657"/>
      <c r="NYB1" s="657"/>
      <c r="NYC1" s="657"/>
      <c r="NYD1" s="657"/>
      <c r="NYE1" s="657"/>
      <c r="NYF1" s="657"/>
      <c r="NYG1" s="657"/>
      <c r="NYH1" s="657"/>
      <c r="NYI1" s="657"/>
      <c r="NYJ1" s="657"/>
      <c r="NYK1" s="657"/>
      <c r="NYL1" s="657"/>
      <c r="NYM1" s="657"/>
      <c r="NYN1" s="657"/>
      <c r="NYO1" s="657"/>
      <c r="NYP1" s="657"/>
      <c r="NYQ1" s="657"/>
      <c r="NYR1" s="657"/>
      <c r="NYS1" s="657"/>
      <c r="NYT1" s="657"/>
      <c r="NYU1" s="657"/>
      <c r="NYV1" s="657"/>
      <c r="NYW1" s="657"/>
      <c r="NYX1" s="657"/>
      <c r="NYY1" s="657"/>
      <c r="NYZ1" s="657"/>
      <c r="NZA1" s="657"/>
      <c r="NZB1" s="657"/>
      <c r="NZC1" s="657"/>
      <c r="NZD1" s="657"/>
      <c r="NZE1" s="657"/>
      <c r="NZF1" s="657"/>
      <c r="NZG1" s="657"/>
      <c r="NZH1" s="657"/>
      <c r="NZI1" s="657"/>
      <c r="NZJ1" s="657"/>
      <c r="NZK1" s="657"/>
      <c r="NZL1" s="657"/>
      <c r="NZM1" s="657"/>
      <c r="NZN1" s="657"/>
      <c r="NZO1" s="657"/>
      <c r="NZP1" s="657"/>
      <c r="NZQ1" s="657"/>
      <c r="NZR1" s="657"/>
      <c r="NZS1" s="657"/>
      <c r="NZT1" s="657"/>
      <c r="NZU1" s="657"/>
      <c r="NZV1" s="657"/>
      <c r="NZW1" s="657"/>
      <c r="NZX1" s="657"/>
      <c r="NZY1" s="657"/>
      <c r="NZZ1" s="657"/>
      <c r="OAA1" s="657"/>
      <c r="OAB1" s="657"/>
      <c r="OAC1" s="657"/>
      <c r="OAD1" s="657"/>
      <c r="OAE1" s="657"/>
      <c r="OAF1" s="657"/>
      <c r="OAG1" s="657"/>
      <c r="OAH1" s="657"/>
      <c r="OAI1" s="657"/>
      <c r="OAJ1" s="657"/>
      <c r="OAK1" s="657"/>
      <c r="OAL1" s="657"/>
      <c r="OAM1" s="657"/>
      <c r="OAN1" s="657"/>
      <c r="OAO1" s="657"/>
      <c r="OAP1" s="657"/>
      <c r="OAQ1" s="657"/>
      <c r="OAR1" s="657"/>
      <c r="OAS1" s="657"/>
      <c r="OAT1" s="657"/>
      <c r="OAU1" s="657"/>
      <c r="OAV1" s="657"/>
      <c r="OAW1" s="657"/>
      <c r="OAX1" s="657"/>
      <c r="OAY1" s="657"/>
      <c r="OAZ1" s="657"/>
      <c r="OBA1" s="657"/>
      <c r="OBB1" s="657"/>
      <c r="OBC1" s="657"/>
      <c r="OBD1" s="657"/>
      <c r="OBE1" s="657"/>
      <c r="OBF1" s="657"/>
      <c r="OBG1" s="657"/>
      <c r="OBH1" s="657"/>
      <c r="OBI1" s="657"/>
      <c r="OBJ1" s="657"/>
      <c r="OBK1" s="657"/>
      <c r="OBL1" s="657"/>
      <c r="OBM1" s="657"/>
      <c r="OBN1" s="657"/>
      <c r="OBO1" s="657"/>
      <c r="OBP1" s="657"/>
      <c r="OBQ1" s="657"/>
      <c r="OBR1" s="657"/>
      <c r="OBS1" s="657"/>
      <c r="OBT1" s="657"/>
      <c r="OBU1" s="657"/>
      <c r="OBV1" s="657"/>
      <c r="OBW1" s="657"/>
      <c r="OBX1" s="657"/>
      <c r="OBY1" s="657"/>
      <c r="OBZ1" s="657"/>
      <c r="OCA1" s="657"/>
      <c r="OCB1" s="657"/>
      <c r="OCC1" s="657"/>
      <c r="OCD1" s="657"/>
      <c r="OCE1" s="657"/>
      <c r="OCF1" s="657"/>
      <c r="OCG1" s="657"/>
      <c r="OCH1" s="657"/>
      <c r="OCI1" s="657"/>
      <c r="OCJ1" s="657"/>
      <c r="OCK1" s="657"/>
      <c r="OCL1" s="657"/>
      <c r="OCM1" s="657"/>
      <c r="OCN1" s="657"/>
      <c r="OCO1" s="657"/>
      <c r="OCP1" s="657"/>
      <c r="OCQ1" s="657"/>
      <c r="OCR1" s="657"/>
      <c r="OCS1" s="657"/>
      <c r="OCT1" s="657"/>
      <c r="OCU1" s="657"/>
      <c r="OCV1" s="657"/>
      <c r="OCW1" s="657"/>
      <c r="OCX1" s="657"/>
      <c r="OCY1" s="657"/>
      <c r="OCZ1" s="657"/>
      <c r="ODA1" s="657"/>
      <c r="ODB1" s="657"/>
      <c r="ODC1" s="657"/>
      <c r="ODD1" s="657"/>
      <c r="ODE1" s="657"/>
      <c r="ODF1" s="657"/>
      <c r="ODG1" s="657"/>
      <c r="ODH1" s="657"/>
      <c r="ODI1" s="657"/>
      <c r="ODJ1" s="657"/>
      <c r="ODK1" s="657"/>
      <c r="ODL1" s="657"/>
      <c r="ODM1" s="657"/>
      <c r="ODN1" s="657"/>
      <c r="ODO1" s="657"/>
      <c r="ODP1" s="657"/>
      <c r="ODQ1" s="657"/>
      <c r="ODR1" s="657"/>
      <c r="ODS1" s="657"/>
      <c r="ODT1" s="657"/>
      <c r="ODU1" s="657"/>
      <c r="ODV1" s="657"/>
      <c r="ODW1" s="657"/>
      <c r="ODX1" s="657"/>
      <c r="ODY1" s="657"/>
      <c r="ODZ1" s="657"/>
      <c r="OEA1" s="657"/>
      <c r="OEB1" s="657"/>
      <c r="OEC1" s="657"/>
      <c r="OED1" s="657"/>
      <c r="OEE1" s="657"/>
      <c r="OEF1" s="657"/>
      <c r="OEG1" s="657"/>
      <c r="OEH1" s="657"/>
      <c r="OEI1" s="657"/>
      <c r="OEJ1" s="657"/>
      <c r="OEK1" s="657"/>
      <c r="OEL1" s="657"/>
      <c r="OEM1" s="657"/>
      <c r="OEN1" s="657"/>
      <c r="OEO1" s="657"/>
      <c r="OEP1" s="657"/>
      <c r="OEQ1" s="657"/>
      <c r="OER1" s="657"/>
      <c r="OES1" s="657"/>
      <c r="OET1" s="657"/>
      <c r="OEU1" s="657"/>
      <c r="OEV1" s="657"/>
      <c r="OEW1" s="657"/>
      <c r="OEX1" s="657"/>
      <c r="OEY1" s="657"/>
      <c r="OEZ1" s="657"/>
      <c r="OFA1" s="657"/>
      <c r="OFB1" s="657"/>
      <c r="OFC1" s="657"/>
      <c r="OFD1" s="657"/>
      <c r="OFE1" s="657"/>
      <c r="OFF1" s="657"/>
      <c r="OFG1" s="657"/>
      <c r="OFH1" s="657"/>
      <c r="OFI1" s="657"/>
      <c r="OFJ1" s="657"/>
      <c r="OFK1" s="657"/>
      <c r="OFL1" s="657"/>
      <c r="OFM1" s="657"/>
      <c r="OFN1" s="657"/>
      <c r="OFO1" s="657"/>
      <c r="OFP1" s="657"/>
      <c r="OFQ1" s="657"/>
      <c r="OFR1" s="657"/>
      <c r="OFS1" s="657"/>
      <c r="OFT1" s="657"/>
      <c r="OFU1" s="657"/>
      <c r="OFV1" s="657"/>
      <c r="OFW1" s="657"/>
      <c r="OFX1" s="657"/>
      <c r="OFY1" s="657"/>
      <c r="OFZ1" s="657"/>
      <c r="OGA1" s="657"/>
      <c r="OGB1" s="657"/>
      <c r="OGC1" s="657"/>
      <c r="OGD1" s="657"/>
      <c r="OGE1" s="657"/>
      <c r="OGF1" s="657"/>
      <c r="OGG1" s="657"/>
      <c r="OGH1" s="657"/>
      <c r="OGI1" s="657"/>
      <c r="OGJ1" s="657"/>
      <c r="OGK1" s="657"/>
      <c r="OGL1" s="657"/>
      <c r="OGM1" s="657"/>
      <c r="OGN1" s="657"/>
      <c r="OGO1" s="657"/>
      <c r="OGP1" s="657"/>
      <c r="OGQ1" s="657"/>
      <c r="OGR1" s="657"/>
      <c r="OGS1" s="657"/>
      <c r="OGT1" s="657"/>
      <c r="OGU1" s="657"/>
      <c r="OGV1" s="657"/>
      <c r="OGW1" s="657"/>
      <c r="OGX1" s="657"/>
      <c r="OGY1" s="657"/>
      <c r="OGZ1" s="657"/>
      <c r="OHA1" s="657"/>
      <c r="OHB1" s="657"/>
      <c r="OHC1" s="657"/>
      <c r="OHD1" s="657"/>
      <c r="OHE1" s="657"/>
      <c r="OHF1" s="657"/>
      <c r="OHG1" s="657"/>
      <c r="OHH1" s="657"/>
      <c r="OHI1" s="657"/>
      <c r="OHJ1" s="657"/>
      <c r="OHK1" s="657"/>
      <c r="OHL1" s="657"/>
      <c r="OHM1" s="657"/>
      <c r="OHN1" s="657"/>
      <c r="OHO1" s="657"/>
      <c r="OHP1" s="657"/>
      <c r="OHQ1" s="657"/>
      <c r="OHR1" s="657"/>
      <c r="OHS1" s="657"/>
      <c r="OHT1" s="657"/>
      <c r="OHU1" s="657"/>
      <c r="OHV1" s="657"/>
      <c r="OHW1" s="657"/>
      <c r="OHX1" s="657"/>
      <c r="OHY1" s="657"/>
      <c r="OHZ1" s="657"/>
      <c r="OIA1" s="657"/>
      <c r="OIB1" s="657"/>
      <c r="OIC1" s="657"/>
      <c r="OID1" s="657"/>
      <c r="OIE1" s="657"/>
      <c r="OIF1" s="657"/>
      <c r="OIG1" s="657"/>
      <c r="OIH1" s="657"/>
      <c r="OII1" s="657"/>
      <c r="OIJ1" s="657"/>
      <c r="OIK1" s="657"/>
      <c r="OIL1" s="657"/>
      <c r="OIM1" s="657"/>
      <c r="OIN1" s="657"/>
      <c r="OIO1" s="657"/>
      <c r="OIP1" s="657"/>
      <c r="OIQ1" s="657"/>
      <c r="OIR1" s="657"/>
      <c r="OIS1" s="657"/>
      <c r="OIT1" s="657"/>
      <c r="OIU1" s="657"/>
      <c r="OIV1" s="657"/>
      <c r="OIW1" s="657"/>
      <c r="OIX1" s="657"/>
      <c r="OIY1" s="657"/>
      <c r="OIZ1" s="657"/>
      <c r="OJA1" s="657"/>
      <c r="OJB1" s="657"/>
      <c r="OJC1" s="657"/>
      <c r="OJD1" s="657"/>
      <c r="OJE1" s="657"/>
      <c r="OJF1" s="657"/>
      <c r="OJG1" s="657"/>
      <c r="OJH1" s="657"/>
      <c r="OJI1" s="657"/>
      <c r="OJJ1" s="657"/>
      <c r="OJK1" s="657"/>
      <c r="OJL1" s="657"/>
      <c r="OJM1" s="657"/>
      <c r="OJN1" s="657"/>
      <c r="OJO1" s="657"/>
      <c r="OJP1" s="657"/>
      <c r="OJQ1" s="657"/>
      <c r="OJR1" s="657"/>
      <c r="OJS1" s="657"/>
      <c r="OJT1" s="657"/>
      <c r="OJU1" s="657"/>
      <c r="OJV1" s="657"/>
      <c r="OJW1" s="657"/>
      <c r="OJX1" s="657"/>
      <c r="OJY1" s="657"/>
      <c r="OJZ1" s="657"/>
      <c r="OKA1" s="657"/>
      <c r="OKB1" s="657"/>
      <c r="OKC1" s="657"/>
      <c r="OKD1" s="657"/>
      <c r="OKE1" s="657"/>
      <c r="OKF1" s="657"/>
      <c r="OKG1" s="657"/>
      <c r="OKH1" s="657"/>
      <c r="OKI1" s="657"/>
      <c r="OKJ1" s="657"/>
      <c r="OKK1" s="657"/>
      <c r="OKL1" s="657"/>
      <c r="OKM1" s="657"/>
      <c r="OKN1" s="657"/>
      <c r="OKO1" s="657"/>
      <c r="OKP1" s="657"/>
      <c r="OKQ1" s="657"/>
      <c r="OKR1" s="657"/>
      <c r="OKS1" s="657"/>
      <c r="OKT1" s="657"/>
      <c r="OKU1" s="657"/>
      <c r="OKV1" s="657"/>
      <c r="OKW1" s="657"/>
      <c r="OKX1" s="657"/>
      <c r="OKY1" s="657"/>
      <c r="OKZ1" s="657"/>
      <c r="OLA1" s="657"/>
      <c r="OLB1" s="657"/>
      <c r="OLC1" s="657"/>
      <c r="OLD1" s="657"/>
      <c r="OLE1" s="657"/>
      <c r="OLF1" s="657"/>
      <c r="OLG1" s="657"/>
      <c r="OLH1" s="657"/>
      <c r="OLI1" s="657"/>
      <c r="OLJ1" s="657"/>
      <c r="OLK1" s="657"/>
      <c r="OLL1" s="657"/>
      <c r="OLM1" s="657"/>
      <c r="OLN1" s="657"/>
      <c r="OLO1" s="657"/>
      <c r="OLP1" s="657"/>
      <c r="OLQ1" s="657"/>
      <c r="OLR1" s="657"/>
      <c r="OLS1" s="657"/>
      <c r="OLT1" s="657"/>
      <c r="OLU1" s="657"/>
      <c r="OLV1" s="657"/>
      <c r="OLW1" s="657"/>
      <c r="OLX1" s="657"/>
      <c r="OLY1" s="657"/>
      <c r="OLZ1" s="657"/>
      <c r="OMA1" s="657"/>
      <c r="OMB1" s="657"/>
      <c r="OMC1" s="657"/>
      <c r="OMD1" s="657"/>
      <c r="OME1" s="657"/>
      <c r="OMF1" s="657"/>
      <c r="OMG1" s="657"/>
      <c r="OMH1" s="657"/>
      <c r="OMI1" s="657"/>
      <c r="OMJ1" s="657"/>
      <c r="OMK1" s="657"/>
      <c r="OML1" s="657"/>
      <c r="OMM1" s="657"/>
      <c r="OMN1" s="657"/>
      <c r="OMO1" s="657"/>
      <c r="OMP1" s="657"/>
      <c r="OMQ1" s="657"/>
      <c r="OMR1" s="657"/>
      <c r="OMS1" s="657"/>
      <c r="OMT1" s="657"/>
      <c r="OMU1" s="657"/>
      <c r="OMV1" s="657"/>
      <c r="OMW1" s="657"/>
      <c r="OMX1" s="657"/>
      <c r="OMY1" s="657"/>
      <c r="OMZ1" s="657"/>
      <c r="ONA1" s="657"/>
      <c r="ONB1" s="657"/>
      <c r="ONC1" s="657"/>
      <c r="OND1" s="657"/>
      <c r="ONE1" s="657"/>
      <c r="ONF1" s="657"/>
      <c r="ONG1" s="657"/>
      <c r="ONH1" s="657"/>
      <c r="ONI1" s="657"/>
      <c r="ONJ1" s="657"/>
      <c r="ONK1" s="657"/>
      <c r="ONL1" s="657"/>
      <c r="ONM1" s="657"/>
      <c r="ONN1" s="657"/>
      <c r="ONO1" s="657"/>
      <c r="ONP1" s="657"/>
      <c r="ONQ1" s="657"/>
      <c r="ONR1" s="657"/>
      <c r="ONS1" s="657"/>
      <c r="ONT1" s="657"/>
      <c r="ONU1" s="657"/>
      <c r="ONV1" s="657"/>
      <c r="ONW1" s="657"/>
      <c r="ONX1" s="657"/>
      <c r="ONY1" s="657"/>
      <c r="ONZ1" s="657"/>
      <c r="OOA1" s="657"/>
      <c r="OOB1" s="657"/>
      <c r="OOC1" s="657"/>
      <c r="OOD1" s="657"/>
      <c r="OOE1" s="657"/>
      <c r="OOF1" s="657"/>
      <c r="OOG1" s="657"/>
      <c r="OOH1" s="657"/>
      <c r="OOI1" s="657"/>
      <c r="OOJ1" s="657"/>
      <c r="OOK1" s="657"/>
      <c r="OOL1" s="657"/>
      <c r="OOM1" s="657"/>
      <c r="OON1" s="657"/>
      <c r="OOO1" s="657"/>
      <c r="OOP1" s="657"/>
      <c r="OOQ1" s="657"/>
      <c r="OOR1" s="657"/>
      <c r="OOS1" s="657"/>
      <c r="OOT1" s="657"/>
      <c r="OOU1" s="657"/>
      <c r="OOV1" s="657"/>
      <c r="OOW1" s="657"/>
      <c r="OOX1" s="657"/>
      <c r="OOY1" s="657"/>
      <c r="OOZ1" s="657"/>
      <c r="OPA1" s="657"/>
      <c r="OPB1" s="657"/>
      <c r="OPC1" s="657"/>
      <c r="OPD1" s="657"/>
      <c r="OPE1" s="657"/>
      <c r="OPF1" s="657"/>
      <c r="OPG1" s="657"/>
      <c r="OPH1" s="657"/>
      <c r="OPI1" s="657"/>
      <c r="OPJ1" s="657"/>
      <c r="OPK1" s="657"/>
      <c r="OPL1" s="657"/>
      <c r="OPM1" s="657"/>
      <c r="OPN1" s="657"/>
      <c r="OPO1" s="657"/>
      <c r="OPP1" s="657"/>
      <c r="OPQ1" s="657"/>
      <c r="OPR1" s="657"/>
      <c r="OPS1" s="657"/>
      <c r="OPT1" s="657"/>
      <c r="OPU1" s="657"/>
      <c r="OPV1" s="657"/>
      <c r="OPW1" s="657"/>
      <c r="OPX1" s="657"/>
      <c r="OPY1" s="657"/>
      <c r="OPZ1" s="657"/>
      <c r="OQA1" s="657"/>
      <c r="OQB1" s="657"/>
      <c r="OQC1" s="657"/>
      <c r="OQD1" s="657"/>
      <c r="OQE1" s="657"/>
      <c r="OQF1" s="657"/>
      <c r="OQG1" s="657"/>
      <c r="OQH1" s="657"/>
      <c r="OQI1" s="657"/>
      <c r="OQJ1" s="657"/>
      <c r="OQK1" s="657"/>
      <c r="OQL1" s="657"/>
      <c r="OQM1" s="657"/>
      <c r="OQN1" s="657"/>
      <c r="OQO1" s="657"/>
      <c r="OQP1" s="657"/>
      <c r="OQQ1" s="657"/>
      <c r="OQR1" s="657"/>
      <c r="OQS1" s="657"/>
      <c r="OQT1" s="657"/>
      <c r="OQU1" s="657"/>
      <c r="OQV1" s="657"/>
      <c r="OQW1" s="657"/>
      <c r="OQX1" s="657"/>
      <c r="OQY1" s="657"/>
      <c r="OQZ1" s="657"/>
      <c r="ORA1" s="657"/>
      <c r="ORB1" s="657"/>
      <c r="ORC1" s="657"/>
      <c r="ORD1" s="657"/>
      <c r="ORE1" s="657"/>
      <c r="ORF1" s="657"/>
      <c r="ORG1" s="657"/>
      <c r="ORH1" s="657"/>
      <c r="ORI1" s="657"/>
      <c r="ORJ1" s="657"/>
      <c r="ORK1" s="657"/>
      <c r="ORL1" s="657"/>
      <c r="ORM1" s="657"/>
      <c r="ORN1" s="657"/>
      <c r="ORO1" s="657"/>
      <c r="ORP1" s="657"/>
      <c r="ORQ1" s="657"/>
      <c r="ORR1" s="657"/>
      <c r="ORS1" s="657"/>
      <c r="ORT1" s="657"/>
      <c r="ORU1" s="657"/>
      <c r="ORV1" s="657"/>
      <c r="ORW1" s="657"/>
      <c r="ORX1" s="657"/>
      <c r="ORY1" s="657"/>
      <c r="ORZ1" s="657"/>
      <c r="OSA1" s="657"/>
      <c r="OSB1" s="657"/>
      <c r="OSC1" s="657"/>
      <c r="OSD1" s="657"/>
      <c r="OSE1" s="657"/>
      <c r="OSF1" s="657"/>
      <c r="OSG1" s="657"/>
      <c r="OSH1" s="657"/>
      <c r="OSI1" s="657"/>
      <c r="OSJ1" s="657"/>
      <c r="OSK1" s="657"/>
      <c r="OSL1" s="657"/>
      <c r="OSM1" s="657"/>
      <c r="OSN1" s="657"/>
      <c r="OSO1" s="657"/>
      <c r="OSP1" s="657"/>
      <c r="OSQ1" s="657"/>
      <c r="OSR1" s="657"/>
      <c r="OSS1" s="657"/>
      <c r="OST1" s="657"/>
      <c r="OSU1" s="657"/>
      <c r="OSV1" s="657"/>
      <c r="OSW1" s="657"/>
      <c r="OSX1" s="657"/>
      <c r="OSY1" s="657"/>
      <c r="OSZ1" s="657"/>
      <c r="OTA1" s="657"/>
      <c r="OTB1" s="657"/>
      <c r="OTC1" s="657"/>
      <c r="OTD1" s="657"/>
      <c r="OTE1" s="657"/>
      <c r="OTF1" s="657"/>
      <c r="OTG1" s="657"/>
      <c r="OTH1" s="657"/>
      <c r="OTI1" s="657"/>
      <c r="OTJ1" s="657"/>
      <c r="OTK1" s="657"/>
      <c r="OTL1" s="657"/>
      <c r="OTM1" s="657"/>
      <c r="OTN1" s="657"/>
      <c r="OTO1" s="657"/>
      <c r="OTP1" s="657"/>
      <c r="OTQ1" s="657"/>
      <c r="OTR1" s="657"/>
      <c r="OTS1" s="657"/>
      <c r="OTT1" s="657"/>
      <c r="OTU1" s="657"/>
      <c r="OTV1" s="657"/>
      <c r="OTW1" s="657"/>
      <c r="OTX1" s="657"/>
      <c r="OTY1" s="657"/>
      <c r="OTZ1" s="657"/>
      <c r="OUA1" s="657"/>
      <c r="OUB1" s="657"/>
      <c r="OUC1" s="657"/>
      <c r="OUD1" s="657"/>
      <c r="OUE1" s="657"/>
      <c r="OUF1" s="657"/>
      <c r="OUG1" s="657"/>
      <c r="OUH1" s="657"/>
      <c r="OUI1" s="657"/>
      <c r="OUJ1" s="657"/>
      <c r="OUK1" s="657"/>
      <c r="OUL1" s="657"/>
      <c r="OUM1" s="657"/>
      <c r="OUN1" s="657"/>
      <c r="OUO1" s="657"/>
      <c r="OUP1" s="657"/>
      <c r="OUQ1" s="657"/>
      <c r="OUR1" s="657"/>
      <c r="OUS1" s="657"/>
      <c r="OUT1" s="657"/>
      <c r="OUU1" s="657"/>
      <c r="OUV1" s="657"/>
      <c r="OUW1" s="657"/>
      <c r="OUX1" s="657"/>
      <c r="OUY1" s="657"/>
      <c r="OUZ1" s="657"/>
      <c r="OVA1" s="657"/>
      <c r="OVB1" s="657"/>
      <c r="OVC1" s="657"/>
      <c r="OVD1" s="657"/>
      <c r="OVE1" s="657"/>
      <c r="OVF1" s="657"/>
      <c r="OVG1" s="657"/>
      <c r="OVH1" s="657"/>
      <c r="OVI1" s="657"/>
      <c r="OVJ1" s="657"/>
      <c r="OVK1" s="657"/>
      <c r="OVL1" s="657"/>
      <c r="OVM1" s="657"/>
      <c r="OVN1" s="657"/>
      <c r="OVO1" s="657"/>
      <c r="OVP1" s="657"/>
      <c r="OVQ1" s="657"/>
      <c r="OVR1" s="657"/>
      <c r="OVS1" s="657"/>
      <c r="OVT1" s="657"/>
      <c r="OVU1" s="657"/>
      <c r="OVV1" s="657"/>
      <c r="OVW1" s="657"/>
      <c r="OVX1" s="657"/>
      <c r="OVY1" s="657"/>
      <c r="OVZ1" s="657"/>
      <c r="OWA1" s="657"/>
      <c r="OWB1" s="657"/>
      <c r="OWC1" s="657"/>
      <c r="OWD1" s="657"/>
      <c r="OWE1" s="657"/>
      <c r="OWF1" s="657"/>
      <c r="OWG1" s="657"/>
      <c r="OWH1" s="657"/>
      <c r="OWI1" s="657"/>
      <c r="OWJ1" s="657"/>
      <c r="OWK1" s="657"/>
      <c r="OWL1" s="657"/>
      <c r="OWM1" s="657"/>
      <c r="OWN1" s="657"/>
      <c r="OWO1" s="657"/>
      <c r="OWP1" s="657"/>
      <c r="OWQ1" s="657"/>
      <c r="OWR1" s="657"/>
      <c r="OWS1" s="657"/>
      <c r="OWT1" s="657"/>
      <c r="OWU1" s="657"/>
      <c r="OWV1" s="657"/>
      <c r="OWW1" s="657"/>
      <c r="OWX1" s="657"/>
      <c r="OWY1" s="657"/>
      <c r="OWZ1" s="657"/>
      <c r="OXA1" s="657"/>
      <c r="OXB1" s="657"/>
      <c r="OXC1" s="657"/>
      <c r="OXD1" s="657"/>
      <c r="OXE1" s="657"/>
      <c r="OXF1" s="657"/>
      <c r="OXG1" s="657"/>
      <c r="OXH1" s="657"/>
      <c r="OXI1" s="657"/>
      <c r="OXJ1" s="657"/>
      <c r="OXK1" s="657"/>
      <c r="OXL1" s="657"/>
      <c r="OXM1" s="657"/>
      <c r="OXN1" s="657"/>
      <c r="OXO1" s="657"/>
      <c r="OXP1" s="657"/>
      <c r="OXQ1" s="657"/>
      <c r="OXR1" s="657"/>
      <c r="OXS1" s="657"/>
      <c r="OXT1" s="657"/>
      <c r="OXU1" s="657"/>
      <c r="OXV1" s="657"/>
      <c r="OXW1" s="657"/>
      <c r="OXX1" s="657"/>
      <c r="OXY1" s="657"/>
      <c r="OXZ1" s="657"/>
      <c r="OYA1" s="657"/>
      <c r="OYB1" s="657"/>
      <c r="OYC1" s="657"/>
      <c r="OYD1" s="657"/>
      <c r="OYE1" s="657"/>
      <c r="OYF1" s="657"/>
      <c r="OYG1" s="657"/>
      <c r="OYH1" s="657"/>
      <c r="OYI1" s="657"/>
      <c r="OYJ1" s="657"/>
      <c r="OYK1" s="657"/>
      <c r="OYL1" s="657"/>
      <c r="OYM1" s="657"/>
      <c r="OYN1" s="657"/>
      <c r="OYO1" s="657"/>
      <c r="OYP1" s="657"/>
      <c r="OYQ1" s="657"/>
      <c r="OYR1" s="657"/>
      <c r="OYS1" s="657"/>
      <c r="OYT1" s="657"/>
      <c r="OYU1" s="657"/>
      <c r="OYV1" s="657"/>
      <c r="OYW1" s="657"/>
      <c r="OYX1" s="657"/>
      <c r="OYY1" s="657"/>
      <c r="OYZ1" s="657"/>
      <c r="OZA1" s="657"/>
      <c r="OZB1" s="657"/>
      <c r="OZC1" s="657"/>
      <c r="OZD1" s="657"/>
      <c r="OZE1" s="657"/>
      <c r="OZF1" s="657"/>
      <c r="OZG1" s="657"/>
      <c r="OZH1" s="657"/>
      <c r="OZI1" s="657"/>
      <c r="OZJ1" s="657"/>
      <c r="OZK1" s="657"/>
      <c r="OZL1" s="657"/>
      <c r="OZM1" s="657"/>
      <c r="OZN1" s="657"/>
      <c r="OZO1" s="657"/>
      <c r="OZP1" s="657"/>
      <c r="OZQ1" s="657"/>
      <c r="OZR1" s="657"/>
      <c r="OZS1" s="657"/>
      <c r="OZT1" s="657"/>
      <c r="OZU1" s="657"/>
      <c r="OZV1" s="657"/>
      <c r="OZW1" s="657"/>
      <c r="OZX1" s="657"/>
      <c r="OZY1" s="657"/>
      <c r="OZZ1" s="657"/>
      <c r="PAA1" s="657"/>
      <c r="PAB1" s="657"/>
      <c r="PAC1" s="657"/>
      <c r="PAD1" s="657"/>
      <c r="PAE1" s="657"/>
      <c r="PAF1" s="657"/>
      <c r="PAG1" s="657"/>
      <c r="PAH1" s="657"/>
      <c r="PAI1" s="657"/>
      <c r="PAJ1" s="657"/>
      <c r="PAK1" s="657"/>
      <c r="PAL1" s="657"/>
      <c r="PAM1" s="657"/>
      <c r="PAN1" s="657"/>
      <c r="PAO1" s="657"/>
      <c r="PAP1" s="657"/>
      <c r="PAQ1" s="657"/>
      <c r="PAR1" s="657"/>
      <c r="PAS1" s="657"/>
      <c r="PAT1" s="657"/>
      <c r="PAU1" s="657"/>
      <c r="PAV1" s="657"/>
      <c r="PAW1" s="657"/>
      <c r="PAX1" s="657"/>
      <c r="PAY1" s="657"/>
      <c r="PAZ1" s="657"/>
      <c r="PBA1" s="657"/>
      <c r="PBB1" s="657"/>
      <c r="PBC1" s="657"/>
      <c r="PBD1" s="657"/>
      <c r="PBE1" s="657"/>
      <c r="PBF1" s="657"/>
      <c r="PBG1" s="657"/>
      <c r="PBH1" s="657"/>
      <c r="PBI1" s="657"/>
      <c r="PBJ1" s="657"/>
      <c r="PBK1" s="657"/>
      <c r="PBL1" s="657"/>
      <c r="PBM1" s="657"/>
      <c r="PBN1" s="657"/>
      <c r="PBO1" s="657"/>
      <c r="PBP1" s="657"/>
      <c r="PBQ1" s="657"/>
      <c r="PBR1" s="657"/>
      <c r="PBS1" s="657"/>
      <c r="PBT1" s="657"/>
      <c r="PBU1" s="657"/>
      <c r="PBV1" s="657"/>
      <c r="PBW1" s="657"/>
      <c r="PBX1" s="657"/>
      <c r="PBY1" s="657"/>
      <c r="PBZ1" s="657"/>
      <c r="PCA1" s="657"/>
      <c r="PCB1" s="657"/>
      <c r="PCC1" s="657"/>
      <c r="PCD1" s="657"/>
      <c r="PCE1" s="657"/>
      <c r="PCF1" s="657"/>
      <c r="PCG1" s="657"/>
      <c r="PCH1" s="657"/>
      <c r="PCI1" s="657"/>
      <c r="PCJ1" s="657"/>
      <c r="PCK1" s="657"/>
      <c r="PCL1" s="657"/>
      <c r="PCM1" s="657"/>
      <c r="PCN1" s="657"/>
      <c r="PCO1" s="657"/>
      <c r="PCP1" s="657"/>
      <c r="PCQ1" s="657"/>
      <c r="PCR1" s="657"/>
      <c r="PCS1" s="657"/>
      <c r="PCT1" s="657"/>
      <c r="PCU1" s="657"/>
      <c r="PCV1" s="657"/>
      <c r="PCW1" s="657"/>
      <c r="PCX1" s="657"/>
      <c r="PCY1" s="657"/>
      <c r="PCZ1" s="657"/>
      <c r="PDA1" s="657"/>
      <c r="PDB1" s="657"/>
      <c r="PDC1" s="657"/>
      <c r="PDD1" s="657"/>
      <c r="PDE1" s="657"/>
      <c r="PDF1" s="657"/>
      <c r="PDG1" s="657"/>
      <c r="PDH1" s="657"/>
      <c r="PDI1" s="657"/>
      <c r="PDJ1" s="657"/>
      <c r="PDK1" s="657"/>
      <c r="PDL1" s="657"/>
      <c r="PDM1" s="657"/>
      <c r="PDN1" s="657"/>
      <c r="PDO1" s="657"/>
      <c r="PDP1" s="657"/>
      <c r="PDQ1" s="657"/>
      <c r="PDR1" s="657"/>
      <c r="PDS1" s="657"/>
      <c r="PDT1" s="657"/>
      <c r="PDU1" s="657"/>
      <c r="PDV1" s="657"/>
      <c r="PDW1" s="657"/>
      <c r="PDX1" s="657"/>
      <c r="PDY1" s="657"/>
      <c r="PDZ1" s="657"/>
      <c r="PEA1" s="657"/>
      <c r="PEB1" s="657"/>
      <c r="PEC1" s="657"/>
      <c r="PED1" s="657"/>
      <c r="PEE1" s="657"/>
      <c r="PEF1" s="657"/>
      <c r="PEG1" s="657"/>
      <c r="PEH1" s="657"/>
      <c r="PEI1" s="657"/>
      <c r="PEJ1" s="657"/>
      <c r="PEK1" s="657"/>
      <c r="PEL1" s="657"/>
      <c r="PEM1" s="657"/>
      <c r="PEN1" s="657"/>
      <c r="PEO1" s="657"/>
      <c r="PEP1" s="657"/>
      <c r="PEQ1" s="657"/>
      <c r="PER1" s="657"/>
      <c r="PES1" s="657"/>
      <c r="PET1" s="657"/>
      <c r="PEU1" s="657"/>
      <c r="PEV1" s="657"/>
      <c r="PEW1" s="657"/>
      <c r="PEX1" s="657"/>
      <c r="PEY1" s="657"/>
      <c r="PEZ1" s="657"/>
      <c r="PFA1" s="657"/>
      <c r="PFB1" s="657"/>
      <c r="PFC1" s="657"/>
      <c r="PFD1" s="657"/>
      <c r="PFE1" s="657"/>
      <c r="PFF1" s="657"/>
      <c r="PFG1" s="657"/>
      <c r="PFH1" s="657"/>
      <c r="PFI1" s="657"/>
      <c r="PFJ1" s="657"/>
      <c r="PFK1" s="657"/>
      <c r="PFL1" s="657"/>
      <c r="PFM1" s="657"/>
      <c r="PFN1" s="657"/>
      <c r="PFO1" s="657"/>
      <c r="PFP1" s="657"/>
      <c r="PFQ1" s="657"/>
      <c r="PFR1" s="657"/>
      <c r="PFS1" s="657"/>
      <c r="PFT1" s="657"/>
      <c r="PFU1" s="657"/>
      <c r="PFV1" s="657"/>
      <c r="PFW1" s="657"/>
      <c r="PFX1" s="657"/>
      <c r="PFY1" s="657"/>
      <c r="PFZ1" s="657"/>
      <c r="PGA1" s="657"/>
      <c r="PGB1" s="657"/>
      <c r="PGC1" s="657"/>
      <c r="PGD1" s="657"/>
      <c r="PGE1" s="657"/>
      <c r="PGF1" s="657"/>
      <c r="PGG1" s="657"/>
      <c r="PGH1" s="657"/>
      <c r="PGI1" s="657"/>
      <c r="PGJ1" s="657"/>
      <c r="PGK1" s="657"/>
      <c r="PGL1" s="657"/>
      <c r="PGM1" s="657"/>
      <c r="PGN1" s="657"/>
      <c r="PGO1" s="657"/>
      <c r="PGP1" s="657"/>
      <c r="PGQ1" s="657"/>
      <c r="PGR1" s="657"/>
      <c r="PGS1" s="657"/>
      <c r="PGT1" s="657"/>
      <c r="PGU1" s="657"/>
      <c r="PGV1" s="657"/>
      <c r="PGW1" s="657"/>
      <c r="PGX1" s="657"/>
      <c r="PGY1" s="657"/>
      <c r="PGZ1" s="657"/>
      <c r="PHA1" s="657"/>
      <c r="PHB1" s="657"/>
      <c r="PHC1" s="657"/>
      <c r="PHD1" s="657"/>
      <c r="PHE1" s="657"/>
      <c r="PHF1" s="657"/>
      <c r="PHG1" s="657"/>
      <c r="PHH1" s="657"/>
      <c r="PHI1" s="657"/>
      <c r="PHJ1" s="657"/>
      <c r="PHK1" s="657"/>
      <c r="PHL1" s="657"/>
      <c r="PHM1" s="657"/>
      <c r="PHN1" s="657"/>
      <c r="PHO1" s="657"/>
      <c r="PHP1" s="657"/>
      <c r="PHQ1" s="657"/>
      <c r="PHR1" s="657"/>
      <c r="PHS1" s="657"/>
      <c r="PHT1" s="657"/>
      <c r="PHU1" s="657"/>
      <c r="PHV1" s="657"/>
      <c r="PHW1" s="657"/>
      <c r="PHX1" s="657"/>
      <c r="PHY1" s="657"/>
      <c r="PHZ1" s="657"/>
      <c r="PIA1" s="657"/>
      <c r="PIB1" s="657"/>
      <c r="PIC1" s="657"/>
      <c r="PID1" s="657"/>
      <c r="PIE1" s="657"/>
      <c r="PIF1" s="657"/>
      <c r="PIG1" s="657"/>
      <c r="PIH1" s="657"/>
      <c r="PII1" s="657"/>
      <c r="PIJ1" s="657"/>
      <c r="PIK1" s="657"/>
      <c r="PIL1" s="657"/>
      <c r="PIM1" s="657"/>
      <c r="PIN1" s="657"/>
      <c r="PIO1" s="657"/>
      <c r="PIP1" s="657"/>
      <c r="PIQ1" s="657"/>
      <c r="PIR1" s="657"/>
      <c r="PIS1" s="657"/>
      <c r="PIT1" s="657"/>
      <c r="PIU1" s="657"/>
      <c r="PIV1" s="657"/>
      <c r="PIW1" s="657"/>
      <c r="PIX1" s="657"/>
      <c r="PIY1" s="657"/>
      <c r="PIZ1" s="657"/>
      <c r="PJA1" s="657"/>
      <c r="PJB1" s="657"/>
      <c r="PJC1" s="657"/>
      <c r="PJD1" s="657"/>
      <c r="PJE1" s="657"/>
      <c r="PJF1" s="657"/>
      <c r="PJG1" s="657"/>
      <c r="PJH1" s="657"/>
      <c r="PJI1" s="657"/>
      <c r="PJJ1" s="657"/>
      <c r="PJK1" s="657"/>
      <c r="PJL1" s="657"/>
      <c r="PJM1" s="657"/>
      <c r="PJN1" s="657"/>
      <c r="PJO1" s="657"/>
      <c r="PJP1" s="657"/>
      <c r="PJQ1" s="657"/>
      <c r="PJR1" s="657"/>
      <c r="PJS1" s="657"/>
      <c r="PJT1" s="657"/>
      <c r="PJU1" s="657"/>
      <c r="PJV1" s="657"/>
      <c r="PJW1" s="657"/>
      <c r="PJX1" s="657"/>
      <c r="PJY1" s="657"/>
      <c r="PJZ1" s="657"/>
      <c r="PKA1" s="657"/>
      <c r="PKB1" s="657"/>
      <c r="PKC1" s="657"/>
      <c r="PKD1" s="657"/>
      <c r="PKE1" s="657"/>
      <c r="PKF1" s="657"/>
      <c r="PKG1" s="657"/>
      <c r="PKH1" s="657"/>
      <c r="PKI1" s="657"/>
      <c r="PKJ1" s="657"/>
      <c r="PKK1" s="657"/>
      <c r="PKL1" s="657"/>
      <c r="PKM1" s="657"/>
      <c r="PKN1" s="657"/>
      <c r="PKO1" s="657"/>
      <c r="PKP1" s="657"/>
      <c r="PKQ1" s="657"/>
      <c r="PKR1" s="657"/>
      <c r="PKS1" s="657"/>
      <c r="PKT1" s="657"/>
      <c r="PKU1" s="657"/>
      <c r="PKV1" s="657"/>
      <c r="PKW1" s="657"/>
      <c r="PKX1" s="657"/>
      <c r="PKY1" s="657"/>
      <c r="PKZ1" s="657"/>
      <c r="PLA1" s="657"/>
      <c r="PLB1" s="657"/>
      <c r="PLC1" s="657"/>
      <c r="PLD1" s="657"/>
      <c r="PLE1" s="657"/>
      <c r="PLF1" s="657"/>
      <c r="PLG1" s="657"/>
      <c r="PLH1" s="657"/>
      <c r="PLI1" s="657"/>
      <c r="PLJ1" s="657"/>
      <c r="PLK1" s="657"/>
      <c r="PLL1" s="657"/>
      <c r="PLM1" s="657"/>
      <c r="PLN1" s="657"/>
      <c r="PLO1" s="657"/>
      <c r="PLP1" s="657"/>
      <c r="PLQ1" s="657"/>
      <c r="PLR1" s="657"/>
      <c r="PLS1" s="657"/>
      <c r="PLT1" s="657"/>
      <c r="PLU1" s="657"/>
      <c r="PLV1" s="657"/>
      <c r="PLW1" s="657"/>
      <c r="PLX1" s="657"/>
      <c r="PLY1" s="657"/>
      <c r="PLZ1" s="657"/>
      <c r="PMA1" s="657"/>
      <c r="PMB1" s="657"/>
      <c r="PMC1" s="657"/>
      <c r="PMD1" s="657"/>
      <c r="PME1" s="657"/>
      <c r="PMF1" s="657"/>
      <c r="PMG1" s="657"/>
      <c r="PMH1" s="657"/>
      <c r="PMI1" s="657"/>
      <c r="PMJ1" s="657"/>
      <c r="PMK1" s="657"/>
      <c r="PML1" s="657"/>
      <c r="PMM1" s="657"/>
      <c r="PMN1" s="657"/>
      <c r="PMO1" s="657"/>
      <c r="PMP1" s="657"/>
      <c r="PMQ1" s="657"/>
      <c r="PMR1" s="657"/>
      <c r="PMS1" s="657"/>
      <c r="PMT1" s="657"/>
      <c r="PMU1" s="657"/>
      <c r="PMV1" s="657"/>
      <c r="PMW1" s="657"/>
      <c r="PMX1" s="657"/>
      <c r="PMY1" s="657"/>
      <c r="PMZ1" s="657"/>
      <c r="PNA1" s="657"/>
      <c r="PNB1" s="657"/>
      <c r="PNC1" s="657"/>
      <c r="PND1" s="657"/>
      <c r="PNE1" s="657"/>
      <c r="PNF1" s="657"/>
      <c r="PNG1" s="657"/>
      <c r="PNH1" s="657"/>
      <c r="PNI1" s="657"/>
      <c r="PNJ1" s="657"/>
      <c r="PNK1" s="657"/>
      <c r="PNL1" s="657"/>
      <c r="PNM1" s="657"/>
      <c r="PNN1" s="657"/>
      <c r="PNO1" s="657"/>
      <c r="PNP1" s="657"/>
      <c r="PNQ1" s="657"/>
      <c r="PNR1" s="657"/>
      <c r="PNS1" s="657"/>
      <c r="PNT1" s="657"/>
      <c r="PNU1" s="657"/>
      <c r="PNV1" s="657"/>
      <c r="PNW1" s="657"/>
      <c r="PNX1" s="657"/>
      <c r="PNY1" s="657"/>
      <c r="PNZ1" s="657"/>
      <c r="POA1" s="657"/>
      <c r="POB1" s="657"/>
      <c r="POC1" s="657"/>
      <c r="POD1" s="657"/>
      <c r="POE1" s="657"/>
      <c r="POF1" s="657"/>
      <c r="POG1" s="657"/>
      <c r="POH1" s="657"/>
      <c r="POI1" s="657"/>
      <c r="POJ1" s="657"/>
      <c r="POK1" s="657"/>
      <c r="POL1" s="657"/>
      <c r="POM1" s="657"/>
      <c r="PON1" s="657"/>
      <c r="POO1" s="657"/>
      <c r="POP1" s="657"/>
      <c r="POQ1" s="657"/>
      <c r="POR1" s="657"/>
      <c r="POS1" s="657"/>
      <c r="POT1" s="657"/>
      <c r="POU1" s="657"/>
      <c r="POV1" s="657"/>
      <c r="POW1" s="657"/>
      <c r="POX1" s="657"/>
      <c r="POY1" s="657"/>
      <c r="POZ1" s="657"/>
      <c r="PPA1" s="657"/>
      <c r="PPB1" s="657"/>
      <c r="PPC1" s="657"/>
      <c r="PPD1" s="657"/>
      <c r="PPE1" s="657"/>
      <c r="PPF1" s="657"/>
      <c r="PPG1" s="657"/>
      <c r="PPH1" s="657"/>
      <c r="PPI1" s="657"/>
      <c r="PPJ1" s="657"/>
      <c r="PPK1" s="657"/>
      <c r="PPL1" s="657"/>
      <c r="PPM1" s="657"/>
      <c r="PPN1" s="657"/>
      <c r="PPO1" s="657"/>
      <c r="PPP1" s="657"/>
      <c r="PPQ1" s="657"/>
      <c r="PPR1" s="657"/>
      <c r="PPS1" s="657"/>
      <c r="PPT1" s="657"/>
      <c r="PPU1" s="657"/>
      <c r="PPV1" s="657"/>
      <c r="PPW1" s="657"/>
      <c r="PPX1" s="657"/>
      <c r="PPY1" s="657"/>
      <c r="PPZ1" s="657"/>
      <c r="PQA1" s="657"/>
      <c r="PQB1" s="657"/>
      <c r="PQC1" s="657"/>
      <c r="PQD1" s="657"/>
      <c r="PQE1" s="657"/>
      <c r="PQF1" s="657"/>
      <c r="PQG1" s="657"/>
      <c r="PQH1" s="657"/>
      <c r="PQI1" s="657"/>
      <c r="PQJ1" s="657"/>
      <c r="PQK1" s="657"/>
      <c r="PQL1" s="657"/>
      <c r="PQM1" s="657"/>
      <c r="PQN1" s="657"/>
      <c r="PQO1" s="657"/>
      <c r="PQP1" s="657"/>
      <c r="PQQ1" s="657"/>
      <c r="PQR1" s="657"/>
      <c r="PQS1" s="657"/>
      <c r="PQT1" s="657"/>
      <c r="PQU1" s="657"/>
      <c r="PQV1" s="657"/>
      <c r="PQW1" s="657"/>
      <c r="PQX1" s="657"/>
      <c r="PQY1" s="657"/>
      <c r="PQZ1" s="657"/>
      <c r="PRA1" s="657"/>
      <c r="PRB1" s="657"/>
      <c r="PRC1" s="657"/>
      <c r="PRD1" s="657"/>
      <c r="PRE1" s="657"/>
      <c r="PRF1" s="657"/>
      <c r="PRG1" s="657"/>
      <c r="PRH1" s="657"/>
      <c r="PRI1" s="657"/>
      <c r="PRJ1" s="657"/>
      <c r="PRK1" s="657"/>
      <c r="PRL1" s="657"/>
      <c r="PRM1" s="657"/>
      <c r="PRN1" s="657"/>
      <c r="PRO1" s="657"/>
      <c r="PRP1" s="657"/>
      <c r="PRQ1" s="657"/>
      <c r="PRR1" s="657"/>
      <c r="PRS1" s="657"/>
      <c r="PRT1" s="657"/>
      <c r="PRU1" s="657"/>
      <c r="PRV1" s="657"/>
      <c r="PRW1" s="657"/>
      <c r="PRX1" s="657"/>
      <c r="PRY1" s="657"/>
      <c r="PRZ1" s="657"/>
      <c r="PSA1" s="657"/>
      <c r="PSB1" s="657"/>
      <c r="PSC1" s="657"/>
      <c r="PSD1" s="657"/>
      <c r="PSE1" s="657"/>
      <c r="PSF1" s="657"/>
      <c r="PSG1" s="657"/>
      <c r="PSH1" s="657"/>
      <c r="PSI1" s="657"/>
      <c r="PSJ1" s="657"/>
      <c r="PSK1" s="657"/>
      <c r="PSL1" s="657"/>
      <c r="PSM1" s="657"/>
      <c r="PSN1" s="657"/>
      <c r="PSO1" s="657"/>
      <c r="PSP1" s="657"/>
      <c r="PSQ1" s="657"/>
      <c r="PSR1" s="657"/>
      <c r="PSS1" s="657"/>
      <c r="PST1" s="657"/>
      <c r="PSU1" s="657"/>
      <c r="PSV1" s="657"/>
      <c r="PSW1" s="657"/>
      <c r="PSX1" s="657"/>
      <c r="PSY1" s="657"/>
      <c r="PSZ1" s="657"/>
      <c r="PTA1" s="657"/>
      <c r="PTB1" s="657"/>
      <c r="PTC1" s="657"/>
      <c r="PTD1" s="657"/>
      <c r="PTE1" s="657"/>
      <c r="PTF1" s="657"/>
      <c r="PTG1" s="657"/>
      <c r="PTH1" s="657"/>
      <c r="PTI1" s="657"/>
      <c r="PTJ1" s="657"/>
      <c r="PTK1" s="657"/>
      <c r="PTL1" s="657"/>
      <c r="PTM1" s="657"/>
      <c r="PTN1" s="657"/>
      <c r="PTO1" s="657"/>
      <c r="PTP1" s="657"/>
      <c r="PTQ1" s="657"/>
      <c r="PTR1" s="657"/>
      <c r="PTS1" s="657"/>
      <c r="PTT1" s="657"/>
      <c r="PTU1" s="657"/>
      <c r="PTV1" s="657"/>
      <c r="PTW1" s="657"/>
      <c r="PTX1" s="657"/>
      <c r="PTY1" s="657"/>
      <c r="PTZ1" s="657"/>
      <c r="PUA1" s="657"/>
      <c r="PUB1" s="657"/>
      <c r="PUC1" s="657"/>
      <c r="PUD1" s="657"/>
      <c r="PUE1" s="657"/>
      <c r="PUF1" s="657"/>
      <c r="PUG1" s="657"/>
      <c r="PUH1" s="657"/>
      <c r="PUI1" s="657"/>
      <c r="PUJ1" s="657"/>
      <c r="PUK1" s="657"/>
      <c r="PUL1" s="657"/>
      <c r="PUM1" s="657"/>
      <c r="PUN1" s="657"/>
      <c r="PUO1" s="657"/>
      <c r="PUP1" s="657"/>
      <c r="PUQ1" s="657"/>
      <c r="PUR1" s="657"/>
      <c r="PUS1" s="657"/>
      <c r="PUT1" s="657"/>
      <c r="PUU1" s="657"/>
      <c r="PUV1" s="657"/>
      <c r="PUW1" s="657"/>
      <c r="PUX1" s="657"/>
      <c r="PUY1" s="657"/>
      <c r="PUZ1" s="657"/>
      <c r="PVA1" s="657"/>
      <c r="PVB1" s="657"/>
      <c r="PVC1" s="657"/>
      <c r="PVD1" s="657"/>
      <c r="PVE1" s="657"/>
      <c r="PVF1" s="657"/>
      <c r="PVG1" s="657"/>
      <c r="PVH1" s="657"/>
      <c r="PVI1" s="657"/>
      <c r="PVJ1" s="657"/>
      <c r="PVK1" s="657"/>
      <c r="PVL1" s="657"/>
      <c r="PVM1" s="657"/>
      <c r="PVN1" s="657"/>
      <c r="PVO1" s="657"/>
      <c r="PVP1" s="657"/>
      <c r="PVQ1" s="657"/>
      <c r="PVR1" s="657"/>
      <c r="PVS1" s="657"/>
      <c r="PVT1" s="657"/>
      <c r="PVU1" s="657"/>
      <c r="PVV1" s="657"/>
      <c r="PVW1" s="657"/>
      <c r="PVX1" s="657"/>
      <c r="PVY1" s="657"/>
      <c r="PVZ1" s="657"/>
      <c r="PWA1" s="657"/>
      <c r="PWB1" s="657"/>
      <c r="PWC1" s="657"/>
      <c r="PWD1" s="657"/>
      <c r="PWE1" s="657"/>
      <c r="PWF1" s="657"/>
      <c r="PWG1" s="657"/>
      <c r="PWH1" s="657"/>
      <c r="PWI1" s="657"/>
      <c r="PWJ1" s="657"/>
      <c r="PWK1" s="657"/>
      <c r="PWL1" s="657"/>
      <c r="PWM1" s="657"/>
      <c r="PWN1" s="657"/>
      <c r="PWO1" s="657"/>
      <c r="PWP1" s="657"/>
      <c r="PWQ1" s="657"/>
      <c r="PWR1" s="657"/>
      <c r="PWS1" s="657"/>
      <c r="PWT1" s="657"/>
      <c r="PWU1" s="657"/>
      <c r="PWV1" s="657"/>
      <c r="PWW1" s="657"/>
      <c r="PWX1" s="657"/>
      <c r="PWY1" s="657"/>
      <c r="PWZ1" s="657"/>
      <c r="PXA1" s="657"/>
      <c r="PXB1" s="657"/>
      <c r="PXC1" s="657"/>
      <c r="PXD1" s="657"/>
      <c r="PXE1" s="657"/>
      <c r="PXF1" s="657"/>
      <c r="PXG1" s="657"/>
      <c r="PXH1" s="657"/>
      <c r="PXI1" s="657"/>
      <c r="PXJ1" s="657"/>
      <c r="PXK1" s="657"/>
      <c r="PXL1" s="657"/>
      <c r="PXM1" s="657"/>
      <c r="PXN1" s="657"/>
      <c r="PXO1" s="657"/>
      <c r="PXP1" s="657"/>
      <c r="PXQ1" s="657"/>
      <c r="PXR1" s="657"/>
      <c r="PXS1" s="657"/>
      <c r="PXT1" s="657"/>
      <c r="PXU1" s="657"/>
      <c r="PXV1" s="657"/>
      <c r="PXW1" s="657"/>
      <c r="PXX1" s="657"/>
      <c r="PXY1" s="657"/>
      <c r="PXZ1" s="657"/>
      <c r="PYA1" s="657"/>
      <c r="PYB1" s="657"/>
      <c r="PYC1" s="657"/>
      <c r="PYD1" s="657"/>
      <c r="PYE1" s="657"/>
      <c r="PYF1" s="657"/>
      <c r="PYG1" s="657"/>
      <c r="PYH1" s="657"/>
      <c r="PYI1" s="657"/>
      <c r="PYJ1" s="657"/>
      <c r="PYK1" s="657"/>
      <c r="PYL1" s="657"/>
      <c r="PYM1" s="657"/>
      <c r="PYN1" s="657"/>
      <c r="PYO1" s="657"/>
      <c r="PYP1" s="657"/>
      <c r="PYQ1" s="657"/>
      <c r="PYR1" s="657"/>
      <c r="PYS1" s="657"/>
      <c r="PYT1" s="657"/>
      <c r="PYU1" s="657"/>
      <c r="PYV1" s="657"/>
      <c r="PYW1" s="657"/>
      <c r="PYX1" s="657"/>
      <c r="PYY1" s="657"/>
      <c r="PYZ1" s="657"/>
      <c r="PZA1" s="657"/>
      <c r="PZB1" s="657"/>
      <c r="PZC1" s="657"/>
      <c r="PZD1" s="657"/>
      <c r="PZE1" s="657"/>
      <c r="PZF1" s="657"/>
      <c r="PZG1" s="657"/>
      <c r="PZH1" s="657"/>
      <c r="PZI1" s="657"/>
      <c r="PZJ1" s="657"/>
      <c r="PZK1" s="657"/>
      <c r="PZL1" s="657"/>
      <c r="PZM1" s="657"/>
      <c r="PZN1" s="657"/>
      <c r="PZO1" s="657"/>
      <c r="PZP1" s="657"/>
      <c r="PZQ1" s="657"/>
      <c r="PZR1" s="657"/>
      <c r="PZS1" s="657"/>
      <c r="PZT1" s="657"/>
      <c r="PZU1" s="657"/>
      <c r="PZV1" s="657"/>
      <c r="PZW1" s="657"/>
      <c r="PZX1" s="657"/>
      <c r="PZY1" s="657"/>
      <c r="PZZ1" s="657"/>
      <c r="QAA1" s="657"/>
      <c r="QAB1" s="657"/>
      <c r="QAC1" s="657"/>
      <c r="QAD1" s="657"/>
      <c r="QAE1" s="657"/>
      <c r="QAF1" s="657"/>
      <c r="QAG1" s="657"/>
      <c r="QAH1" s="657"/>
      <c r="QAI1" s="657"/>
      <c r="QAJ1" s="657"/>
      <c r="QAK1" s="657"/>
      <c r="QAL1" s="657"/>
      <c r="QAM1" s="657"/>
      <c r="QAN1" s="657"/>
      <c r="QAO1" s="657"/>
      <c r="QAP1" s="657"/>
      <c r="QAQ1" s="657"/>
      <c r="QAR1" s="657"/>
      <c r="QAS1" s="657"/>
      <c r="QAT1" s="657"/>
      <c r="QAU1" s="657"/>
      <c r="QAV1" s="657"/>
      <c r="QAW1" s="657"/>
      <c r="QAX1" s="657"/>
      <c r="QAY1" s="657"/>
      <c r="QAZ1" s="657"/>
      <c r="QBA1" s="657"/>
      <c r="QBB1" s="657"/>
      <c r="QBC1" s="657"/>
      <c r="QBD1" s="657"/>
      <c r="QBE1" s="657"/>
      <c r="QBF1" s="657"/>
      <c r="QBG1" s="657"/>
      <c r="QBH1" s="657"/>
      <c r="QBI1" s="657"/>
      <c r="QBJ1" s="657"/>
      <c r="QBK1" s="657"/>
      <c r="QBL1" s="657"/>
      <c r="QBM1" s="657"/>
      <c r="QBN1" s="657"/>
      <c r="QBO1" s="657"/>
      <c r="QBP1" s="657"/>
      <c r="QBQ1" s="657"/>
      <c r="QBR1" s="657"/>
      <c r="QBS1" s="657"/>
      <c r="QBT1" s="657"/>
      <c r="QBU1" s="657"/>
      <c r="QBV1" s="657"/>
      <c r="QBW1" s="657"/>
      <c r="QBX1" s="657"/>
      <c r="QBY1" s="657"/>
      <c r="QBZ1" s="657"/>
      <c r="QCA1" s="657"/>
      <c r="QCB1" s="657"/>
      <c r="QCC1" s="657"/>
      <c r="QCD1" s="657"/>
      <c r="QCE1" s="657"/>
      <c r="QCF1" s="657"/>
      <c r="QCG1" s="657"/>
      <c r="QCH1" s="657"/>
      <c r="QCI1" s="657"/>
      <c r="QCJ1" s="657"/>
      <c r="QCK1" s="657"/>
      <c r="QCL1" s="657"/>
      <c r="QCM1" s="657"/>
      <c r="QCN1" s="657"/>
      <c r="QCO1" s="657"/>
      <c r="QCP1" s="657"/>
      <c r="QCQ1" s="657"/>
      <c r="QCR1" s="657"/>
      <c r="QCS1" s="657"/>
      <c r="QCT1" s="657"/>
      <c r="QCU1" s="657"/>
      <c r="QCV1" s="657"/>
      <c r="QCW1" s="657"/>
      <c r="QCX1" s="657"/>
      <c r="QCY1" s="657"/>
      <c r="QCZ1" s="657"/>
      <c r="QDA1" s="657"/>
      <c r="QDB1" s="657"/>
      <c r="QDC1" s="657"/>
      <c r="QDD1" s="657"/>
      <c r="QDE1" s="657"/>
      <c r="QDF1" s="657"/>
      <c r="QDG1" s="657"/>
      <c r="QDH1" s="657"/>
      <c r="QDI1" s="657"/>
      <c r="QDJ1" s="657"/>
      <c r="QDK1" s="657"/>
      <c r="QDL1" s="657"/>
      <c r="QDM1" s="657"/>
      <c r="QDN1" s="657"/>
      <c r="QDO1" s="657"/>
      <c r="QDP1" s="657"/>
      <c r="QDQ1" s="657"/>
      <c r="QDR1" s="657"/>
      <c r="QDS1" s="657"/>
      <c r="QDT1" s="657"/>
      <c r="QDU1" s="657"/>
      <c r="QDV1" s="657"/>
      <c r="QDW1" s="657"/>
      <c r="QDX1" s="657"/>
      <c r="QDY1" s="657"/>
      <c r="QDZ1" s="657"/>
      <c r="QEA1" s="657"/>
      <c r="QEB1" s="657"/>
      <c r="QEC1" s="657"/>
      <c r="QED1" s="657"/>
      <c r="QEE1" s="657"/>
      <c r="QEF1" s="657"/>
      <c r="QEG1" s="657"/>
      <c r="QEH1" s="657"/>
      <c r="QEI1" s="657"/>
      <c r="QEJ1" s="657"/>
      <c r="QEK1" s="657"/>
      <c r="QEL1" s="657"/>
      <c r="QEM1" s="657"/>
      <c r="QEN1" s="657"/>
      <c r="QEO1" s="657"/>
      <c r="QEP1" s="657"/>
      <c r="QEQ1" s="657"/>
      <c r="QER1" s="657"/>
      <c r="QES1" s="657"/>
      <c r="QET1" s="657"/>
      <c r="QEU1" s="657"/>
      <c r="QEV1" s="657"/>
      <c r="QEW1" s="657"/>
      <c r="QEX1" s="657"/>
      <c r="QEY1" s="657"/>
      <c r="QEZ1" s="657"/>
      <c r="QFA1" s="657"/>
      <c r="QFB1" s="657"/>
      <c r="QFC1" s="657"/>
      <c r="QFD1" s="657"/>
      <c r="QFE1" s="657"/>
      <c r="QFF1" s="657"/>
      <c r="QFG1" s="657"/>
      <c r="QFH1" s="657"/>
      <c r="QFI1" s="657"/>
      <c r="QFJ1" s="657"/>
      <c r="QFK1" s="657"/>
      <c r="QFL1" s="657"/>
      <c r="QFM1" s="657"/>
      <c r="QFN1" s="657"/>
      <c r="QFO1" s="657"/>
      <c r="QFP1" s="657"/>
      <c r="QFQ1" s="657"/>
      <c r="QFR1" s="657"/>
      <c r="QFS1" s="657"/>
      <c r="QFT1" s="657"/>
      <c r="QFU1" s="657"/>
      <c r="QFV1" s="657"/>
      <c r="QFW1" s="657"/>
      <c r="QFX1" s="657"/>
      <c r="QFY1" s="657"/>
      <c r="QFZ1" s="657"/>
      <c r="QGA1" s="657"/>
      <c r="QGB1" s="657"/>
      <c r="QGC1" s="657"/>
      <c r="QGD1" s="657"/>
      <c r="QGE1" s="657"/>
      <c r="QGF1" s="657"/>
      <c r="QGG1" s="657"/>
      <c r="QGH1" s="657"/>
      <c r="QGI1" s="657"/>
      <c r="QGJ1" s="657"/>
      <c r="QGK1" s="657"/>
      <c r="QGL1" s="657"/>
      <c r="QGM1" s="657"/>
      <c r="QGN1" s="657"/>
      <c r="QGO1" s="657"/>
      <c r="QGP1" s="657"/>
      <c r="QGQ1" s="657"/>
      <c r="QGR1" s="657"/>
      <c r="QGS1" s="657"/>
      <c r="QGT1" s="657"/>
      <c r="QGU1" s="657"/>
      <c r="QGV1" s="657"/>
      <c r="QGW1" s="657"/>
      <c r="QGX1" s="657"/>
      <c r="QGY1" s="657"/>
      <c r="QGZ1" s="657"/>
      <c r="QHA1" s="657"/>
      <c r="QHB1" s="657"/>
      <c r="QHC1" s="657"/>
      <c r="QHD1" s="657"/>
      <c r="QHE1" s="657"/>
      <c r="QHF1" s="657"/>
      <c r="QHG1" s="657"/>
      <c r="QHH1" s="657"/>
      <c r="QHI1" s="657"/>
      <c r="QHJ1" s="657"/>
      <c r="QHK1" s="657"/>
      <c r="QHL1" s="657"/>
      <c r="QHM1" s="657"/>
      <c r="QHN1" s="657"/>
      <c r="QHO1" s="657"/>
      <c r="QHP1" s="657"/>
      <c r="QHQ1" s="657"/>
      <c r="QHR1" s="657"/>
      <c r="QHS1" s="657"/>
      <c r="QHT1" s="657"/>
      <c r="QHU1" s="657"/>
      <c r="QHV1" s="657"/>
      <c r="QHW1" s="657"/>
      <c r="QHX1" s="657"/>
      <c r="QHY1" s="657"/>
      <c r="QHZ1" s="657"/>
      <c r="QIA1" s="657"/>
      <c r="QIB1" s="657"/>
      <c r="QIC1" s="657"/>
      <c r="QID1" s="657"/>
      <c r="QIE1" s="657"/>
      <c r="QIF1" s="657"/>
      <c r="QIG1" s="657"/>
      <c r="QIH1" s="657"/>
      <c r="QII1" s="657"/>
      <c r="QIJ1" s="657"/>
      <c r="QIK1" s="657"/>
      <c r="QIL1" s="657"/>
      <c r="QIM1" s="657"/>
      <c r="QIN1" s="657"/>
      <c r="QIO1" s="657"/>
      <c r="QIP1" s="657"/>
      <c r="QIQ1" s="657"/>
      <c r="QIR1" s="657"/>
      <c r="QIS1" s="657"/>
      <c r="QIT1" s="657"/>
      <c r="QIU1" s="657"/>
      <c r="QIV1" s="657"/>
      <c r="QIW1" s="657"/>
      <c r="QIX1" s="657"/>
      <c r="QIY1" s="657"/>
      <c r="QIZ1" s="657"/>
      <c r="QJA1" s="657"/>
      <c r="QJB1" s="657"/>
      <c r="QJC1" s="657"/>
      <c r="QJD1" s="657"/>
      <c r="QJE1" s="657"/>
      <c r="QJF1" s="657"/>
      <c r="QJG1" s="657"/>
      <c r="QJH1" s="657"/>
      <c r="QJI1" s="657"/>
      <c r="QJJ1" s="657"/>
      <c r="QJK1" s="657"/>
      <c r="QJL1" s="657"/>
      <c r="QJM1" s="657"/>
      <c r="QJN1" s="657"/>
      <c r="QJO1" s="657"/>
      <c r="QJP1" s="657"/>
      <c r="QJQ1" s="657"/>
      <c r="QJR1" s="657"/>
      <c r="QJS1" s="657"/>
      <c r="QJT1" s="657"/>
      <c r="QJU1" s="657"/>
      <c r="QJV1" s="657"/>
      <c r="QJW1" s="657"/>
      <c r="QJX1" s="657"/>
      <c r="QJY1" s="657"/>
      <c r="QJZ1" s="657"/>
      <c r="QKA1" s="657"/>
      <c r="QKB1" s="657"/>
      <c r="QKC1" s="657"/>
      <c r="QKD1" s="657"/>
      <c r="QKE1" s="657"/>
      <c r="QKF1" s="657"/>
      <c r="QKG1" s="657"/>
      <c r="QKH1" s="657"/>
      <c r="QKI1" s="657"/>
      <c r="QKJ1" s="657"/>
      <c r="QKK1" s="657"/>
      <c r="QKL1" s="657"/>
      <c r="QKM1" s="657"/>
      <c r="QKN1" s="657"/>
      <c r="QKO1" s="657"/>
      <c r="QKP1" s="657"/>
      <c r="QKQ1" s="657"/>
      <c r="QKR1" s="657"/>
      <c r="QKS1" s="657"/>
      <c r="QKT1" s="657"/>
      <c r="QKU1" s="657"/>
      <c r="QKV1" s="657"/>
      <c r="QKW1" s="657"/>
      <c r="QKX1" s="657"/>
      <c r="QKY1" s="657"/>
      <c r="QKZ1" s="657"/>
      <c r="QLA1" s="657"/>
      <c r="QLB1" s="657"/>
      <c r="QLC1" s="657"/>
      <c r="QLD1" s="657"/>
      <c r="QLE1" s="657"/>
      <c r="QLF1" s="657"/>
      <c r="QLG1" s="657"/>
      <c r="QLH1" s="657"/>
      <c r="QLI1" s="657"/>
      <c r="QLJ1" s="657"/>
      <c r="QLK1" s="657"/>
      <c r="QLL1" s="657"/>
      <c r="QLM1" s="657"/>
      <c r="QLN1" s="657"/>
      <c r="QLO1" s="657"/>
      <c r="QLP1" s="657"/>
      <c r="QLQ1" s="657"/>
      <c r="QLR1" s="657"/>
      <c r="QLS1" s="657"/>
      <c r="QLT1" s="657"/>
      <c r="QLU1" s="657"/>
      <c r="QLV1" s="657"/>
      <c r="QLW1" s="657"/>
      <c r="QLX1" s="657"/>
      <c r="QLY1" s="657"/>
      <c r="QLZ1" s="657"/>
      <c r="QMA1" s="657"/>
      <c r="QMB1" s="657"/>
      <c r="QMC1" s="657"/>
      <c r="QMD1" s="657"/>
      <c r="QME1" s="657"/>
      <c r="QMF1" s="657"/>
      <c r="QMG1" s="657"/>
      <c r="QMH1" s="657"/>
      <c r="QMI1" s="657"/>
      <c r="QMJ1" s="657"/>
      <c r="QMK1" s="657"/>
      <c r="QML1" s="657"/>
      <c r="QMM1" s="657"/>
      <c r="QMN1" s="657"/>
      <c r="QMO1" s="657"/>
      <c r="QMP1" s="657"/>
      <c r="QMQ1" s="657"/>
      <c r="QMR1" s="657"/>
      <c r="QMS1" s="657"/>
      <c r="QMT1" s="657"/>
      <c r="QMU1" s="657"/>
      <c r="QMV1" s="657"/>
      <c r="QMW1" s="657"/>
      <c r="QMX1" s="657"/>
      <c r="QMY1" s="657"/>
      <c r="QMZ1" s="657"/>
      <c r="QNA1" s="657"/>
      <c r="QNB1" s="657"/>
      <c r="QNC1" s="657"/>
      <c r="QND1" s="657"/>
      <c r="QNE1" s="657"/>
      <c r="QNF1" s="657"/>
      <c r="QNG1" s="657"/>
      <c r="QNH1" s="657"/>
      <c r="QNI1" s="657"/>
      <c r="QNJ1" s="657"/>
      <c r="QNK1" s="657"/>
      <c r="QNL1" s="657"/>
      <c r="QNM1" s="657"/>
      <c r="QNN1" s="657"/>
      <c r="QNO1" s="657"/>
      <c r="QNP1" s="657"/>
      <c r="QNQ1" s="657"/>
      <c r="QNR1" s="657"/>
      <c r="QNS1" s="657"/>
      <c r="QNT1" s="657"/>
      <c r="QNU1" s="657"/>
      <c r="QNV1" s="657"/>
      <c r="QNW1" s="657"/>
      <c r="QNX1" s="657"/>
      <c r="QNY1" s="657"/>
      <c r="QNZ1" s="657"/>
      <c r="QOA1" s="657"/>
      <c r="QOB1" s="657"/>
      <c r="QOC1" s="657"/>
      <c r="QOD1" s="657"/>
      <c r="QOE1" s="657"/>
      <c r="QOF1" s="657"/>
      <c r="QOG1" s="657"/>
      <c r="QOH1" s="657"/>
      <c r="QOI1" s="657"/>
      <c r="QOJ1" s="657"/>
      <c r="QOK1" s="657"/>
      <c r="QOL1" s="657"/>
      <c r="QOM1" s="657"/>
      <c r="QON1" s="657"/>
      <c r="QOO1" s="657"/>
      <c r="QOP1" s="657"/>
      <c r="QOQ1" s="657"/>
      <c r="QOR1" s="657"/>
      <c r="QOS1" s="657"/>
      <c r="QOT1" s="657"/>
      <c r="QOU1" s="657"/>
      <c r="QOV1" s="657"/>
      <c r="QOW1" s="657"/>
      <c r="QOX1" s="657"/>
      <c r="QOY1" s="657"/>
      <c r="QOZ1" s="657"/>
      <c r="QPA1" s="657"/>
      <c r="QPB1" s="657"/>
      <c r="QPC1" s="657"/>
      <c r="QPD1" s="657"/>
      <c r="QPE1" s="657"/>
      <c r="QPF1" s="657"/>
      <c r="QPG1" s="657"/>
      <c r="QPH1" s="657"/>
      <c r="QPI1" s="657"/>
      <c r="QPJ1" s="657"/>
      <c r="QPK1" s="657"/>
      <c r="QPL1" s="657"/>
      <c r="QPM1" s="657"/>
      <c r="QPN1" s="657"/>
      <c r="QPO1" s="657"/>
      <c r="QPP1" s="657"/>
      <c r="QPQ1" s="657"/>
      <c r="QPR1" s="657"/>
      <c r="QPS1" s="657"/>
      <c r="QPT1" s="657"/>
      <c r="QPU1" s="657"/>
      <c r="QPV1" s="657"/>
      <c r="QPW1" s="657"/>
      <c r="QPX1" s="657"/>
      <c r="QPY1" s="657"/>
      <c r="QPZ1" s="657"/>
      <c r="QQA1" s="657"/>
      <c r="QQB1" s="657"/>
      <c r="QQC1" s="657"/>
      <c r="QQD1" s="657"/>
      <c r="QQE1" s="657"/>
      <c r="QQF1" s="657"/>
      <c r="QQG1" s="657"/>
      <c r="QQH1" s="657"/>
      <c r="QQI1" s="657"/>
      <c r="QQJ1" s="657"/>
      <c r="QQK1" s="657"/>
      <c r="QQL1" s="657"/>
      <c r="QQM1" s="657"/>
      <c r="QQN1" s="657"/>
      <c r="QQO1" s="657"/>
      <c r="QQP1" s="657"/>
      <c r="QQQ1" s="657"/>
      <c r="QQR1" s="657"/>
      <c r="QQS1" s="657"/>
      <c r="QQT1" s="657"/>
      <c r="QQU1" s="657"/>
      <c r="QQV1" s="657"/>
      <c r="QQW1" s="657"/>
      <c r="QQX1" s="657"/>
      <c r="QQY1" s="657"/>
      <c r="QQZ1" s="657"/>
      <c r="QRA1" s="657"/>
      <c r="QRB1" s="657"/>
      <c r="QRC1" s="657"/>
      <c r="QRD1" s="657"/>
      <c r="QRE1" s="657"/>
      <c r="QRF1" s="657"/>
      <c r="QRG1" s="657"/>
      <c r="QRH1" s="657"/>
      <c r="QRI1" s="657"/>
      <c r="QRJ1" s="657"/>
      <c r="QRK1" s="657"/>
      <c r="QRL1" s="657"/>
      <c r="QRM1" s="657"/>
      <c r="QRN1" s="657"/>
      <c r="QRO1" s="657"/>
      <c r="QRP1" s="657"/>
      <c r="QRQ1" s="657"/>
      <c r="QRR1" s="657"/>
      <c r="QRS1" s="657"/>
      <c r="QRT1" s="657"/>
      <c r="QRU1" s="657"/>
      <c r="QRV1" s="657"/>
      <c r="QRW1" s="657"/>
      <c r="QRX1" s="657"/>
      <c r="QRY1" s="657"/>
      <c r="QRZ1" s="657"/>
      <c r="QSA1" s="657"/>
      <c r="QSB1" s="657"/>
      <c r="QSC1" s="657"/>
      <c r="QSD1" s="657"/>
      <c r="QSE1" s="657"/>
      <c r="QSF1" s="657"/>
      <c r="QSG1" s="657"/>
      <c r="QSH1" s="657"/>
      <c r="QSI1" s="657"/>
      <c r="QSJ1" s="657"/>
      <c r="QSK1" s="657"/>
      <c r="QSL1" s="657"/>
      <c r="QSM1" s="657"/>
      <c r="QSN1" s="657"/>
      <c r="QSO1" s="657"/>
      <c r="QSP1" s="657"/>
      <c r="QSQ1" s="657"/>
      <c r="QSR1" s="657"/>
      <c r="QSS1" s="657"/>
      <c r="QST1" s="657"/>
      <c r="QSU1" s="657"/>
      <c r="QSV1" s="657"/>
      <c r="QSW1" s="657"/>
      <c r="QSX1" s="657"/>
      <c r="QSY1" s="657"/>
      <c r="QSZ1" s="657"/>
      <c r="QTA1" s="657"/>
      <c r="QTB1" s="657"/>
      <c r="QTC1" s="657"/>
      <c r="QTD1" s="657"/>
      <c r="QTE1" s="657"/>
      <c r="QTF1" s="657"/>
      <c r="QTG1" s="657"/>
      <c r="QTH1" s="657"/>
      <c r="QTI1" s="657"/>
      <c r="QTJ1" s="657"/>
      <c r="QTK1" s="657"/>
      <c r="QTL1" s="657"/>
      <c r="QTM1" s="657"/>
      <c r="QTN1" s="657"/>
      <c r="QTO1" s="657"/>
      <c r="QTP1" s="657"/>
      <c r="QTQ1" s="657"/>
      <c r="QTR1" s="657"/>
      <c r="QTS1" s="657"/>
      <c r="QTT1" s="657"/>
      <c r="QTU1" s="657"/>
      <c r="QTV1" s="657"/>
      <c r="QTW1" s="657"/>
      <c r="QTX1" s="657"/>
      <c r="QTY1" s="657"/>
      <c r="QTZ1" s="657"/>
      <c r="QUA1" s="657"/>
      <c r="QUB1" s="657"/>
      <c r="QUC1" s="657"/>
      <c r="QUD1" s="657"/>
      <c r="QUE1" s="657"/>
      <c r="QUF1" s="657"/>
      <c r="QUG1" s="657"/>
      <c r="QUH1" s="657"/>
      <c r="QUI1" s="657"/>
      <c r="QUJ1" s="657"/>
      <c r="QUK1" s="657"/>
      <c r="QUL1" s="657"/>
      <c r="QUM1" s="657"/>
      <c r="QUN1" s="657"/>
      <c r="QUO1" s="657"/>
      <c r="QUP1" s="657"/>
      <c r="QUQ1" s="657"/>
      <c r="QUR1" s="657"/>
      <c r="QUS1" s="657"/>
      <c r="QUT1" s="657"/>
      <c r="QUU1" s="657"/>
      <c r="QUV1" s="657"/>
      <c r="QUW1" s="657"/>
      <c r="QUX1" s="657"/>
      <c r="QUY1" s="657"/>
      <c r="QUZ1" s="657"/>
      <c r="QVA1" s="657"/>
      <c r="QVB1" s="657"/>
      <c r="QVC1" s="657"/>
      <c r="QVD1" s="657"/>
      <c r="QVE1" s="657"/>
      <c r="QVF1" s="657"/>
      <c r="QVG1" s="657"/>
      <c r="QVH1" s="657"/>
      <c r="QVI1" s="657"/>
      <c r="QVJ1" s="657"/>
      <c r="QVK1" s="657"/>
      <c r="QVL1" s="657"/>
      <c r="QVM1" s="657"/>
      <c r="QVN1" s="657"/>
      <c r="QVO1" s="657"/>
      <c r="QVP1" s="657"/>
      <c r="QVQ1" s="657"/>
      <c r="QVR1" s="657"/>
      <c r="QVS1" s="657"/>
      <c r="QVT1" s="657"/>
      <c r="QVU1" s="657"/>
      <c r="QVV1" s="657"/>
      <c r="QVW1" s="657"/>
      <c r="QVX1" s="657"/>
      <c r="QVY1" s="657"/>
      <c r="QVZ1" s="657"/>
      <c r="QWA1" s="657"/>
      <c r="QWB1" s="657"/>
      <c r="QWC1" s="657"/>
      <c r="QWD1" s="657"/>
      <c r="QWE1" s="657"/>
      <c r="QWF1" s="657"/>
      <c r="QWG1" s="657"/>
      <c r="QWH1" s="657"/>
      <c r="QWI1" s="657"/>
      <c r="QWJ1" s="657"/>
      <c r="QWK1" s="657"/>
      <c r="QWL1" s="657"/>
      <c r="QWM1" s="657"/>
      <c r="QWN1" s="657"/>
      <c r="QWO1" s="657"/>
      <c r="QWP1" s="657"/>
      <c r="QWQ1" s="657"/>
      <c r="QWR1" s="657"/>
      <c r="QWS1" s="657"/>
      <c r="QWT1" s="657"/>
      <c r="QWU1" s="657"/>
      <c r="QWV1" s="657"/>
      <c r="QWW1" s="657"/>
      <c r="QWX1" s="657"/>
      <c r="QWY1" s="657"/>
      <c r="QWZ1" s="657"/>
      <c r="QXA1" s="657"/>
      <c r="QXB1" s="657"/>
      <c r="QXC1" s="657"/>
      <c r="QXD1" s="657"/>
      <c r="QXE1" s="657"/>
      <c r="QXF1" s="657"/>
      <c r="QXG1" s="657"/>
      <c r="QXH1" s="657"/>
      <c r="QXI1" s="657"/>
      <c r="QXJ1" s="657"/>
      <c r="QXK1" s="657"/>
      <c r="QXL1" s="657"/>
      <c r="QXM1" s="657"/>
      <c r="QXN1" s="657"/>
      <c r="QXO1" s="657"/>
      <c r="QXP1" s="657"/>
      <c r="QXQ1" s="657"/>
      <c r="QXR1" s="657"/>
      <c r="QXS1" s="657"/>
      <c r="QXT1" s="657"/>
      <c r="QXU1" s="657"/>
      <c r="QXV1" s="657"/>
      <c r="QXW1" s="657"/>
      <c r="QXX1" s="657"/>
      <c r="QXY1" s="657"/>
      <c r="QXZ1" s="657"/>
      <c r="QYA1" s="657"/>
      <c r="QYB1" s="657"/>
      <c r="QYC1" s="657"/>
      <c r="QYD1" s="657"/>
      <c r="QYE1" s="657"/>
      <c r="QYF1" s="657"/>
      <c r="QYG1" s="657"/>
      <c r="QYH1" s="657"/>
      <c r="QYI1" s="657"/>
      <c r="QYJ1" s="657"/>
      <c r="QYK1" s="657"/>
      <c r="QYL1" s="657"/>
      <c r="QYM1" s="657"/>
      <c r="QYN1" s="657"/>
      <c r="QYO1" s="657"/>
      <c r="QYP1" s="657"/>
      <c r="QYQ1" s="657"/>
      <c r="QYR1" s="657"/>
      <c r="QYS1" s="657"/>
      <c r="QYT1" s="657"/>
      <c r="QYU1" s="657"/>
      <c r="QYV1" s="657"/>
      <c r="QYW1" s="657"/>
      <c r="QYX1" s="657"/>
      <c r="QYY1" s="657"/>
      <c r="QYZ1" s="657"/>
      <c r="QZA1" s="657"/>
      <c r="QZB1" s="657"/>
      <c r="QZC1" s="657"/>
      <c r="QZD1" s="657"/>
      <c r="QZE1" s="657"/>
      <c r="QZF1" s="657"/>
      <c r="QZG1" s="657"/>
      <c r="QZH1" s="657"/>
      <c r="QZI1" s="657"/>
      <c r="QZJ1" s="657"/>
      <c r="QZK1" s="657"/>
      <c r="QZL1" s="657"/>
      <c r="QZM1" s="657"/>
      <c r="QZN1" s="657"/>
      <c r="QZO1" s="657"/>
      <c r="QZP1" s="657"/>
      <c r="QZQ1" s="657"/>
      <c r="QZR1" s="657"/>
      <c r="QZS1" s="657"/>
      <c r="QZT1" s="657"/>
      <c r="QZU1" s="657"/>
      <c r="QZV1" s="657"/>
      <c r="QZW1" s="657"/>
      <c r="QZX1" s="657"/>
      <c r="QZY1" s="657"/>
      <c r="QZZ1" s="657"/>
      <c r="RAA1" s="657"/>
      <c r="RAB1" s="657"/>
      <c r="RAC1" s="657"/>
      <c r="RAD1" s="657"/>
      <c r="RAE1" s="657"/>
      <c r="RAF1" s="657"/>
      <c r="RAG1" s="657"/>
      <c r="RAH1" s="657"/>
      <c r="RAI1" s="657"/>
      <c r="RAJ1" s="657"/>
      <c r="RAK1" s="657"/>
      <c r="RAL1" s="657"/>
      <c r="RAM1" s="657"/>
      <c r="RAN1" s="657"/>
      <c r="RAO1" s="657"/>
      <c r="RAP1" s="657"/>
      <c r="RAQ1" s="657"/>
      <c r="RAR1" s="657"/>
      <c r="RAS1" s="657"/>
      <c r="RAT1" s="657"/>
      <c r="RAU1" s="657"/>
      <c r="RAV1" s="657"/>
      <c r="RAW1" s="657"/>
      <c r="RAX1" s="657"/>
      <c r="RAY1" s="657"/>
      <c r="RAZ1" s="657"/>
      <c r="RBA1" s="657"/>
      <c r="RBB1" s="657"/>
      <c r="RBC1" s="657"/>
      <c r="RBD1" s="657"/>
      <c r="RBE1" s="657"/>
      <c r="RBF1" s="657"/>
      <c r="RBG1" s="657"/>
      <c r="RBH1" s="657"/>
      <c r="RBI1" s="657"/>
      <c r="RBJ1" s="657"/>
      <c r="RBK1" s="657"/>
      <c r="RBL1" s="657"/>
      <c r="RBM1" s="657"/>
      <c r="RBN1" s="657"/>
      <c r="RBO1" s="657"/>
      <c r="RBP1" s="657"/>
      <c r="RBQ1" s="657"/>
      <c r="RBR1" s="657"/>
      <c r="RBS1" s="657"/>
      <c r="RBT1" s="657"/>
      <c r="RBU1" s="657"/>
      <c r="RBV1" s="657"/>
      <c r="RBW1" s="657"/>
      <c r="RBX1" s="657"/>
      <c r="RBY1" s="657"/>
      <c r="RBZ1" s="657"/>
      <c r="RCA1" s="657"/>
      <c r="RCB1" s="657"/>
      <c r="RCC1" s="657"/>
      <c r="RCD1" s="657"/>
      <c r="RCE1" s="657"/>
      <c r="RCF1" s="657"/>
      <c r="RCG1" s="657"/>
      <c r="RCH1" s="657"/>
      <c r="RCI1" s="657"/>
      <c r="RCJ1" s="657"/>
      <c r="RCK1" s="657"/>
      <c r="RCL1" s="657"/>
      <c r="RCM1" s="657"/>
      <c r="RCN1" s="657"/>
      <c r="RCO1" s="657"/>
      <c r="RCP1" s="657"/>
      <c r="RCQ1" s="657"/>
      <c r="RCR1" s="657"/>
      <c r="RCS1" s="657"/>
      <c r="RCT1" s="657"/>
      <c r="RCU1" s="657"/>
      <c r="RCV1" s="657"/>
      <c r="RCW1" s="657"/>
      <c r="RCX1" s="657"/>
      <c r="RCY1" s="657"/>
      <c r="RCZ1" s="657"/>
      <c r="RDA1" s="657"/>
      <c r="RDB1" s="657"/>
      <c r="RDC1" s="657"/>
      <c r="RDD1" s="657"/>
      <c r="RDE1" s="657"/>
      <c r="RDF1" s="657"/>
      <c r="RDG1" s="657"/>
      <c r="RDH1" s="657"/>
      <c r="RDI1" s="657"/>
      <c r="RDJ1" s="657"/>
      <c r="RDK1" s="657"/>
      <c r="RDL1" s="657"/>
      <c r="RDM1" s="657"/>
      <c r="RDN1" s="657"/>
      <c r="RDO1" s="657"/>
      <c r="RDP1" s="657"/>
      <c r="RDQ1" s="657"/>
      <c r="RDR1" s="657"/>
      <c r="RDS1" s="657"/>
      <c r="RDT1" s="657"/>
      <c r="RDU1" s="657"/>
      <c r="RDV1" s="657"/>
      <c r="RDW1" s="657"/>
      <c r="RDX1" s="657"/>
      <c r="RDY1" s="657"/>
      <c r="RDZ1" s="657"/>
      <c r="REA1" s="657"/>
      <c r="REB1" s="657"/>
      <c r="REC1" s="657"/>
      <c r="RED1" s="657"/>
      <c r="REE1" s="657"/>
      <c r="REF1" s="657"/>
      <c r="REG1" s="657"/>
      <c r="REH1" s="657"/>
      <c r="REI1" s="657"/>
      <c r="REJ1" s="657"/>
      <c r="REK1" s="657"/>
      <c r="REL1" s="657"/>
      <c r="REM1" s="657"/>
      <c r="REN1" s="657"/>
      <c r="REO1" s="657"/>
      <c r="REP1" s="657"/>
      <c r="REQ1" s="657"/>
      <c r="RER1" s="657"/>
      <c r="RES1" s="657"/>
      <c r="RET1" s="657"/>
      <c r="REU1" s="657"/>
      <c r="REV1" s="657"/>
      <c r="REW1" s="657"/>
      <c r="REX1" s="657"/>
      <c r="REY1" s="657"/>
      <c r="REZ1" s="657"/>
      <c r="RFA1" s="657"/>
      <c r="RFB1" s="657"/>
      <c r="RFC1" s="657"/>
      <c r="RFD1" s="657"/>
      <c r="RFE1" s="657"/>
      <c r="RFF1" s="657"/>
      <c r="RFG1" s="657"/>
      <c r="RFH1" s="657"/>
      <c r="RFI1" s="657"/>
      <c r="RFJ1" s="657"/>
      <c r="RFK1" s="657"/>
      <c r="RFL1" s="657"/>
      <c r="RFM1" s="657"/>
      <c r="RFN1" s="657"/>
      <c r="RFO1" s="657"/>
      <c r="RFP1" s="657"/>
      <c r="RFQ1" s="657"/>
      <c r="RFR1" s="657"/>
      <c r="RFS1" s="657"/>
      <c r="RFT1" s="657"/>
      <c r="RFU1" s="657"/>
      <c r="RFV1" s="657"/>
      <c r="RFW1" s="657"/>
      <c r="RFX1" s="657"/>
      <c r="RFY1" s="657"/>
      <c r="RFZ1" s="657"/>
      <c r="RGA1" s="657"/>
      <c r="RGB1" s="657"/>
      <c r="RGC1" s="657"/>
      <c r="RGD1" s="657"/>
      <c r="RGE1" s="657"/>
      <c r="RGF1" s="657"/>
      <c r="RGG1" s="657"/>
      <c r="RGH1" s="657"/>
      <c r="RGI1" s="657"/>
      <c r="RGJ1" s="657"/>
      <c r="RGK1" s="657"/>
      <c r="RGL1" s="657"/>
      <c r="RGM1" s="657"/>
      <c r="RGN1" s="657"/>
      <c r="RGO1" s="657"/>
      <c r="RGP1" s="657"/>
      <c r="RGQ1" s="657"/>
      <c r="RGR1" s="657"/>
      <c r="RGS1" s="657"/>
      <c r="RGT1" s="657"/>
      <c r="RGU1" s="657"/>
      <c r="RGV1" s="657"/>
      <c r="RGW1" s="657"/>
      <c r="RGX1" s="657"/>
      <c r="RGY1" s="657"/>
      <c r="RGZ1" s="657"/>
      <c r="RHA1" s="657"/>
      <c r="RHB1" s="657"/>
      <c r="RHC1" s="657"/>
      <c r="RHD1" s="657"/>
      <c r="RHE1" s="657"/>
      <c r="RHF1" s="657"/>
      <c r="RHG1" s="657"/>
      <c r="RHH1" s="657"/>
      <c r="RHI1" s="657"/>
      <c r="RHJ1" s="657"/>
      <c r="RHK1" s="657"/>
      <c r="RHL1" s="657"/>
      <c r="RHM1" s="657"/>
      <c r="RHN1" s="657"/>
      <c r="RHO1" s="657"/>
      <c r="RHP1" s="657"/>
      <c r="RHQ1" s="657"/>
      <c r="RHR1" s="657"/>
      <c r="RHS1" s="657"/>
      <c r="RHT1" s="657"/>
      <c r="RHU1" s="657"/>
      <c r="RHV1" s="657"/>
      <c r="RHW1" s="657"/>
      <c r="RHX1" s="657"/>
      <c r="RHY1" s="657"/>
      <c r="RHZ1" s="657"/>
      <c r="RIA1" s="657"/>
      <c r="RIB1" s="657"/>
      <c r="RIC1" s="657"/>
      <c r="RID1" s="657"/>
      <c r="RIE1" s="657"/>
      <c r="RIF1" s="657"/>
      <c r="RIG1" s="657"/>
      <c r="RIH1" s="657"/>
      <c r="RII1" s="657"/>
      <c r="RIJ1" s="657"/>
      <c r="RIK1" s="657"/>
      <c r="RIL1" s="657"/>
      <c r="RIM1" s="657"/>
      <c r="RIN1" s="657"/>
      <c r="RIO1" s="657"/>
      <c r="RIP1" s="657"/>
      <c r="RIQ1" s="657"/>
      <c r="RIR1" s="657"/>
      <c r="RIS1" s="657"/>
      <c r="RIT1" s="657"/>
      <c r="RIU1" s="657"/>
      <c r="RIV1" s="657"/>
      <c r="RIW1" s="657"/>
      <c r="RIX1" s="657"/>
      <c r="RIY1" s="657"/>
      <c r="RIZ1" s="657"/>
      <c r="RJA1" s="657"/>
      <c r="RJB1" s="657"/>
      <c r="RJC1" s="657"/>
      <c r="RJD1" s="657"/>
      <c r="RJE1" s="657"/>
      <c r="RJF1" s="657"/>
      <c r="RJG1" s="657"/>
      <c r="RJH1" s="657"/>
      <c r="RJI1" s="657"/>
      <c r="RJJ1" s="657"/>
      <c r="RJK1" s="657"/>
      <c r="RJL1" s="657"/>
      <c r="RJM1" s="657"/>
      <c r="RJN1" s="657"/>
      <c r="RJO1" s="657"/>
      <c r="RJP1" s="657"/>
      <c r="RJQ1" s="657"/>
      <c r="RJR1" s="657"/>
      <c r="RJS1" s="657"/>
      <c r="RJT1" s="657"/>
      <c r="RJU1" s="657"/>
      <c r="RJV1" s="657"/>
      <c r="RJW1" s="657"/>
      <c r="RJX1" s="657"/>
      <c r="RJY1" s="657"/>
      <c r="RJZ1" s="657"/>
      <c r="RKA1" s="657"/>
      <c r="RKB1" s="657"/>
      <c r="RKC1" s="657"/>
      <c r="RKD1" s="657"/>
      <c r="RKE1" s="657"/>
      <c r="RKF1" s="657"/>
      <c r="RKG1" s="657"/>
      <c r="RKH1" s="657"/>
      <c r="RKI1" s="657"/>
      <c r="RKJ1" s="657"/>
      <c r="RKK1" s="657"/>
      <c r="RKL1" s="657"/>
      <c r="RKM1" s="657"/>
      <c r="RKN1" s="657"/>
      <c r="RKO1" s="657"/>
      <c r="RKP1" s="657"/>
      <c r="RKQ1" s="657"/>
      <c r="RKR1" s="657"/>
      <c r="RKS1" s="657"/>
      <c r="RKT1" s="657"/>
      <c r="RKU1" s="657"/>
      <c r="RKV1" s="657"/>
      <c r="RKW1" s="657"/>
      <c r="RKX1" s="657"/>
      <c r="RKY1" s="657"/>
      <c r="RKZ1" s="657"/>
      <c r="RLA1" s="657"/>
      <c r="RLB1" s="657"/>
      <c r="RLC1" s="657"/>
      <c r="RLD1" s="657"/>
      <c r="RLE1" s="657"/>
      <c r="RLF1" s="657"/>
      <c r="RLG1" s="657"/>
      <c r="RLH1" s="657"/>
      <c r="RLI1" s="657"/>
      <c r="RLJ1" s="657"/>
      <c r="RLK1" s="657"/>
      <c r="RLL1" s="657"/>
      <c r="RLM1" s="657"/>
      <c r="RLN1" s="657"/>
      <c r="RLO1" s="657"/>
      <c r="RLP1" s="657"/>
      <c r="RLQ1" s="657"/>
      <c r="RLR1" s="657"/>
      <c r="RLS1" s="657"/>
      <c r="RLT1" s="657"/>
      <c r="RLU1" s="657"/>
      <c r="RLV1" s="657"/>
      <c r="RLW1" s="657"/>
      <c r="RLX1" s="657"/>
      <c r="RLY1" s="657"/>
      <c r="RLZ1" s="657"/>
      <c r="RMA1" s="657"/>
      <c r="RMB1" s="657"/>
      <c r="RMC1" s="657"/>
      <c r="RMD1" s="657"/>
      <c r="RME1" s="657"/>
      <c r="RMF1" s="657"/>
      <c r="RMG1" s="657"/>
      <c r="RMH1" s="657"/>
      <c r="RMI1" s="657"/>
      <c r="RMJ1" s="657"/>
      <c r="RMK1" s="657"/>
      <c r="RML1" s="657"/>
      <c r="RMM1" s="657"/>
      <c r="RMN1" s="657"/>
      <c r="RMO1" s="657"/>
      <c r="RMP1" s="657"/>
      <c r="RMQ1" s="657"/>
      <c r="RMR1" s="657"/>
      <c r="RMS1" s="657"/>
      <c r="RMT1" s="657"/>
      <c r="RMU1" s="657"/>
      <c r="RMV1" s="657"/>
      <c r="RMW1" s="657"/>
      <c r="RMX1" s="657"/>
      <c r="RMY1" s="657"/>
      <c r="RMZ1" s="657"/>
      <c r="RNA1" s="657"/>
      <c r="RNB1" s="657"/>
      <c r="RNC1" s="657"/>
      <c r="RND1" s="657"/>
      <c r="RNE1" s="657"/>
      <c r="RNF1" s="657"/>
      <c r="RNG1" s="657"/>
      <c r="RNH1" s="657"/>
      <c r="RNI1" s="657"/>
      <c r="RNJ1" s="657"/>
      <c r="RNK1" s="657"/>
      <c r="RNL1" s="657"/>
      <c r="RNM1" s="657"/>
      <c r="RNN1" s="657"/>
      <c r="RNO1" s="657"/>
      <c r="RNP1" s="657"/>
      <c r="RNQ1" s="657"/>
      <c r="RNR1" s="657"/>
      <c r="RNS1" s="657"/>
      <c r="RNT1" s="657"/>
      <c r="RNU1" s="657"/>
      <c r="RNV1" s="657"/>
      <c r="RNW1" s="657"/>
      <c r="RNX1" s="657"/>
      <c r="RNY1" s="657"/>
      <c r="RNZ1" s="657"/>
      <c r="ROA1" s="657"/>
      <c r="ROB1" s="657"/>
      <c r="ROC1" s="657"/>
      <c r="ROD1" s="657"/>
      <c r="ROE1" s="657"/>
      <c r="ROF1" s="657"/>
      <c r="ROG1" s="657"/>
      <c r="ROH1" s="657"/>
      <c r="ROI1" s="657"/>
      <c r="ROJ1" s="657"/>
      <c r="ROK1" s="657"/>
      <c r="ROL1" s="657"/>
      <c r="ROM1" s="657"/>
      <c r="RON1" s="657"/>
      <c r="ROO1" s="657"/>
      <c r="ROP1" s="657"/>
      <c r="ROQ1" s="657"/>
      <c r="ROR1" s="657"/>
      <c r="ROS1" s="657"/>
      <c r="ROT1" s="657"/>
      <c r="ROU1" s="657"/>
      <c r="ROV1" s="657"/>
      <c r="ROW1" s="657"/>
      <c r="ROX1" s="657"/>
      <c r="ROY1" s="657"/>
      <c r="ROZ1" s="657"/>
      <c r="RPA1" s="657"/>
      <c r="RPB1" s="657"/>
      <c r="RPC1" s="657"/>
      <c r="RPD1" s="657"/>
      <c r="RPE1" s="657"/>
      <c r="RPF1" s="657"/>
      <c r="RPG1" s="657"/>
      <c r="RPH1" s="657"/>
      <c r="RPI1" s="657"/>
      <c r="RPJ1" s="657"/>
      <c r="RPK1" s="657"/>
      <c r="RPL1" s="657"/>
      <c r="RPM1" s="657"/>
      <c r="RPN1" s="657"/>
      <c r="RPO1" s="657"/>
      <c r="RPP1" s="657"/>
      <c r="RPQ1" s="657"/>
      <c r="RPR1" s="657"/>
      <c r="RPS1" s="657"/>
      <c r="RPT1" s="657"/>
      <c r="RPU1" s="657"/>
      <c r="RPV1" s="657"/>
      <c r="RPW1" s="657"/>
      <c r="RPX1" s="657"/>
      <c r="RPY1" s="657"/>
      <c r="RPZ1" s="657"/>
      <c r="RQA1" s="657"/>
      <c r="RQB1" s="657"/>
      <c r="RQC1" s="657"/>
      <c r="RQD1" s="657"/>
      <c r="RQE1" s="657"/>
      <c r="RQF1" s="657"/>
      <c r="RQG1" s="657"/>
      <c r="RQH1" s="657"/>
      <c r="RQI1" s="657"/>
      <c r="RQJ1" s="657"/>
      <c r="RQK1" s="657"/>
      <c r="RQL1" s="657"/>
      <c r="RQM1" s="657"/>
      <c r="RQN1" s="657"/>
      <c r="RQO1" s="657"/>
      <c r="RQP1" s="657"/>
      <c r="RQQ1" s="657"/>
      <c r="RQR1" s="657"/>
      <c r="RQS1" s="657"/>
      <c r="RQT1" s="657"/>
      <c r="RQU1" s="657"/>
      <c r="RQV1" s="657"/>
      <c r="RQW1" s="657"/>
      <c r="RQX1" s="657"/>
      <c r="RQY1" s="657"/>
      <c r="RQZ1" s="657"/>
      <c r="RRA1" s="657"/>
      <c r="RRB1" s="657"/>
      <c r="RRC1" s="657"/>
      <c r="RRD1" s="657"/>
      <c r="RRE1" s="657"/>
      <c r="RRF1" s="657"/>
      <c r="RRG1" s="657"/>
      <c r="RRH1" s="657"/>
      <c r="RRI1" s="657"/>
      <c r="RRJ1" s="657"/>
      <c r="RRK1" s="657"/>
      <c r="RRL1" s="657"/>
      <c r="RRM1" s="657"/>
      <c r="RRN1" s="657"/>
      <c r="RRO1" s="657"/>
      <c r="RRP1" s="657"/>
      <c r="RRQ1" s="657"/>
      <c r="RRR1" s="657"/>
      <c r="RRS1" s="657"/>
      <c r="RRT1" s="657"/>
      <c r="RRU1" s="657"/>
      <c r="RRV1" s="657"/>
      <c r="RRW1" s="657"/>
      <c r="RRX1" s="657"/>
      <c r="RRY1" s="657"/>
      <c r="RRZ1" s="657"/>
      <c r="RSA1" s="657"/>
      <c r="RSB1" s="657"/>
      <c r="RSC1" s="657"/>
      <c r="RSD1" s="657"/>
      <c r="RSE1" s="657"/>
      <c r="RSF1" s="657"/>
      <c r="RSG1" s="657"/>
      <c r="RSH1" s="657"/>
      <c r="RSI1" s="657"/>
      <c r="RSJ1" s="657"/>
      <c r="RSK1" s="657"/>
      <c r="RSL1" s="657"/>
      <c r="RSM1" s="657"/>
      <c r="RSN1" s="657"/>
      <c r="RSO1" s="657"/>
      <c r="RSP1" s="657"/>
      <c r="RSQ1" s="657"/>
      <c r="RSR1" s="657"/>
      <c r="RSS1" s="657"/>
      <c r="RST1" s="657"/>
      <c r="RSU1" s="657"/>
      <c r="RSV1" s="657"/>
      <c r="RSW1" s="657"/>
      <c r="RSX1" s="657"/>
      <c r="RSY1" s="657"/>
      <c r="RSZ1" s="657"/>
      <c r="RTA1" s="657"/>
      <c r="RTB1" s="657"/>
      <c r="RTC1" s="657"/>
      <c r="RTD1" s="657"/>
      <c r="RTE1" s="657"/>
      <c r="RTF1" s="657"/>
      <c r="RTG1" s="657"/>
      <c r="RTH1" s="657"/>
      <c r="RTI1" s="657"/>
      <c r="RTJ1" s="657"/>
      <c r="RTK1" s="657"/>
      <c r="RTL1" s="657"/>
      <c r="RTM1" s="657"/>
      <c r="RTN1" s="657"/>
      <c r="RTO1" s="657"/>
      <c r="RTP1" s="657"/>
      <c r="RTQ1" s="657"/>
      <c r="RTR1" s="657"/>
      <c r="RTS1" s="657"/>
      <c r="RTT1" s="657"/>
      <c r="RTU1" s="657"/>
      <c r="RTV1" s="657"/>
      <c r="RTW1" s="657"/>
      <c r="RTX1" s="657"/>
      <c r="RTY1" s="657"/>
      <c r="RTZ1" s="657"/>
      <c r="RUA1" s="657"/>
      <c r="RUB1" s="657"/>
      <c r="RUC1" s="657"/>
      <c r="RUD1" s="657"/>
      <c r="RUE1" s="657"/>
      <c r="RUF1" s="657"/>
      <c r="RUG1" s="657"/>
      <c r="RUH1" s="657"/>
      <c r="RUI1" s="657"/>
      <c r="RUJ1" s="657"/>
      <c r="RUK1" s="657"/>
      <c r="RUL1" s="657"/>
      <c r="RUM1" s="657"/>
      <c r="RUN1" s="657"/>
      <c r="RUO1" s="657"/>
      <c r="RUP1" s="657"/>
      <c r="RUQ1" s="657"/>
      <c r="RUR1" s="657"/>
      <c r="RUS1" s="657"/>
      <c r="RUT1" s="657"/>
      <c r="RUU1" s="657"/>
      <c r="RUV1" s="657"/>
      <c r="RUW1" s="657"/>
      <c r="RUX1" s="657"/>
      <c r="RUY1" s="657"/>
      <c r="RUZ1" s="657"/>
      <c r="RVA1" s="657"/>
      <c r="RVB1" s="657"/>
      <c r="RVC1" s="657"/>
      <c r="RVD1" s="657"/>
      <c r="RVE1" s="657"/>
      <c r="RVF1" s="657"/>
      <c r="RVG1" s="657"/>
      <c r="RVH1" s="657"/>
      <c r="RVI1" s="657"/>
      <c r="RVJ1" s="657"/>
      <c r="RVK1" s="657"/>
      <c r="RVL1" s="657"/>
      <c r="RVM1" s="657"/>
      <c r="RVN1" s="657"/>
      <c r="RVO1" s="657"/>
      <c r="RVP1" s="657"/>
      <c r="RVQ1" s="657"/>
      <c r="RVR1" s="657"/>
      <c r="RVS1" s="657"/>
      <c r="RVT1" s="657"/>
      <c r="RVU1" s="657"/>
      <c r="RVV1" s="657"/>
      <c r="RVW1" s="657"/>
      <c r="RVX1" s="657"/>
      <c r="RVY1" s="657"/>
      <c r="RVZ1" s="657"/>
      <c r="RWA1" s="657"/>
      <c r="RWB1" s="657"/>
      <c r="RWC1" s="657"/>
      <c r="RWD1" s="657"/>
      <c r="RWE1" s="657"/>
      <c r="RWF1" s="657"/>
      <c r="RWG1" s="657"/>
      <c r="RWH1" s="657"/>
      <c r="RWI1" s="657"/>
      <c r="RWJ1" s="657"/>
      <c r="RWK1" s="657"/>
      <c r="RWL1" s="657"/>
      <c r="RWM1" s="657"/>
      <c r="RWN1" s="657"/>
      <c r="RWO1" s="657"/>
      <c r="RWP1" s="657"/>
      <c r="RWQ1" s="657"/>
      <c r="RWR1" s="657"/>
      <c r="RWS1" s="657"/>
      <c r="RWT1" s="657"/>
      <c r="RWU1" s="657"/>
      <c r="RWV1" s="657"/>
      <c r="RWW1" s="657"/>
      <c r="RWX1" s="657"/>
      <c r="RWY1" s="657"/>
      <c r="RWZ1" s="657"/>
      <c r="RXA1" s="657"/>
      <c r="RXB1" s="657"/>
      <c r="RXC1" s="657"/>
      <c r="RXD1" s="657"/>
      <c r="RXE1" s="657"/>
      <c r="RXF1" s="657"/>
      <c r="RXG1" s="657"/>
      <c r="RXH1" s="657"/>
      <c r="RXI1" s="657"/>
      <c r="RXJ1" s="657"/>
      <c r="RXK1" s="657"/>
      <c r="RXL1" s="657"/>
      <c r="RXM1" s="657"/>
      <c r="RXN1" s="657"/>
      <c r="RXO1" s="657"/>
      <c r="RXP1" s="657"/>
      <c r="RXQ1" s="657"/>
      <c r="RXR1" s="657"/>
      <c r="RXS1" s="657"/>
      <c r="RXT1" s="657"/>
      <c r="RXU1" s="657"/>
      <c r="RXV1" s="657"/>
      <c r="RXW1" s="657"/>
      <c r="RXX1" s="657"/>
      <c r="RXY1" s="657"/>
      <c r="RXZ1" s="657"/>
      <c r="RYA1" s="657"/>
      <c r="RYB1" s="657"/>
      <c r="RYC1" s="657"/>
      <c r="RYD1" s="657"/>
      <c r="RYE1" s="657"/>
      <c r="RYF1" s="657"/>
      <c r="RYG1" s="657"/>
      <c r="RYH1" s="657"/>
      <c r="RYI1" s="657"/>
      <c r="RYJ1" s="657"/>
      <c r="RYK1" s="657"/>
      <c r="RYL1" s="657"/>
      <c r="RYM1" s="657"/>
      <c r="RYN1" s="657"/>
      <c r="RYO1" s="657"/>
      <c r="RYP1" s="657"/>
      <c r="RYQ1" s="657"/>
      <c r="RYR1" s="657"/>
      <c r="RYS1" s="657"/>
      <c r="RYT1" s="657"/>
      <c r="RYU1" s="657"/>
      <c r="RYV1" s="657"/>
      <c r="RYW1" s="657"/>
      <c r="RYX1" s="657"/>
      <c r="RYY1" s="657"/>
      <c r="RYZ1" s="657"/>
      <c r="RZA1" s="657"/>
      <c r="RZB1" s="657"/>
      <c r="RZC1" s="657"/>
      <c r="RZD1" s="657"/>
      <c r="RZE1" s="657"/>
      <c r="RZF1" s="657"/>
      <c r="RZG1" s="657"/>
      <c r="RZH1" s="657"/>
      <c r="RZI1" s="657"/>
      <c r="RZJ1" s="657"/>
      <c r="RZK1" s="657"/>
      <c r="RZL1" s="657"/>
      <c r="RZM1" s="657"/>
      <c r="RZN1" s="657"/>
      <c r="RZO1" s="657"/>
      <c r="RZP1" s="657"/>
      <c r="RZQ1" s="657"/>
      <c r="RZR1" s="657"/>
      <c r="RZS1" s="657"/>
      <c r="RZT1" s="657"/>
      <c r="RZU1" s="657"/>
      <c r="RZV1" s="657"/>
      <c r="RZW1" s="657"/>
      <c r="RZX1" s="657"/>
      <c r="RZY1" s="657"/>
      <c r="RZZ1" s="657"/>
      <c r="SAA1" s="657"/>
      <c r="SAB1" s="657"/>
      <c r="SAC1" s="657"/>
      <c r="SAD1" s="657"/>
      <c r="SAE1" s="657"/>
      <c r="SAF1" s="657"/>
      <c r="SAG1" s="657"/>
      <c r="SAH1" s="657"/>
      <c r="SAI1" s="657"/>
      <c r="SAJ1" s="657"/>
      <c r="SAK1" s="657"/>
      <c r="SAL1" s="657"/>
      <c r="SAM1" s="657"/>
      <c r="SAN1" s="657"/>
      <c r="SAO1" s="657"/>
      <c r="SAP1" s="657"/>
      <c r="SAQ1" s="657"/>
      <c r="SAR1" s="657"/>
      <c r="SAS1" s="657"/>
      <c r="SAT1" s="657"/>
      <c r="SAU1" s="657"/>
      <c r="SAV1" s="657"/>
      <c r="SAW1" s="657"/>
      <c r="SAX1" s="657"/>
      <c r="SAY1" s="657"/>
      <c r="SAZ1" s="657"/>
      <c r="SBA1" s="657"/>
      <c r="SBB1" s="657"/>
      <c r="SBC1" s="657"/>
      <c r="SBD1" s="657"/>
      <c r="SBE1" s="657"/>
      <c r="SBF1" s="657"/>
      <c r="SBG1" s="657"/>
      <c r="SBH1" s="657"/>
      <c r="SBI1" s="657"/>
      <c r="SBJ1" s="657"/>
      <c r="SBK1" s="657"/>
      <c r="SBL1" s="657"/>
      <c r="SBM1" s="657"/>
      <c r="SBN1" s="657"/>
      <c r="SBO1" s="657"/>
      <c r="SBP1" s="657"/>
      <c r="SBQ1" s="657"/>
      <c r="SBR1" s="657"/>
      <c r="SBS1" s="657"/>
      <c r="SBT1" s="657"/>
      <c r="SBU1" s="657"/>
      <c r="SBV1" s="657"/>
      <c r="SBW1" s="657"/>
      <c r="SBX1" s="657"/>
      <c r="SBY1" s="657"/>
      <c r="SBZ1" s="657"/>
      <c r="SCA1" s="657"/>
      <c r="SCB1" s="657"/>
      <c r="SCC1" s="657"/>
      <c r="SCD1" s="657"/>
      <c r="SCE1" s="657"/>
      <c r="SCF1" s="657"/>
      <c r="SCG1" s="657"/>
      <c r="SCH1" s="657"/>
      <c r="SCI1" s="657"/>
      <c r="SCJ1" s="657"/>
      <c r="SCK1" s="657"/>
      <c r="SCL1" s="657"/>
      <c r="SCM1" s="657"/>
      <c r="SCN1" s="657"/>
      <c r="SCO1" s="657"/>
      <c r="SCP1" s="657"/>
      <c r="SCQ1" s="657"/>
      <c r="SCR1" s="657"/>
      <c r="SCS1" s="657"/>
      <c r="SCT1" s="657"/>
      <c r="SCU1" s="657"/>
      <c r="SCV1" s="657"/>
      <c r="SCW1" s="657"/>
      <c r="SCX1" s="657"/>
      <c r="SCY1" s="657"/>
      <c r="SCZ1" s="657"/>
      <c r="SDA1" s="657"/>
      <c r="SDB1" s="657"/>
      <c r="SDC1" s="657"/>
      <c r="SDD1" s="657"/>
      <c r="SDE1" s="657"/>
      <c r="SDF1" s="657"/>
      <c r="SDG1" s="657"/>
      <c r="SDH1" s="657"/>
      <c r="SDI1" s="657"/>
      <c r="SDJ1" s="657"/>
      <c r="SDK1" s="657"/>
      <c r="SDL1" s="657"/>
      <c r="SDM1" s="657"/>
      <c r="SDN1" s="657"/>
      <c r="SDO1" s="657"/>
      <c r="SDP1" s="657"/>
      <c r="SDQ1" s="657"/>
      <c r="SDR1" s="657"/>
      <c r="SDS1" s="657"/>
      <c r="SDT1" s="657"/>
      <c r="SDU1" s="657"/>
      <c r="SDV1" s="657"/>
      <c r="SDW1" s="657"/>
      <c r="SDX1" s="657"/>
      <c r="SDY1" s="657"/>
      <c r="SDZ1" s="657"/>
      <c r="SEA1" s="657"/>
      <c r="SEB1" s="657"/>
      <c r="SEC1" s="657"/>
      <c r="SED1" s="657"/>
      <c r="SEE1" s="657"/>
      <c r="SEF1" s="657"/>
      <c r="SEG1" s="657"/>
      <c r="SEH1" s="657"/>
      <c r="SEI1" s="657"/>
      <c r="SEJ1" s="657"/>
      <c r="SEK1" s="657"/>
      <c r="SEL1" s="657"/>
      <c r="SEM1" s="657"/>
      <c r="SEN1" s="657"/>
      <c r="SEO1" s="657"/>
      <c r="SEP1" s="657"/>
      <c r="SEQ1" s="657"/>
      <c r="SER1" s="657"/>
      <c r="SES1" s="657"/>
      <c r="SET1" s="657"/>
      <c r="SEU1" s="657"/>
      <c r="SEV1" s="657"/>
      <c r="SEW1" s="657"/>
      <c r="SEX1" s="657"/>
      <c r="SEY1" s="657"/>
      <c r="SEZ1" s="657"/>
      <c r="SFA1" s="657"/>
      <c r="SFB1" s="657"/>
      <c r="SFC1" s="657"/>
      <c r="SFD1" s="657"/>
      <c r="SFE1" s="657"/>
      <c r="SFF1" s="657"/>
      <c r="SFG1" s="657"/>
      <c r="SFH1" s="657"/>
      <c r="SFI1" s="657"/>
      <c r="SFJ1" s="657"/>
      <c r="SFK1" s="657"/>
      <c r="SFL1" s="657"/>
      <c r="SFM1" s="657"/>
      <c r="SFN1" s="657"/>
      <c r="SFO1" s="657"/>
      <c r="SFP1" s="657"/>
      <c r="SFQ1" s="657"/>
      <c r="SFR1" s="657"/>
      <c r="SFS1" s="657"/>
      <c r="SFT1" s="657"/>
      <c r="SFU1" s="657"/>
      <c r="SFV1" s="657"/>
      <c r="SFW1" s="657"/>
      <c r="SFX1" s="657"/>
      <c r="SFY1" s="657"/>
      <c r="SFZ1" s="657"/>
      <c r="SGA1" s="657"/>
      <c r="SGB1" s="657"/>
      <c r="SGC1" s="657"/>
      <c r="SGD1" s="657"/>
      <c r="SGE1" s="657"/>
      <c r="SGF1" s="657"/>
      <c r="SGG1" s="657"/>
      <c r="SGH1" s="657"/>
      <c r="SGI1" s="657"/>
      <c r="SGJ1" s="657"/>
      <c r="SGK1" s="657"/>
      <c r="SGL1" s="657"/>
      <c r="SGM1" s="657"/>
      <c r="SGN1" s="657"/>
      <c r="SGO1" s="657"/>
      <c r="SGP1" s="657"/>
      <c r="SGQ1" s="657"/>
      <c r="SGR1" s="657"/>
      <c r="SGS1" s="657"/>
      <c r="SGT1" s="657"/>
      <c r="SGU1" s="657"/>
      <c r="SGV1" s="657"/>
      <c r="SGW1" s="657"/>
      <c r="SGX1" s="657"/>
      <c r="SGY1" s="657"/>
      <c r="SGZ1" s="657"/>
      <c r="SHA1" s="657"/>
      <c r="SHB1" s="657"/>
      <c r="SHC1" s="657"/>
      <c r="SHD1" s="657"/>
      <c r="SHE1" s="657"/>
      <c r="SHF1" s="657"/>
      <c r="SHG1" s="657"/>
      <c r="SHH1" s="657"/>
      <c r="SHI1" s="657"/>
      <c r="SHJ1" s="657"/>
      <c r="SHK1" s="657"/>
      <c r="SHL1" s="657"/>
      <c r="SHM1" s="657"/>
      <c r="SHN1" s="657"/>
      <c r="SHO1" s="657"/>
      <c r="SHP1" s="657"/>
      <c r="SHQ1" s="657"/>
      <c r="SHR1" s="657"/>
      <c r="SHS1" s="657"/>
      <c r="SHT1" s="657"/>
      <c r="SHU1" s="657"/>
      <c r="SHV1" s="657"/>
      <c r="SHW1" s="657"/>
      <c r="SHX1" s="657"/>
      <c r="SHY1" s="657"/>
      <c r="SHZ1" s="657"/>
      <c r="SIA1" s="657"/>
      <c r="SIB1" s="657"/>
      <c r="SIC1" s="657"/>
      <c r="SID1" s="657"/>
      <c r="SIE1" s="657"/>
      <c r="SIF1" s="657"/>
      <c r="SIG1" s="657"/>
      <c r="SIH1" s="657"/>
      <c r="SII1" s="657"/>
      <c r="SIJ1" s="657"/>
      <c r="SIK1" s="657"/>
      <c r="SIL1" s="657"/>
      <c r="SIM1" s="657"/>
      <c r="SIN1" s="657"/>
      <c r="SIO1" s="657"/>
      <c r="SIP1" s="657"/>
      <c r="SIQ1" s="657"/>
      <c r="SIR1" s="657"/>
      <c r="SIS1" s="657"/>
      <c r="SIT1" s="657"/>
      <c r="SIU1" s="657"/>
      <c r="SIV1" s="657"/>
      <c r="SIW1" s="657"/>
      <c r="SIX1" s="657"/>
      <c r="SIY1" s="657"/>
      <c r="SIZ1" s="657"/>
      <c r="SJA1" s="657"/>
      <c r="SJB1" s="657"/>
      <c r="SJC1" s="657"/>
      <c r="SJD1" s="657"/>
      <c r="SJE1" s="657"/>
      <c r="SJF1" s="657"/>
      <c r="SJG1" s="657"/>
      <c r="SJH1" s="657"/>
      <c r="SJI1" s="657"/>
      <c r="SJJ1" s="657"/>
      <c r="SJK1" s="657"/>
      <c r="SJL1" s="657"/>
      <c r="SJM1" s="657"/>
      <c r="SJN1" s="657"/>
      <c r="SJO1" s="657"/>
      <c r="SJP1" s="657"/>
      <c r="SJQ1" s="657"/>
      <c r="SJR1" s="657"/>
      <c r="SJS1" s="657"/>
      <c r="SJT1" s="657"/>
      <c r="SJU1" s="657"/>
      <c r="SJV1" s="657"/>
      <c r="SJW1" s="657"/>
      <c r="SJX1" s="657"/>
      <c r="SJY1" s="657"/>
      <c r="SJZ1" s="657"/>
      <c r="SKA1" s="657"/>
      <c r="SKB1" s="657"/>
      <c r="SKC1" s="657"/>
      <c r="SKD1" s="657"/>
      <c r="SKE1" s="657"/>
      <c r="SKF1" s="657"/>
      <c r="SKG1" s="657"/>
      <c r="SKH1" s="657"/>
      <c r="SKI1" s="657"/>
      <c r="SKJ1" s="657"/>
      <c r="SKK1" s="657"/>
      <c r="SKL1" s="657"/>
      <c r="SKM1" s="657"/>
      <c r="SKN1" s="657"/>
      <c r="SKO1" s="657"/>
      <c r="SKP1" s="657"/>
      <c r="SKQ1" s="657"/>
      <c r="SKR1" s="657"/>
      <c r="SKS1" s="657"/>
      <c r="SKT1" s="657"/>
      <c r="SKU1" s="657"/>
      <c r="SKV1" s="657"/>
      <c r="SKW1" s="657"/>
      <c r="SKX1" s="657"/>
      <c r="SKY1" s="657"/>
      <c r="SKZ1" s="657"/>
      <c r="SLA1" s="657"/>
      <c r="SLB1" s="657"/>
      <c r="SLC1" s="657"/>
      <c r="SLD1" s="657"/>
      <c r="SLE1" s="657"/>
      <c r="SLF1" s="657"/>
      <c r="SLG1" s="657"/>
      <c r="SLH1" s="657"/>
      <c r="SLI1" s="657"/>
      <c r="SLJ1" s="657"/>
      <c r="SLK1" s="657"/>
      <c r="SLL1" s="657"/>
      <c r="SLM1" s="657"/>
      <c r="SLN1" s="657"/>
      <c r="SLO1" s="657"/>
      <c r="SLP1" s="657"/>
      <c r="SLQ1" s="657"/>
      <c r="SLR1" s="657"/>
      <c r="SLS1" s="657"/>
      <c r="SLT1" s="657"/>
      <c r="SLU1" s="657"/>
      <c r="SLV1" s="657"/>
      <c r="SLW1" s="657"/>
      <c r="SLX1" s="657"/>
      <c r="SLY1" s="657"/>
      <c r="SLZ1" s="657"/>
      <c r="SMA1" s="657"/>
      <c r="SMB1" s="657"/>
      <c r="SMC1" s="657"/>
      <c r="SMD1" s="657"/>
      <c r="SME1" s="657"/>
      <c r="SMF1" s="657"/>
      <c r="SMG1" s="657"/>
      <c r="SMH1" s="657"/>
      <c r="SMI1" s="657"/>
      <c r="SMJ1" s="657"/>
      <c r="SMK1" s="657"/>
      <c r="SML1" s="657"/>
      <c r="SMM1" s="657"/>
      <c r="SMN1" s="657"/>
      <c r="SMO1" s="657"/>
      <c r="SMP1" s="657"/>
      <c r="SMQ1" s="657"/>
      <c r="SMR1" s="657"/>
      <c r="SMS1" s="657"/>
      <c r="SMT1" s="657"/>
      <c r="SMU1" s="657"/>
      <c r="SMV1" s="657"/>
      <c r="SMW1" s="657"/>
      <c r="SMX1" s="657"/>
      <c r="SMY1" s="657"/>
      <c r="SMZ1" s="657"/>
      <c r="SNA1" s="657"/>
      <c r="SNB1" s="657"/>
      <c r="SNC1" s="657"/>
      <c r="SND1" s="657"/>
      <c r="SNE1" s="657"/>
      <c r="SNF1" s="657"/>
      <c r="SNG1" s="657"/>
      <c r="SNH1" s="657"/>
      <c r="SNI1" s="657"/>
      <c r="SNJ1" s="657"/>
      <c r="SNK1" s="657"/>
      <c r="SNL1" s="657"/>
      <c r="SNM1" s="657"/>
      <c r="SNN1" s="657"/>
      <c r="SNO1" s="657"/>
      <c r="SNP1" s="657"/>
      <c r="SNQ1" s="657"/>
      <c r="SNR1" s="657"/>
      <c r="SNS1" s="657"/>
      <c r="SNT1" s="657"/>
      <c r="SNU1" s="657"/>
      <c r="SNV1" s="657"/>
      <c r="SNW1" s="657"/>
      <c r="SNX1" s="657"/>
      <c r="SNY1" s="657"/>
      <c r="SNZ1" s="657"/>
      <c r="SOA1" s="657"/>
      <c r="SOB1" s="657"/>
      <c r="SOC1" s="657"/>
      <c r="SOD1" s="657"/>
      <c r="SOE1" s="657"/>
      <c r="SOF1" s="657"/>
      <c r="SOG1" s="657"/>
      <c r="SOH1" s="657"/>
      <c r="SOI1" s="657"/>
      <c r="SOJ1" s="657"/>
      <c r="SOK1" s="657"/>
      <c r="SOL1" s="657"/>
      <c r="SOM1" s="657"/>
      <c r="SON1" s="657"/>
      <c r="SOO1" s="657"/>
      <c r="SOP1" s="657"/>
      <c r="SOQ1" s="657"/>
      <c r="SOR1" s="657"/>
      <c r="SOS1" s="657"/>
      <c r="SOT1" s="657"/>
      <c r="SOU1" s="657"/>
      <c r="SOV1" s="657"/>
      <c r="SOW1" s="657"/>
      <c r="SOX1" s="657"/>
      <c r="SOY1" s="657"/>
      <c r="SOZ1" s="657"/>
      <c r="SPA1" s="657"/>
      <c r="SPB1" s="657"/>
      <c r="SPC1" s="657"/>
      <c r="SPD1" s="657"/>
      <c r="SPE1" s="657"/>
      <c r="SPF1" s="657"/>
      <c r="SPG1" s="657"/>
      <c r="SPH1" s="657"/>
      <c r="SPI1" s="657"/>
      <c r="SPJ1" s="657"/>
      <c r="SPK1" s="657"/>
      <c r="SPL1" s="657"/>
      <c r="SPM1" s="657"/>
      <c r="SPN1" s="657"/>
      <c r="SPO1" s="657"/>
      <c r="SPP1" s="657"/>
      <c r="SPQ1" s="657"/>
      <c r="SPR1" s="657"/>
      <c r="SPS1" s="657"/>
      <c r="SPT1" s="657"/>
      <c r="SPU1" s="657"/>
      <c r="SPV1" s="657"/>
      <c r="SPW1" s="657"/>
      <c r="SPX1" s="657"/>
      <c r="SPY1" s="657"/>
      <c r="SPZ1" s="657"/>
      <c r="SQA1" s="657"/>
      <c r="SQB1" s="657"/>
      <c r="SQC1" s="657"/>
      <c r="SQD1" s="657"/>
      <c r="SQE1" s="657"/>
      <c r="SQF1" s="657"/>
      <c r="SQG1" s="657"/>
      <c r="SQH1" s="657"/>
      <c r="SQI1" s="657"/>
      <c r="SQJ1" s="657"/>
      <c r="SQK1" s="657"/>
      <c r="SQL1" s="657"/>
      <c r="SQM1" s="657"/>
      <c r="SQN1" s="657"/>
      <c r="SQO1" s="657"/>
      <c r="SQP1" s="657"/>
      <c r="SQQ1" s="657"/>
      <c r="SQR1" s="657"/>
      <c r="SQS1" s="657"/>
      <c r="SQT1" s="657"/>
      <c r="SQU1" s="657"/>
      <c r="SQV1" s="657"/>
      <c r="SQW1" s="657"/>
      <c r="SQX1" s="657"/>
      <c r="SQY1" s="657"/>
      <c r="SQZ1" s="657"/>
      <c r="SRA1" s="657"/>
      <c r="SRB1" s="657"/>
      <c r="SRC1" s="657"/>
      <c r="SRD1" s="657"/>
      <c r="SRE1" s="657"/>
      <c r="SRF1" s="657"/>
      <c r="SRG1" s="657"/>
      <c r="SRH1" s="657"/>
      <c r="SRI1" s="657"/>
      <c r="SRJ1" s="657"/>
      <c r="SRK1" s="657"/>
      <c r="SRL1" s="657"/>
      <c r="SRM1" s="657"/>
      <c r="SRN1" s="657"/>
      <c r="SRO1" s="657"/>
      <c r="SRP1" s="657"/>
      <c r="SRQ1" s="657"/>
      <c r="SRR1" s="657"/>
      <c r="SRS1" s="657"/>
      <c r="SRT1" s="657"/>
      <c r="SRU1" s="657"/>
      <c r="SRV1" s="657"/>
      <c r="SRW1" s="657"/>
      <c r="SRX1" s="657"/>
      <c r="SRY1" s="657"/>
      <c r="SRZ1" s="657"/>
      <c r="SSA1" s="657"/>
      <c r="SSB1" s="657"/>
      <c r="SSC1" s="657"/>
      <c r="SSD1" s="657"/>
      <c r="SSE1" s="657"/>
      <c r="SSF1" s="657"/>
      <c r="SSG1" s="657"/>
      <c r="SSH1" s="657"/>
      <c r="SSI1" s="657"/>
      <c r="SSJ1" s="657"/>
      <c r="SSK1" s="657"/>
      <c r="SSL1" s="657"/>
      <c r="SSM1" s="657"/>
      <c r="SSN1" s="657"/>
      <c r="SSO1" s="657"/>
      <c r="SSP1" s="657"/>
      <c r="SSQ1" s="657"/>
      <c r="SSR1" s="657"/>
      <c r="SSS1" s="657"/>
      <c r="SST1" s="657"/>
      <c r="SSU1" s="657"/>
      <c r="SSV1" s="657"/>
      <c r="SSW1" s="657"/>
      <c r="SSX1" s="657"/>
      <c r="SSY1" s="657"/>
      <c r="SSZ1" s="657"/>
      <c r="STA1" s="657"/>
      <c r="STB1" s="657"/>
      <c r="STC1" s="657"/>
      <c r="STD1" s="657"/>
      <c r="STE1" s="657"/>
      <c r="STF1" s="657"/>
      <c r="STG1" s="657"/>
      <c r="STH1" s="657"/>
      <c r="STI1" s="657"/>
      <c r="STJ1" s="657"/>
      <c r="STK1" s="657"/>
      <c r="STL1" s="657"/>
      <c r="STM1" s="657"/>
      <c r="STN1" s="657"/>
      <c r="STO1" s="657"/>
      <c r="STP1" s="657"/>
      <c r="STQ1" s="657"/>
      <c r="STR1" s="657"/>
      <c r="STS1" s="657"/>
      <c r="STT1" s="657"/>
      <c r="STU1" s="657"/>
      <c r="STV1" s="657"/>
      <c r="STW1" s="657"/>
      <c r="STX1" s="657"/>
      <c r="STY1" s="657"/>
      <c r="STZ1" s="657"/>
      <c r="SUA1" s="657"/>
      <c r="SUB1" s="657"/>
      <c r="SUC1" s="657"/>
      <c r="SUD1" s="657"/>
      <c r="SUE1" s="657"/>
      <c r="SUF1" s="657"/>
      <c r="SUG1" s="657"/>
      <c r="SUH1" s="657"/>
      <c r="SUI1" s="657"/>
      <c r="SUJ1" s="657"/>
      <c r="SUK1" s="657"/>
      <c r="SUL1" s="657"/>
      <c r="SUM1" s="657"/>
      <c r="SUN1" s="657"/>
      <c r="SUO1" s="657"/>
      <c r="SUP1" s="657"/>
      <c r="SUQ1" s="657"/>
      <c r="SUR1" s="657"/>
      <c r="SUS1" s="657"/>
      <c r="SUT1" s="657"/>
      <c r="SUU1" s="657"/>
      <c r="SUV1" s="657"/>
      <c r="SUW1" s="657"/>
      <c r="SUX1" s="657"/>
      <c r="SUY1" s="657"/>
      <c r="SUZ1" s="657"/>
      <c r="SVA1" s="657"/>
      <c r="SVB1" s="657"/>
      <c r="SVC1" s="657"/>
      <c r="SVD1" s="657"/>
      <c r="SVE1" s="657"/>
      <c r="SVF1" s="657"/>
      <c r="SVG1" s="657"/>
      <c r="SVH1" s="657"/>
      <c r="SVI1" s="657"/>
      <c r="SVJ1" s="657"/>
      <c r="SVK1" s="657"/>
      <c r="SVL1" s="657"/>
      <c r="SVM1" s="657"/>
      <c r="SVN1" s="657"/>
      <c r="SVO1" s="657"/>
      <c r="SVP1" s="657"/>
      <c r="SVQ1" s="657"/>
      <c r="SVR1" s="657"/>
      <c r="SVS1" s="657"/>
      <c r="SVT1" s="657"/>
      <c r="SVU1" s="657"/>
      <c r="SVV1" s="657"/>
      <c r="SVW1" s="657"/>
      <c r="SVX1" s="657"/>
      <c r="SVY1" s="657"/>
      <c r="SVZ1" s="657"/>
      <c r="SWA1" s="657"/>
      <c r="SWB1" s="657"/>
      <c r="SWC1" s="657"/>
      <c r="SWD1" s="657"/>
      <c r="SWE1" s="657"/>
      <c r="SWF1" s="657"/>
      <c r="SWG1" s="657"/>
      <c r="SWH1" s="657"/>
      <c r="SWI1" s="657"/>
      <c r="SWJ1" s="657"/>
      <c r="SWK1" s="657"/>
      <c r="SWL1" s="657"/>
      <c r="SWM1" s="657"/>
      <c r="SWN1" s="657"/>
      <c r="SWO1" s="657"/>
      <c r="SWP1" s="657"/>
      <c r="SWQ1" s="657"/>
      <c r="SWR1" s="657"/>
      <c r="SWS1" s="657"/>
      <c r="SWT1" s="657"/>
      <c r="SWU1" s="657"/>
      <c r="SWV1" s="657"/>
      <c r="SWW1" s="657"/>
      <c r="SWX1" s="657"/>
      <c r="SWY1" s="657"/>
      <c r="SWZ1" s="657"/>
      <c r="SXA1" s="657"/>
      <c r="SXB1" s="657"/>
      <c r="SXC1" s="657"/>
      <c r="SXD1" s="657"/>
      <c r="SXE1" s="657"/>
      <c r="SXF1" s="657"/>
      <c r="SXG1" s="657"/>
      <c r="SXH1" s="657"/>
      <c r="SXI1" s="657"/>
      <c r="SXJ1" s="657"/>
      <c r="SXK1" s="657"/>
      <c r="SXL1" s="657"/>
      <c r="SXM1" s="657"/>
      <c r="SXN1" s="657"/>
      <c r="SXO1" s="657"/>
      <c r="SXP1" s="657"/>
      <c r="SXQ1" s="657"/>
      <c r="SXR1" s="657"/>
      <c r="SXS1" s="657"/>
      <c r="SXT1" s="657"/>
      <c r="SXU1" s="657"/>
      <c r="SXV1" s="657"/>
      <c r="SXW1" s="657"/>
      <c r="SXX1" s="657"/>
      <c r="SXY1" s="657"/>
      <c r="SXZ1" s="657"/>
      <c r="SYA1" s="657"/>
      <c r="SYB1" s="657"/>
      <c r="SYC1" s="657"/>
      <c r="SYD1" s="657"/>
      <c r="SYE1" s="657"/>
      <c r="SYF1" s="657"/>
      <c r="SYG1" s="657"/>
      <c r="SYH1" s="657"/>
      <c r="SYI1" s="657"/>
      <c r="SYJ1" s="657"/>
      <c r="SYK1" s="657"/>
      <c r="SYL1" s="657"/>
      <c r="SYM1" s="657"/>
      <c r="SYN1" s="657"/>
      <c r="SYO1" s="657"/>
      <c r="SYP1" s="657"/>
      <c r="SYQ1" s="657"/>
      <c r="SYR1" s="657"/>
      <c r="SYS1" s="657"/>
      <c r="SYT1" s="657"/>
      <c r="SYU1" s="657"/>
      <c r="SYV1" s="657"/>
      <c r="SYW1" s="657"/>
      <c r="SYX1" s="657"/>
      <c r="SYY1" s="657"/>
      <c r="SYZ1" s="657"/>
      <c r="SZA1" s="657"/>
      <c r="SZB1" s="657"/>
      <c r="SZC1" s="657"/>
      <c r="SZD1" s="657"/>
      <c r="SZE1" s="657"/>
      <c r="SZF1" s="657"/>
      <c r="SZG1" s="657"/>
      <c r="SZH1" s="657"/>
      <c r="SZI1" s="657"/>
      <c r="SZJ1" s="657"/>
      <c r="SZK1" s="657"/>
      <c r="SZL1" s="657"/>
      <c r="SZM1" s="657"/>
      <c r="SZN1" s="657"/>
      <c r="SZO1" s="657"/>
      <c r="SZP1" s="657"/>
      <c r="SZQ1" s="657"/>
      <c r="SZR1" s="657"/>
      <c r="SZS1" s="657"/>
      <c r="SZT1" s="657"/>
      <c r="SZU1" s="657"/>
      <c r="SZV1" s="657"/>
      <c r="SZW1" s="657"/>
      <c r="SZX1" s="657"/>
      <c r="SZY1" s="657"/>
      <c r="SZZ1" s="657"/>
      <c r="TAA1" s="657"/>
      <c r="TAB1" s="657"/>
      <c r="TAC1" s="657"/>
      <c r="TAD1" s="657"/>
      <c r="TAE1" s="657"/>
      <c r="TAF1" s="657"/>
      <c r="TAG1" s="657"/>
      <c r="TAH1" s="657"/>
      <c r="TAI1" s="657"/>
      <c r="TAJ1" s="657"/>
      <c r="TAK1" s="657"/>
      <c r="TAL1" s="657"/>
      <c r="TAM1" s="657"/>
      <c r="TAN1" s="657"/>
      <c r="TAO1" s="657"/>
      <c r="TAP1" s="657"/>
      <c r="TAQ1" s="657"/>
      <c r="TAR1" s="657"/>
      <c r="TAS1" s="657"/>
      <c r="TAT1" s="657"/>
      <c r="TAU1" s="657"/>
      <c r="TAV1" s="657"/>
      <c r="TAW1" s="657"/>
      <c r="TAX1" s="657"/>
      <c r="TAY1" s="657"/>
      <c r="TAZ1" s="657"/>
      <c r="TBA1" s="657"/>
      <c r="TBB1" s="657"/>
      <c r="TBC1" s="657"/>
      <c r="TBD1" s="657"/>
      <c r="TBE1" s="657"/>
      <c r="TBF1" s="657"/>
      <c r="TBG1" s="657"/>
      <c r="TBH1" s="657"/>
      <c r="TBI1" s="657"/>
      <c r="TBJ1" s="657"/>
      <c r="TBK1" s="657"/>
      <c r="TBL1" s="657"/>
      <c r="TBM1" s="657"/>
      <c r="TBN1" s="657"/>
      <c r="TBO1" s="657"/>
      <c r="TBP1" s="657"/>
      <c r="TBQ1" s="657"/>
      <c r="TBR1" s="657"/>
      <c r="TBS1" s="657"/>
      <c r="TBT1" s="657"/>
      <c r="TBU1" s="657"/>
      <c r="TBV1" s="657"/>
      <c r="TBW1" s="657"/>
      <c r="TBX1" s="657"/>
      <c r="TBY1" s="657"/>
      <c r="TBZ1" s="657"/>
      <c r="TCA1" s="657"/>
      <c r="TCB1" s="657"/>
      <c r="TCC1" s="657"/>
      <c r="TCD1" s="657"/>
      <c r="TCE1" s="657"/>
      <c r="TCF1" s="657"/>
      <c r="TCG1" s="657"/>
      <c r="TCH1" s="657"/>
      <c r="TCI1" s="657"/>
      <c r="TCJ1" s="657"/>
      <c r="TCK1" s="657"/>
      <c r="TCL1" s="657"/>
      <c r="TCM1" s="657"/>
      <c r="TCN1" s="657"/>
      <c r="TCO1" s="657"/>
      <c r="TCP1" s="657"/>
      <c r="TCQ1" s="657"/>
      <c r="TCR1" s="657"/>
      <c r="TCS1" s="657"/>
      <c r="TCT1" s="657"/>
      <c r="TCU1" s="657"/>
      <c r="TCV1" s="657"/>
      <c r="TCW1" s="657"/>
      <c r="TCX1" s="657"/>
      <c r="TCY1" s="657"/>
      <c r="TCZ1" s="657"/>
      <c r="TDA1" s="657"/>
      <c r="TDB1" s="657"/>
      <c r="TDC1" s="657"/>
      <c r="TDD1" s="657"/>
      <c r="TDE1" s="657"/>
      <c r="TDF1" s="657"/>
      <c r="TDG1" s="657"/>
      <c r="TDH1" s="657"/>
      <c r="TDI1" s="657"/>
      <c r="TDJ1" s="657"/>
      <c r="TDK1" s="657"/>
      <c r="TDL1" s="657"/>
      <c r="TDM1" s="657"/>
      <c r="TDN1" s="657"/>
      <c r="TDO1" s="657"/>
      <c r="TDP1" s="657"/>
      <c r="TDQ1" s="657"/>
      <c r="TDR1" s="657"/>
      <c r="TDS1" s="657"/>
      <c r="TDT1" s="657"/>
      <c r="TDU1" s="657"/>
      <c r="TDV1" s="657"/>
      <c r="TDW1" s="657"/>
      <c r="TDX1" s="657"/>
      <c r="TDY1" s="657"/>
      <c r="TDZ1" s="657"/>
      <c r="TEA1" s="657"/>
      <c r="TEB1" s="657"/>
      <c r="TEC1" s="657"/>
      <c r="TED1" s="657"/>
      <c r="TEE1" s="657"/>
      <c r="TEF1" s="657"/>
      <c r="TEG1" s="657"/>
      <c r="TEH1" s="657"/>
      <c r="TEI1" s="657"/>
      <c r="TEJ1" s="657"/>
      <c r="TEK1" s="657"/>
      <c r="TEL1" s="657"/>
      <c r="TEM1" s="657"/>
      <c r="TEN1" s="657"/>
      <c r="TEO1" s="657"/>
      <c r="TEP1" s="657"/>
      <c r="TEQ1" s="657"/>
      <c r="TER1" s="657"/>
      <c r="TES1" s="657"/>
      <c r="TET1" s="657"/>
      <c r="TEU1" s="657"/>
      <c r="TEV1" s="657"/>
      <c r="TEW1" s="657"/>
      <c r="TEX1" s="657"/>
      <c r="TEY1" s="657"/>
      <c r="TEZ1" s="657"/>
      <c r="TFA1" s="657"/>
      <c r="TFB1" s="657"/>
      <c r="TFC1" s="657"/>
      <c r="TFD1" s="657"/>
      <c r="TFE1" s="657"/>
      <c r="TFF1" s="657"/>
      <c r="TFG1" s="657"/>
      <c r="TFH1" s="657"/>
      <c r="TFI1" s="657"/>
      <c r="TFJ1" s="657"/>
      <c r="TFK1" s="657"/>
      <c r="TFL1" s="657"/>
      <c r="TFM1" s="657"/>
      <c r="TFN1" s="657"/>
      <c r="TFO1" s="657"/>
      <c r="TFP1" s="657"/>
      <c r="TFQ1" s="657"/>
      <c r="TFR1" s="657"/>
      <c r="TFS1" s="657"/>
      <c r="TFT1" s="657"/>
      <c r="TFU1" s="657"/>
      <c r="TFV1" s="657"/>
      <c r="TFW1" s="657"/>
      <c r="TFX1" s="657"/>
      <c r="TFY1" s="657"/>
      <c r="TFZ1" s="657"/>
      <c r="TGA1" s="657"/>
      <c r="TGB1" s="657"/>
      <c r="TGC1" s="657"/>
      <c r="TGD1" s="657"/>
      <c r="TGE1" s="657"/>
      <c r="TGF1" s="657"/>
      <c r="TGG1" s="657"/>
      <c r="TGH1" s="657"/>
      <c r="TGI1" s="657"/>
      <c r="TGJ1" s="657"/>
      <c r="TGK1" s="657"/>
      <c r="TGL1" s="657"/>
      <c r="TGM1" s="657"/>
      <c r="TGN1" s="657"/>
      <c r="TGO1" s="657"/>
      <c r="TGP1" s="657"/>
      <c r="TGQ1" s="657"/>
      <c r="TGR1" s="657"/>
      <c r="TGS1" s="657"/>
      <c r="TGT1" s="657"/>
      <c r="TGU1" s="657"/>
      <c r="TGV1" s="657"/>
      <c r="TGW1" s="657"/>
      <c r="TGX1" s="657"/>
      <c r="TGY1" s="657"/>
      <c r="TGZ1" s="657"/>
      <c r="THA1" s="657"/>
      <c r="THB1" s="657"/>
      <c r="THC1" s="657"/>
      <c r="THD1" s="657"/>
      <c r="THE1" s="657"/>
      <c r="THF1" s="657"/>
      <c r="THG1" s="657"/>
      <c r="THH1" s="657"/>
      <c r="THI1" s="657"/>
      <c r="THJ1" s="657"/>
      <c r="THK1" s="657"/>
      <c r="THL1" s="657"/>
      <c r="THM1" s="657"/>
      <c r="THN1" s="657"/>
      <c r="THO1" s="657"/>
      <c r="THP1" s="657"/>
      <c r="THQ1" s="657"/>
      <c r="THR1" s="657"/>
      <c r="THS1" s="657"/>
      <c r="THT1" s="657"/>
      <c r="THU1" s="657"/>
      <c r="THV1" s="657"/>
      <c r="THW1" s="657"/>
      <c r="THX1" s="657"/>
      <c r="THY1" s="657"/>
      <c r="THZ1" s="657"/>
      <c r="TIA1" s="657"/>
      <c r="TIB1" s="657"/>
      <c r="TIC1" s="657"/>
      <c r="TID1" s="657"/>
      <c r="TIE1" s="657"/>
      <c r="TIF1" s="657"/>
      <c r="TIG1" s="657"/>
      <c r="TIH1" s="657"/>
      <c r="TII1" s="657"/>
      <c r="TIJ1" s="657"/>
      <c r="TIK1" s="657"/>
      <c r="TIL1" s="657"/>
      <c r="TIM1" s="657"/>
      <c r="TIN1" s="657"/>
      <c r="TIO1" s="657"/>
      <c r="TIP1" s="657"/>
      <c r="TIQ1" s="657"/>
      <c r="TIR1" s="657"/>
      <c r="TIS1" s="657"/>
      <c r="TIT1" s="657"/>
      <c r="TIU1" s="657"/>
      <c r="TIV1" s="657"/>
      <c r="TIW1" s="657"/>
      <c r="TIX1" s="657"/>
      <c r="TIY1" s="657"/>
      <c r="TIZ1" s="657"/>
      <c r="TJA1" s="657"/>
      <c r="TJB1" s="657"/>
      <c r="TJC1" s="657"/>
      <c r="TJD1" s="657"/>
      <c r="TJE1" s="657"/>
      <c r="TJF1" s="657"/>
      <c r="TJG1" s="657"/>
      <c r="TJH1" s="657"/>
      <c r="TJI1" s="657"/>
      <c r="TJJ1" s="657"/>
      <c r="TJK1" s="657"/>
      <c r="TJL1" s="657"/>
      <c r="TJM1" s="657"/>
      <c r="TJN1" s="657"/>
      <c r="TJO1" s="657"/>
      <c r="TJP1" s="657"/>
      <c r="TJQ1" s="657"/>
      <c r="TJR1" s="657"/>
      <c r="TJS1" s="657"/>
      <c r="TJT1" s="657"/>
      <c r="TJU1" s="657"/>
      <c r="TJV1" s="657"/>
      <c r="TJW1" s="657"/>
      <c r="TJX1" s="657"/>
      <c r="TJY1" s="657"/>
      <c r="TJZ1" s="657"/>
      <c r="TKA1" s="657"/>
      <c r="TKB1" s="657"/>
      <c r="TKC1" s="657"/>
      <c r="TKD1" s="657"/>
      <c r="TKE1" s="657"/>
      <c r="TKF1" s="657"/>
      <c r="TKG1" s="657"/>
      <c r="TKH1" s="657"/>
      <c r="TKI1" s="657"/>
      <c r="TKJ1" s="657"/>
      <c r="TKK1" s="657"/>
      <c r="TKL1" s="657"/>
      <c r="TKM1" s="657"/>
      <c r="TKN1" s="657"/>
      <c r="TKO1" s="657"/>
      <c r="TKP1" s="657"/>
      <c r="TKQ1" s="657"/>
      <c r="TKR1" s="657"/>
      <c r="TKS1" s="657"/>
      <c r="TKT1" s="657"/>
      <c r="TKU1" s="657"/>
      <c r="TKV1" s="657"/>
      <c r="TKW1" s="657"/>
      <c r="TKX1" s="657"/>
      <c r="TKY1" s="657"/>
      <c r="TKZ1" s="657"/>
      <c r="TLA1" s="657"/>
      <c r="TLB1" s="657"/>
      <c r="TLC1" s="657"/>
      <c r="TLD1" s="657"/>
      <c r="TLE1" s="657"/>
      <c r="TLF1" s="657"/>
      <c r="TLG1" s="657"/>
      <c r="TLH1" s="657"/>
      <c r="TLI1" s="657"/>
      <c r="TLJ1" s="657"/>
      <c r="TLK1" s="657"/>
      <c r="TLL1" s="657"/>
      <c r="TLM1" s="657"/>
      <c r="TLN1" s="657"/>
      <c r="TLO1" s="657"/>
      <c r="TLP1" s="657"/>
      <c r="TLQ1" s="657"/>
      <c r="TLR1" s="657"/>
      <c r="TLS1" s="657"/>
      <c r="TLT1" s="657"/>
      <c r="TLU1" s="657"/>
      <c r="TLV1" s="657"/>
      <c r="TLW1" s="657"/>
      <c r="TLX1" s="657"/>
      <c r="TLY1" s="657"/>
      <c r="TLZ1" s="657"/>
      <c r="TMA1" s="657"/>
      <c r="TMB1" s="657"/>
      <c r="TMC1" s="657"/>
      <c r="TMD1" s="657"/>
      <c r="TME1" s="657"/>
      <c r="TMF1" s="657"/>
      <c r="TMG1" s="657"/>
      <c r="TMH1" s="657"/>
      <c r="TMI1" s="657"/>
      <c r="TMJ1" s="657"/>
      <c r="TMK1" s="657"/>
      <c r="TML1" s="657"/>
      <c r="TMM1" s="657"/>
      <c r="TMN1" s="657"/>
      <c r="TMO1" s="657"/>
      <c r="TMP1" s="657"/>
      <c r="TMQ1" s="657"/>
      <c r="TMR1" s="657"/>
      <c r="TMS1" s="657"/>
      <c r="TMT1" s="657"/>
      <c r="TMU1" s="657"/>
      <c r="TMV1" s="657"/>
      <c r="TMW1" s="657"/>
      <c r="TMX1" s="657"/>
      <c r="TMY1" s="657"/>
      <c r="TMZ1" s="657"/>
      <c r="TNA1" s="657"/>
      <c r="TNB1" s="657"/>
      <c r="TNC1" s="657"/>
      <c r="TND1" s="657"/>
      <c r="TNE1" s="657"/>
      <c r="TNF1" s="657"/>
      <c r="TNG1" s="657"/>
      <c r="TNH1" s="657"/>
      <c r="TNI1" s="657"/>
      <c r="TNJ1" s="657"/>
      <c r="TNK1" s="657"/>
      <c r="TNL1" s="657"/>
      <c r="TNM1" s="657"/>
      <c r="TNN1" s="657"/>
      <c r="TNO1" s="657"/>
      <c r="TNP1" s="657"/>
      <c r="TNQ1" s="657"/>
      <c r="TNR1" s="657"/>
      <c r="TNS1" s="657"/>
      <c r="TNT1" s="657"/>
      <c r="TNU1" s="657"/>
      <c r="TNV1" s="657"/>
      <c r="TNW1" s="657"/>
      <c r="TNX1" s="657"/>
      <c r="TNY1" s="657"/>
      <c r="TNZ1" s="657"/>
      <c r="TOA1" s="657"/>
      <c r="TOB1" s="657"/>
      <c r="TOC1" s="657"/>
      <c r="TOD1" s="657"/>
      <c r="TOE1" s="657"/>
      <c r="TOF1" s="657"/>
      <c r="TOG1" s="657"/>
      <c r="TOH1" s="657"/>
      <c r="TOI1" s="657"/>
      <c r="TOJ1" s="657"/>
      <c r="TOK1" s="657"/>
      <c r="TOL1" s="657"/>
      <c r="TOM1" s="657"/>
      <c r="TON1" s="657"/>
      <c r="TOO1" s="657"/>
      <c r="TOP1" s="657"/>
      <c r="TOQ1" s="657"/>
      <c r="TOR1" s="657"/>
      <c r="TOS1" s="657"/>
      <c r="TOT1" s="657"/>
      <c r="TOU1" s="657"/>
      <c r="TOV1" s="657"/>
      <c r="TOW1" s="657"/>
      <c r="TOX1" s="657"/>
      <c r="TOY1" s="657"/>
      <c r="TOZ1" s="657"/>
      <c r="TPA1" s="657"/>
      <c r="TPB1" s="657"/>
      <c r="TPC1" s="657"/>
      <c r="TPD1" s="657"/>
      <c r="TPE1" s="657"/>
      <c r="TPF1" s="657"/>
      <c r="TPG1" s="657"/>
      <c r="TPH1" s="657"/>
      <c r="TPI1" s="657"/>
      <c r="TPJ1" s="657"/>
      <c r="TPK1" s="657"/>
      <c r="TPL1" s="657"/>
      <c r="TPM1" s="657"/>
      <c r="TPN1" s="657"/>
      <c r="TPO1" s="657"/>
      <c r="TPP1" s="657"/>
      <c r="TPQ1" s="657"/>
      <c r="TPR1" s="657"/>
      <c r="TPS1" s="657"/>
      <c r="TPT1" s="657"/>
      <c r="TPU1" s="657"/>
      <c r="TPV1" s="657"/>
      <c r="TPW1" s="657"/>
      <c r="TPX1" s="657"/>
      <c r="TPY1" s="657"/>
      <c r="TPZ1" s="657"/>
      <c r="TQA1" s="657"/>
      <c r="TQB1" s="657"/>
      <c r="TQC1" s="657"/>
      <c r="TQD1" s="657"/>
      <c r="TQE1" s="657"/>
      <c r="TQF1" s="657"/>
      <c r="TQG1" s="657"/>
      <c r="TQH1" s="657"/>
      <c r="TQI1" s="657"/>
      <c r="TQJ1" s="657"/>
      <c r="TQK1" s="657"/>
      <c r="TQL1" s="657"/>
      <c r="TQM1" s="657"/>
      <c r="TQN1" s="657"/>
      <c r="TQO1" s="657"/>
      <c r="TQP1" s="657"/>
      <c r="TQQ1" s="657"/>
      <c r="TQR1" s="657"/>
      <c r="TQS1" s="657"/>
      <c r="TQT1" s="657"/>
      <c r="TQU1" s="657"/>
      <c r="TQV1" s="657"/>
      <c r="TQW1" s="657"/>
      <c r="TQX1" s="657"/>
      <c r="TQY1" s="657"/>
      <c r="TQZ1" s="657"/>
      <c r="TRA1" s="657"/>
      <c r="TRB1" s="657"/>
      <c r="TRC1" s="657"/>
      <c r="TRD1" s="657"/>
      <c r="TRE1" s="657"/>
      <c r="TRF1" s="657"/>
      <c r="TRG1" s="657"/>
      <c r="TRH1" s="657"/>
      <c r="TRI1" s="657"/>
      <c r="TRJ1" s="657"/>
      <c r="TRK1" s="657"/>
      <c r="TRL1" s="657"/>
      <c r="TRM1" s="657"/>
      <c r="TRN1" s="657"/>
      <c r="TRO1" s="657"/>
      <c r="TRP1" s="657"/>
      <c r="TRQ1" s="657"/>
      <c r="TRR1" s="657"/>
      <c r="TRS1" s="657"/>
      <c r="TRT1" s="657"/>
      <c r="TRU1" s="657"/>
      <c r="TRV1" s="657"/>
      <c r="TRW1" s="657"/>
      <c r="TRX1" s="657"/>
      <c r="TRY1" s="657"/>
      <c r="TRZ1" s="657"/>
      <c r="TSA1" s="657"/>
      <c r="TSB1" s="657"/>
      <c r="TSC1" s="657"/>
      <c r="TSD1" s="657"/>
      <c r="TSE1" s="657"/>
      <c r="TSF1" s="657"/>
      <c r="TSG1" s="657"/>
      <c r="TSH1" s="657"/>
      <c r="TSI1" s="657"/>
      <c r="TSJ1" s="657"/>
      <c r="TSK1" s="657"/>
      <c r="TSL1" s="657"/>
      <c r="TSM1" s="657"/>
      <c r="TSN1" s="657"/>
      <c r="TSO1" s="657"/>
      <c r="TSP1" s="657"/>
      <c r="TSQ1" s="657"/>
      <c r="TSR1" s="657"/>
      <c r="TSS1" s="657"/>
      <c r="TST1" s="657"/>
      <c r="TSU1" s="657"/>
      <c r="TSV1" s="657"/>
      <c r="TSW1" s="657"/>
      <c r="TSX1" s="657"/>
      <c r="TSY1" s="657"/>
      <c r="TSZ1" s="657"/>
      <c r="TTA1" s="657"/>
      <c r="TTB1" s="657"/>
      <c r="TTC1" s="657"/>
      <c r="TTD1" s="657"/>
      <c r="TTE1" s="657"/>
      <c r="TTF1" s="657"/>
      <c r="TTG1" s="657"/>
      <c r="TTH1" s="657"/>
      <c r="TTI1" s="657"/>
      <c r="TTJ1" s="657"/>
      <c r="TTK1" s="657"/>
      <c r="TTL1" s="657"/>
      <c r="TTM1" s="657"/>
      <c r="TTN1" s="657"/>
      <c r="TTO1" s="657"/>
      <c r="TTP1" s="657"/>
      <c r="TTQ1" s="657"/>
      <c r="TTR1" s="657"/>
      <c r="TTS1" s="657"/>
      <c r="TTT1" s="657"/>
      <c r="TTU1" s="657"/>
      <c r="TTV1" s="657"/>
      <c r="TTW1" s="657"/>
      <c r="TTX1" s="657"/>
      <c r="TTY1" s="657"/>
      <c r="TTZ1" s="657"/>
      <c r="TUA1" s="657"/>
      <c r="TUB1" s="657"/>
      <c r="TUC1" s="657"/>
      <c r="TUD1" s="657"/>
      <c r="TUE1" s="657"/>
      <c r="TUF1" s="657"/>
      <c r="TUG1" s="657"/>
      <c r="TUH1" s="657"/>
      <c r="TUI1" s="657"/>
      <c r="TUJ1" s="657"/>
      <c r="TUK1" s="657"/>
      <c r="TUL1" s="657"/>
      <c r="TUM1" s="657"/>
      <c r="TUN1" s="657"/>
      <c r="TUO1" s="657"/>
      <c r="TUP1" s="657"/>
      <c r="TUQ1" s="657"/>
      <c r="TUR1" s="657"/>
      <c r="TUS1" s="657"/>
      <c r="TUT1" s="657"/>
      <c r="TUU1" s="657"/>
      <c r="TUV1" s="657"/>
      <c r="TUW1" s="657"/>
      <c r="TUX1" s="657"/>
      <c r="TUY1" s="657"/>
      <c r="TUZ1" s="657"/>
      <c r="TVA1" s="657"/>
      <c r="TVB1" s="657"/>
      <c r="TVC1" s="657"/>
      <c r="TVD1" s="657"/>
      <c r="TVE1" s="657"/>
      <c r="TVF1" s="657"/>
      <c r="TVG1" s="657"/>
      <c r="TVH1" s="657"/>
      <c r="TVI1" s="657"/>
      <c r="TVJ1" s="657"/>
      <c r="TVK1" s="657"/>
      <c r="TVL1" s="657"/>
      <c r="TVM1" s="657"/>
      <c r="TVN1" s="657"/>
      <c r="TVO1" s="657"/>
      <c r="TVP1" s="657"/>
      <c r="TVQ1" s="657"/>
      <c r="TVR1" s="657"/>
      <c r="TVS1" s="657"/>
      <c r="TVT1" s="657"/>
      <c r="TVU1" s="657"/>
      <c r="TVV1" s="657"/>
      <c r="TVW1" s="657"/>
      <c r="TVX1" s="657"/>
      <c r="TVY1" s="657"/>
      <c r="TVZ1" s="657"/>
      <c r="TWA1" s="657"/>
      <c r="TWB1" s="657"/>
      <c r="TWC1" s="657"/>
      <c r="TWD1" s="657"/>
      <c r="TWE1" s="657"/>
      <c r="TWF1" s="657"/>
      <c r="TWG1" s="657"/>
      <c r="TWH1" s="657"/>
      <c r="TWI1" s="657"/>
      <c r="TWJ1" s="657"/>
      <c r="TWK1" s="657"/>
      <c r="TWL1" s="657"/>
      <c r="TWM1" s="657"/>
      <c r="TWN1" s="657"/>
      <c r="TWO1" s="657"/>
      <c r="TWP1" s="657"/>
      <c r="TWQ1" s="657"/>
      <c r="TWR1" s="657"/>
      <c r="TWS1" s="657"/>
      <c r="TWT1" s="657"/>
      <c r="TWU1" s="657"/>
      <c r="TWV1" s="657"/>
      <c r="TWW1" s="657"/>
      <c r="TWX1" s="657"/>
      <c r="TWY1" s="657"/>
      <c r="TWZ1" s="657"/>
      <c r="TXA1" s="657"/>
      <c r="TXB1" s="657"/>
      <c r="TXC1" s="657"/>
      <c r="TXD1" s="657"/>
      <c r="TXE1" s="657"/>
      <c r="TXF1" s="657"/>
      <c r="TXG1" s="657"/>
      <c r="TXH1" s="657"/>
      <c r="TXI1" s="657"/>
      <c r="TXJ1" s="657"/>
      <c r="TXK1" s="657"/>
      <c r="TXL1" s="657"/>
      <c r="TXM1" s="657"/>
      <c r="TXN1" s="657"/>
      <c r="TXO1" s="657"/>
      <c r="TXP1" s="657"/>
      <c r="TXQ1" s="657"/>
      <c r="TXR1" s="657"/>
      <c r="TXS1" s="657"/>
      <c r="TXT1" s="657"/>
      <c r="TXU1" s="657"/>
      <c r="TXV1" s="657"/>
      <c r="TXW1" s="657"/>
      <c r="TXX1" s="657"/>
      <c r="TXY1" s="657"/>
      <c r="TXZ1" s="657"/>
      <c r="TYA1" s="657"/>
      <c r="TYB1" s="657"/>
      <c r="TYC1" s="657"/>
      <c r="TYD1" s="657"/>
      <c r="TYE1" s="657"/>
      <c r="TYF1" s="657"/>
      <c r="TYG1" s="657"/>
      <c r="TYH1" s="657"/>
      <c r="TYI1" s="657"/>
      <c r="TYJ1" s="657"/>
      <c r="TYK1" s="657"/>
      <c r="TYL1" s="657"/>
      <c r="TYM1" s="657"/>
      <c r="TYN1" s="657"/>
      <c r="TYO1" s="657"/>
      <c r="TYP1" s="657"/>
      <c r="TYQ1" s="657"/>
      <c r="TYR1" s="657"/>
      <c r="TYS1" s="657"/>
      <c r="TYT1" s="657"/>
      <c r="TYU1" s="657"/>
      <c r="TYV1" s="657"/>
      <c r="TYW1" s="657"/>
      <c r="TYX1" s="657"/>
      <c r="TYY1" s="657"/>
      <c r="TYZ1" s="657"/>
      <c r="TZA1" s="657"/>
      <c r="TZB1" s="657"/>
      <c r="TZC1" s="657"/>
      <c r="TZD1" s="657"/>
      <c r="TZE1" s="657"/>
      <c r="TZF1" s="657"/>
      <c r="TZG1" s="657"/>
      <c r="TZH1" s="657"/>
      <c r="TZI1" s="657"/>
      <c r="TZJ1" s="657"/>
      <c r="TZK1" s="657"/>
      <c r="TZL1" s="657"/>
      <c r="TZM1" s="657"/>
      <c r="TZN1" s="657"/>
      <c r="TZO1" s="657"/>
      <c r="TZP1" s="657"/>
      <c r="TZQ1" s="657"/>
      <c r="TZR1" s="657"/>
      <c r="TZS1" s="657"/>
      <c r="TZT1" s="657"/>
      <c r="TZU1" s="657"/>
      <c r="TZV1" s="657"/>
      <c r="TZW1" s="657"/>
      <c r="TZX1" s="657"/>
      <c r="TZY1" s="657"/>
      <c r="TZZ1" s="657"/>
      <c r="UAA1" s="657"/>
      <c r="UAB1" s="657"/>
      <c r="UAC1" s="657"/>
      <c r="UAD1" s="657"/>
      <c r="UAE1" s="657"/>
      <c r="UAF1" s="657"/>
      <c r="UAG1" s="657"/>
      <c r="UAH1" s="657"/>
      <c r="UAI1" s="657"/>
      <c r="UAJ1" s="657"/>
      <c r="UAK1" s="657"/>
      <c r="UAL1" s="657"/>
      <c r="UAM1" s="657"/>
      <c r="UAN1" s="657"/>
      <c r="UAO1" s="657"/>
      <c r="UAP1" s="657"/>
      <c r="UAQ1" s="657"/>
      <c r="UAR1" s="657"/>
      <c r="UAS1" s="657"/>
      <c r="UAT1" s="657"/>
      <c r="UAU1" s="657"/>
      <c r="UAV1" s="657"/>
      <c r="UAW1" s="657"/>
      <c r="UAX1" s="657"/>
      <c r="UAY1" s="657"/>
      <c r="UAZ1" s="657"/>
      <c r="UBA1" s="657"/>
      <c r="UBB1" s="657"/>
      <c r="UBC1" s="657"/>
      <c r="UBD1" s="657"/>
      <c r="UBE1" s="657"/>
      <c r="UBF1" s="657"/>
      <c r="UBG1" s="657"/>
      <c r="UBH1" s="657"/>
      <c r="UBI1" s="657"/>
      <c r="UBJ1" s="657"/>
      <c r="UBK1" s="657"/>
      <c r="UBL1" s="657"/>
      <c r="UBM1" s="657"/>
      <c r="UBN1" s="657"/>
      <c r="UBO1" s="657"/>
      <c r="UBP1" s="657"/>
      <c r="UBQ1" s="657"/>
      <c r="UBR1" s="657"/>
      <c r="UBS1" s="657"/>
      <c r="UBT1" s="657"/>
      <c r="UBU1" s="657"/>
      <c r="UBV1" s="657"/>
      <c r="UBW1" s="657"/>
      <c r="UBX1" s="657"/>
      <c r="UBY1" s="657"/>
      <c r="UBZ1" s="657"/>
      <c r="UCA1" s="657"/>
      <c r="UCB1" s="657"/>
      <c r="UCC1" s="657"/>
      <c r="UCD1" s="657"/>
      <c r="UCE1" s="657"/>
      <c r="UCF1" s="657"/>
      <c r="UCG1" s="657"/>
      <c r="UCH1" s="657"/>
      <c r="UCI1" s="657"/>
      <c r="UCJ1" s="657"/>
      <c r="UCK1" s="657"/>
      <c r="UCL1" s="657"/>
      <c r="UCM1" s="657"/>
      <c r="UCN1" s="657"/>
      <c r="UCO1" s="657"/>
      <c r="UCP1" s="657"/>
      <c r="UCQ1" s="657"/>
      <c r="UCR1" s="657"/>
      <c r="UCS1" s="657"/>
      <c r="UCT1" s="657"/>
      <c r="UCU1" s="657"/>
      <c r="UCV1" s="657"/>
      <c r="UCW1" s="657"/>
      <c r="UCX1" s="657"/>
      <c r="UCY1" s="657"/>
      <c r="UCZ1" s="657"/>
      <c r="UDA1" s="657"/>
      <c r="UDB1" s="657"/>
      <c r="UDC1" s="657"/>
      <c r="UDD1" s="657"/>
      <c r="UDE1" s="657"/>
      <c r="UDF1" s="657"/>
      <c r="UDG1" s="657"/>
      <c r="UDH1" s="657"/>
      <c r="UDI1" s="657"/>
      <c r="UDJ1" s="657"/>
      <c r="UDK1" s="657"/>
      <c r="UDL1" s="657"/>
      <c r="UDM1" s="657"/>
      <c r="UDN1" s="657"/>
      <c r="UDO1" s="657"/>
      <c r="UDP1" s="657"/>
      <c r="UDQ1" s="657"/>
      <c r="UDR1" s="657"/>
      <c r="UDS1" s="657"/>
      <c r="UDT1" s="657"/>
      <c r="UDU1" s="657"/>
      <c r="UDV1" s="657"/>
      <c r="UDW1" s="657"/>
      <c r="UDX1" s="657"/>
      <c r="UDY1" s="657"/>
      <c r="UDZ1" s="657"/>
      <c r="UEA1" s="657"/>
      <c r="UEB1" s="657"/>
      <c r="UEC1" s="657"/>
      <c r="UED1" s="657"/>
      <c r="UEE1" s="657"/>
      <c r="UEF1" s="657"/>
      <c r="UEG1" s="657"/>
      <c r="UEH1" s="657"/>
      <c r="UEI1" s="657"/>
      <c r="UEJ1" s="657"/>
      <c r="UEK1" s="657"/>
      <c r="UEL1" s="657"/>
      <c r="UEM1" s="657"/>
      <c r="UEN1" s="657"/>
      <c r="UEO1" s="657"/>
      <c r="UEP1" s="657"/>
      <c r="UEQ1" s="657"/>
      <c r="UER1" s="657"/>
      <c r="UES1" s="657"/>
      <c r="UET1" s="657"/>
      <c r="UEU1" s="657"/>
      <c r="UEV1" s="657"/>
      <c r="UEW1" s="657"/>
      <c r="UEX1" s="657"/>
      <c r="UEY1" s="657"/>
      <c r="UEZ1" s="657"/>
      <c r="UFA1" s="657"/>
      <c r="UFB1" s="657"/>
      <c r="UFC1" s="657"/>
      <c r="UFD1" s="657"/>
      <c r="UFE1" s="657"/>
      <c r="UFF1" s="657"/>
      <c r="UFG1" s="657"/>
      <c r="UFH1" s="657"/>
      <c r="UFI1" s="657"/>
      <c r="UFJ1" s="657"/>
      <c r="UFK1" s="657"/>
      <c r="UFL1" s="657"/>
      <c r="UFM1" s="657"/>
      <c r="UFN1" s="657"/>
      <c r="UFO1" s="657"/>
      <c r="UFP1" s="657"/>
      <c r="UFQ1" s="657"/>
      <c r="UFR1" s="657"/>
      <c r="UFS1" s="657"/>
      <c r="UFT1" s="657"/>
      <c r="UFU1" s="657"/>
      <c r="UFV1" s="657"/>
      <c r="UFW1" s="657"/>
      <c r="UFX1" s="657"/>
      <c r="UFY1" s="657"/>
      <c r="UFZ1" s="657"/>
      <c r="UGA1" s="657"/>
      <c r="UGB1" s="657"/>
      <c r="UGC1" s="657"/>
      <c r="UGD1" s="657"/>
      <c r="UGE1" s="657"/>
      <c r="UGF1" s="657"/>
      <c r="UGG1" s="657"/>
      <c r="UGH1" s="657"/>
      <c r="UGI1" s="657"/>
      <c r="UGJ1" s="657"/>
      <c r="UGK1" s="657"/>
      <c r="UGL1" s="657"/>
      <c r="UGM1" s="657"/>
      <c r="UGN1" s="657"/>
      <c r="UGO1" s="657"/>
      <c r="UGP1" s="657"/>
      <c r="UGQ1" s="657"/>
      <c r="UGR1" s="657"/>
      <c r="UGS1" s="657"/>
      <c r="UGT1" s="657"/>
      <c r="UGU1" s="657"/>
      <c r="UGV1" s="657"/>
      <c r="UGW1" s="657"/>
      <c r="UGX1" s="657"/>
      <c r="UGY1" s="657"/>
      <c r="UGZ1" s="657"/>
      <c r="UHA1" s="657"/>
      <c r="UHB1" s="657"/>
      <c r="UHC1" s="657"/>
      <c r="UHD1" s="657"/>
      <c r="UHE1" s="657"/>
      <c r="UHF1" s="657"/>
      <c r="UHG1" s="657"/>
      <c r="UHH1" s="657"/>
      <c r="UHI1" s="657"/>
      <c r="UHJ1" s="657"/>
      <c r="UHK1" s="657"/>
      <c r="UHL1" s="657"/>
      <c r="UHM1" s="657"/>
      <c r="UHN1" s="657"/>
      <c r="UHO1" s="657"/>
      <c r="UHP1" s="657"/>
      <c r="UHQ1" s="657"/>
      <c r="UHR1" s="657"/>
      <c r="UHS1" s="657"/>
      <c r="UHT1" s="657"/>
      <c r="UHU1" s="657"/>
      <c r="UHV1" s="657"/>
      <c r="UHW1" s="657"/>
      <c r="UHX1" s="657"/>
      <c r="UHY1" s="657"/>
      <c r="UHZ1" s="657"/>
      <c r="UIA1" s="657"/>
      <c r="UIB1" s="657"/>
      <c r="UIC1" s="657"/>
      <c r="UID1" s="657"/>
      <c r="UIE1" s="657"/>
      <c r="UIF1" s="657"/>
      <c r="UIG1" s="657"/>
      <c r="UIH1" s="657"/>
      <c r="UII1" s="657"/>
      <c r="UIJ1" s="657"/>
      <c r="UIK1" s="657"/>
      <c r="UIL1" s="657"/>
      <c r="UIM1" s="657"/>
      <c r="UIN1" s="657"/>
      <c r="UIO1" s="657"/>
      <c r="UIP1" s="657"/>
      <c r="UIQ1" s="657"/>
      <c r="UIR1" s="657"/>
      <c r="UIS1" s="657"/>
      <c r="UIT1" s="657"/>
      <c r="UIU1" s="657"/>
      <c r="UIV1" s="657"/>
      <c r="UIW1" s="657"/>
      <c r="UIX1" s="657"/>
      <c r="UIY1" s="657"/>
      <c r="UIZ1" s="657"/>
      <c r="UJA1" s="657"/>
      <c r="UJB1" s="657"/>
      <c r="UJC1" s="657"/>
      <c r="UJD1" s="657"/>
      <c r="UJE1" s="657"/>
      <c r="UJF1" s="657"/>
      <c r="UJG1" s="657"/>
      <c r="UJH1" s="657"/>
      <c r="UJI1" s="657"/>
      <c r="UJJ1" s="657"/>
      <c r="UJK1" s="657"/>
      <c r="UJL1" s="657"/>
      <c r="UJM1" s="657"/>
      <c r="UJN1" s="657"/>
      <c r="UJO1" s="657"/>
      <c r="UJP1" s="657"/>
      <c r="UJQ1" s="657"/>
      <c r="UJR1" s="657"/>
      <c r="UJS1" s="657"/>
      <c r="UJT1" s="657"/>
      <c r="UJU1" s="657"/>
      <c r="UJV1" s="657"/>
      <c r="UJW1" s="657"/>
      <c r="UJX1" s="657"/>
      <c r="UJY1" s="657"/>
      <c r="UJZ1" s="657"/>
      <c r="UKA1" s="657"/>
      <c r="UKB1" s="657"/>
      <c r="UKC1" s="657"/>
      <c r="UKD1" s="657"/>
      <c r="UKE1" s="657"/>
      <c r="UKF1" s="657"/>
      <c r="UKG1" s="657"/>
      <c r="UKH1" s="657"/>
      <c r="UKI1" s="657"/>
      <c r="UKJ1" s="657"/>
      <c r="UKK1" s="657"/>
      <c r="UKL1" s="657"/>
      <c r="UKM1" s="657"/>
      <c r="UKN1" s="657"/>
      <c r="UKO1" s="657"/>
      <c r="UKP1" s="657"/>
      <c r="UKQ1" s="657"/>
      <c r="UKR1" s="657"/>
      <c r="UKS1" s="657"/>
      <c r="UKT1" s="657"/>
      <c r="UKU1" s="657"/>
      <c r="UKV1" s="657"/>
      <c r="UKW1" s="657"/>
      <c r="UKX1" s="657"/>
      <c r="UKY1" s="657"/>
      <c r="UKZ1" s="657"/>
      <c r="ULA1" s="657"/>
      <c r="ULB1" s="657"/>
      <c r="ULC1" s="657"/>
      <c r="ULD1" s="657"/>
      <c r="ULE1" s="657"/>
      <c r="ULF1" s="657"/>
      <c r="ULG1" s="657"/>
      <c r="ULH1" s="657"/>
      <c r="ULI1" s="657"/>
      <c r="ULJ1" s="657"/>
      <c r="ULK1" s="657"/>
      <c r="ULL1" s="657"/>
      <c r="ULM1" s="657"/>
      <c r="ULN1" s="657"/>
      <c r="ULO1" s="657"/>
      <c r="ULP1" s="657"/>
      <c r="ULQ1" s="657"/>
      <c r="ULR1" s="657"/>
      <c r="ULS1" s="657"/>
      <c r="ULT1" s="657"/>
      <c r="ULU1" s="657"/>
      <c r="ULV1" s="657"/>
      <c r="ULW1" s="657"/>
      <c r="ULX1" s="657"/>
      <c r="ULY1" s="657"/>
      <c r="ULZ1" s="657"/>
      <c r="UMA1" s="657"/>
      <c r="UMB1" s="657"/>
      <c r="UMC1" s="657"/>
      <c r="UMD1" s="657"/>
      <c r="UME1" s="657"/>
      <c r="UMF1" s="657"/>
      <c r="UMG1" s="657"/>
      <c r="UMH1" s="657"/>
      <c r="UMI1" s="657"/>
      <c r="UMJ1" s="657"/>
      <c r="UMK1" s="657"/>
      <c r="UML1" s="657"/>
      <c r="UMM1" s="657"/>
      <c r="UMN1" s="657"/>
      <c r="UMO1" s="657"/>
      <c r="UMP1" s="657"/>
      <c r="UMQ1" s="657"/>
      <c r="UMR1" s="657"/>
      <c r="UMS1" s="657"/>
      <c r="UMT1" s="657"/>
      <c r="UMU1" s="657"/>
      <c r="UMV1" s="657"/>
      <c r="UMW1" s="657"/>
      <c r="UMX1" s="657"/>
      <c r="UMY1" s="657"/>
      <c r="UMZ1" s="657"/>
      <c r="UNA1" s="657"/>
      <c r="UNB1" s="657"/>
      <c r="UNC1" s="657"/>
      <c r="UND1" s="657"/>
      <c r="UNE1" s="657"/>
      <c r="UNF1" s="657"/>
      <c r="UNG1" s="657"/>
      <c r="UNH1" s="657"/>
      <c r="UNI1" s="657"/>
      <c r="UNJ1" s="657"/>
      <c r="UNK1" s="657"/>
      <c r="UNL1" s="657"/>
      <c r="UNM1" s="657"/>
      <c r="UNN1" s="657"/>
      <c r="UNO1" s="657"/>
      <c r="UNP1" s="657"/>
      <c r="UNQ1" s="657"/>
      <c r="UNR1" s="657"/>
      <c r="UNS1" s="657"/>
      <c r="UNT1" s="657"/>
      <c r="UNU1" s="657"/>
      <c r="UNV1" s="657"/>
      <c r="UNW1" s="657"/>
      <c r="UNX1" s="657"/>
      <c r="UNY1" s="657"/>
      <c r="UNZ1" s="657"/>
      <c r="UOA1" s="657"/>
      <c r="UOB1" s="657"/>
      <c r="UOC1" s="657"/>
      <c r="UOD1" s="657"/>
      <c r="UOE1" s="657"/>
      <c r="UOF1" s="657"/>
      <c r="UOG1" s="657"/>
      <c r="UOH1" s="657"/>
      <c r="UOI1" s="657"/>
      <c r="UOJ1" s="657"/>
      <c r="UOK1" s="657"/>
      <c r="UOL1" s="657"/>
      <c r="UOM1" s="657"/>
      <c r="UON1" s="657"/>
      <c r="UOO1" s="657"/>
      <c r="UOP1" s="657"/>
      <c r="UOQ1" s="657"/>
      <c r="UOR1" s="657"/>
      <c r="UOS1" s="657"/>
      <c r="UOT1" s="657"/>
      <c r="UOU1" s="657"/>
      <c r="UOV1" s="657"/>
      <c r="UOW1" s="657"/>
      <c r="UOX1" s="657"/>
      <c r="UOY1" s="657"/>
      <c r="UOZ1" s="657"/>
      <c r="UPA1" s="657"/>
      <c r="UPB1" s="657"/>
      <c r="UPC1" s="657"/>
      <c r="UPD1" s="657"/>
      <c r="UPE1" s="657"/>
      <c r="UPF1" s="657"/>
      <c r="UPG1" s="657"/>
      <c r="UPH1" s="657"/>
      <c r="UPI1" s="657"/>
      <c r="UPJ1" s="657"/>
      <c r="UPK1" s="657"/>
      <c r="UPL1" s="657"/>
      <c r="UPM1" s="657"/>
      <c r="UPN1" s="657"/>
      <c r="UPO1" s="657"/>
      <c r="UPP1" s="657"/>
      <c r="UPQ1" s="657"/>
      <c r="UPR1" s="657"/>
      <c r="UPS1" s="657"/>
      <c r="UPT1" s="657"/>
      <c r="UPU1" s="657"/>
      <c r="UPV1" s="657"/>
      <c r="UPW1" s="657"/>
      <c r="UPX1" s="657"/>
      <c r="UPY1" s="657"/>
      <c r="UPZ1" s="657"/>
      <c r="UQA1" s="657"/>
      <c r="UQB1" s="657"/>
      <c r="UQC1" s="657"/>
      <c r="UQD1" s="657"/>
      <c r="UQE1" s="657"/>
      <c r="UQF1" s="657"/>
      <c r="UQG1" s="657"/>
      <c r="UQH1" s="657"/>
      <c r="UQI1" s="657"/>
      <c r="UQJ1" s="657"/>
      <c r="UQK1" s="657"/>
      <c r="UQL1" s="657"/>
      <c r="UQM1" s="657"/>
      <c r="UQN1" s="657"/>
      <c r="UQO1" s="657"/>
      <c r="UQP1" s="657"/>
      <c r="UQQ1" s="657"/>
      <c r="UQR1" s="657"/>
      <c r="UQS1" s="657"/>
      <c r="UQT1" s="657"/>
      <c r="UQU1" s="657"/>
      <c r="UQV1" s="657"/>
      <c r="UQW1" s="657"/>
      <c r="UQX1" s="657"/>
      <c r="UQY1" s="657"/>
      <c r="UQZ1" s="657"/>
      <c r="URA1" s="657"/>
      <c r="URB1" s="657"/>
      <c r="URC1" s="657"/>
      <c r="URD1" s="657"/>
      <c r="URE1" s="657"/>
      <c r="URF1" s="657"/>
      <c r="URG1" s="657"/>
      <c r="URH1" s="657"/>
      <c r="URI1" s="657"/>
      <c r="URJ1" s="657"/>
      <c r="URK1" s="657"/>
      <c r="URL1" s="657"/>
      <c r="URM1" s="657"/>
      <c r="URN1" s="657"/>
      <c r="URO1" s="657"/>
      <c r="URP1" s="657"/>
      <c r="URQ1" s="657"/>
      <c r="URR1" s="657"/>
      <c r="URS1" s="657"/>
      <c r="URT1" s="657"/>
      <c r="URU1" s="657"/>
      <c r="URV1" s="657"/>
      <c r="URW1" s="657"/>
      <c r="URX1" s="657"/>
      <c r="URY1" s="657"/>
      <c r="URZ1" s="657"/>
      <c r="USA1" s="657"/>
      <c r="USB1" s="657"/>
      <c r="USC1" s="657"/>
      <c r="USD1" s="657"/>
      <c r="USE1" s="657"/>
      <c r="USF1" s="657"/>
      <c r="USG1" s="657"/>
      <c r="USH1" s="657"/>
      <c r="USI1" s="657"/>
      <c r="USJ1" s="657"/>
      <c r="USK1" s="657"/>
      <c r="USL1" s="657"/>
      <c r="USM1" s="657"/>
      <c r="USN1" s="657"/>
      <c r="USO1" s="657"/>
      <c r="USP1" s="657"/>
      <c r="USQ1" s="657"/>
      <c r="USR1" s="657"/>
      <c r="USS1" s="657"/>
      <c r="UST1" s="657"/>
      <c r="USU1" s="657"/>
      <c r="USV1" s="657"/>
      <c r="USW1" s="657"/>
      <c r="USX1" s="657"/>
      <c r="USY1" s="657"/>
      <c r="USZ1" s="657"/>
      <c r="UTA1" s="657"/>
      <c r="UTB1" s="657"/>
      <c r="UTC1" s="657"/>
      <c r="UTD1" s="657"/>
      <c r="UTE1" s="657"/>
      <c r="UTF1" s="657"/>
      <c r="UTG1" s="657"/>
      <c r="UTH1" s="657"/>
      <c r="UTI1" s="657"/>
      <c r="UTJ1" s="657"/>
      <c r="UTK1" s="657"/>
      <c r="UTL1" s="657"/>
      <c r="UTM1" s="657"/>
      <c r="UTN1" s="657"/>
      <c r="UTO1" s="657"/>
      <c r="UTP1" s="657"/>
      <c r="UTQ1" s="657"/>
      <c r="UTR1" s="657"/>
      <c r="UTS1" s="657"/>
      <c r="UTT1" s="657"/>
      <c r="UTU1" s="657"/>
      <c r="UTV1" s="657"/>
      <c r="UTW1" s="657"/>
      <c r="UTX1" s="657"/>
      <c r="UTY1" s="657"/>
      <c r="UTZ1" s="657"/>
      <c r="UUA1" s="657"/>
      <c r="UUB1" s="657"/>
      <c r="UUC1" s="657"/>
      <c r="UUD1" s="657"/>
      <c r="UUE1" s="657"/>
      <c r="UUF1" s="657"/>
      <c r="UUG1" s="657"/>
      <c r="UUH1" s="657"/>
      <c r="UUI1" s="657"/>
      <c r="UUJ1" s="657"/>
      <c r="UUK1" s="657"/>
      <c r="UUL1" s="657"/>
      <c r="UUM1" s="657"/>
      <c r="UUN1" s="657"/>
      <c r="UUO1" s="657"/>
      <c r="UUP1" s="657"/>
      <c r="UUQ1" s="657"/>
      <c r="UUR1" s="657"/>
      <c r="UUS1" s="657"/>
      <c r="UUT1" s="657"/>
      <c r="UUU1" s="657"/>
      <c r="UUV1" s="657"/>
      <c r="UUW1" s="657"/>
      <c r="UUX1" s="657"/>
      <c r="UUY1" s="657"/>
      <c r="UUZ1" s="657"/>
      <c r="UVA1" s="657"/>
      <c r="UVB1" s="657"/>
      <c r="UVC1" s="657"/>
      <c r="UVD1" s="657"/>
      <c r="UVE1" s="657"/>
      <c r="UVF1" s="657"/>
      <c r="UVG1" s="657"/>
      <c r="UVH1" s="657"/>
      <c r="UVI1" s="657"/>
      <c r="UVJ1" s="657"/>
      <c r="UVK1" s="657"/>
      <c r="UVL1" s="657"/>
      <c r="UVM1" s="657"/>
      <c r="UVN1" s="657"/>
      <c r="UVO1" s="657"/>
      <c r="UVP1" s="657"/>
      <c r="UVQ1" s="657"/>
      <c r="UVR1" s="657"/>
      <c r="UVS1" s="657"/>
      <c r="UVT1" s="657"/>
      <c r="UVU1" s="657"/>
      <c r="UVV1" s="657"/>
      <c r="UVW1" s="657"/>
      <c r="UVX1" s="657"/>
      <c r="UVY1" s="657"/>
      <c r="UVZ1" s="657"/>
      <c r="UWA1" s="657"/>
      <c r="UWB1" s="657"/>
      <c r="UWC1" s="657"/>
      <c r="UWD1" s="657"/>
      <c r="UWE1" s="657"/>
      <c r="UWF1" s="657"/>
      <c r="UWG1" s="657"/>
      <c r="UWH1" s="657"/>
      <c r="UWI1" s="657"/>
      <c r="UWJ1" s="657"/>
      <c r="UWK1" s="657"/>
      <c r="UWL1" s="657"/>
      <c r="UWM1" s="657"/>
      <c r="UWN1" s="657"/>
      <c r="UWO1" s="657"/>
      <c r="UWP1" s="657"/>
      <c r="UWQ1" s="657"/>
      <c r="UWR1" s="657"/>
      <c r="UWS1" s="657"/>
      <c r="UWT1" s="657"/>
      <c r="UWU1" s="657"/>
      <c r="UWV1" s="657"/>
      <c r="UWW1" s="657"/>
      <c r="UWX1" s="657"/>
      <c r="UWY1" s="657"/>
      <c r="UWZ1" s="657"/>
      <c r="UXA1" s="657"/>
      <c r="UXB1" s="657"/>
      <c r="UXC1" s="657"/>
      <c r="UXD1" s="657"/>
      <c r="UXE1" s="657"/>
      <c r="UXF1" s="657"/>
      <c r="UXG1" s="657"/>
      <c r="UXH1" s="657"/>
      <c r="UXI1" s="657"/>
      <c r="UXJ1" s="657"/>
      <c r="UXK1" s="657"/>
      <c r="UXL1" s="657"/>
      <c r="UXM1" s="657"/>
      <c r="UXN1" s="657"/>
      <c r="UXO1" s="657"/>
      <c r="UXP1" s="657"/>
      <c r="UXQ1" s="657"/>
      <c r="UXR1" s="657"/>
      <c r="UXS1" s="657"/>
      <c r="UXT1" s="657"/>
      <c r="UXU1" s="657"/>
      <c r="UXV1" s="657"/>
      <c r="UXW1" s="657"/>
      <c r="UXX1" s="657"/>
      <c r="UXY1" s="657"/>
      <c r="UXZ1" s="657"/>
      <c r="UYA1" s="657"/>
      <c r="UYB1" s="657"/>
      <c r="UYC1" s="657"/>
      <c r="UYD1" s="657"/>
      <c r="UYE1" s="657"/>
      <c r="UYF1" s="657"/>
      <c r="UYG1" s="657"/>
      <c r="UYH1" s="657"/>
      <c r="UYI1" s="657"/>
      <c r="UYJ1" s="657"/>
      <c r="UYK1" s="657"/>
      <c r="UYL1" s="657"/>
      <c r="UYM1" s="657"/>
      <c r="UYN1" s="657"/>
      <c r="UYO1" s="657"/>
      <c r="UYP1" s="657"/>
      <c r="UYQ1" s="657"/>
      <c r="UYR1" s="657"/>
      <c r="UYS1" s="657"/>
      <c r="UYT1" s="657"/>
      <c r="UYU1" s="657"/>
      <c r="UYV1" s="657"/>
      <c r="UYW1" s="657"/>
      <c r="UYX1" s="657"/>
      <c r="UYY1" s="657"/>
      <c r="UYZ1" s="657"/>
      <c r="UZA1" s="657"/>
      <c r="UZB1" s="657"/>
      <c r="UZC1" s="657"/>
      <c r="UZD1" s="657"/>
      <c r="UZE1" s="657"/>
      <c r="UZF1" s="657"/>
      <c r="UZG1" s="657"/>
      <c r="UZH1" s="657"/>
      <c r="UZI1" s="657"/>
      <c r="UZJ1" s="657"/>
      <c r="UZK1" s="657"/>
      <c r="UZL1" s="657"/>
      <c r="UZM1" s="657"/>
      <c r="UZN1" s="657"/>
      <c r="UZO1" s="657"/>
      <c r="UZP1" s="657"/>
      <c r="UZQ1" s="657"/>
      <c r="UZR1" s="657"/>
      <c r="UZS1" s="657"/>
      <c r="UZT1" s="657"/>
      <c r="UZU1" s="657"/>
      <c r="UZV1" s="657"/>
      <c r="UZW1" s="657"/>
      <c r="UZX1" s="657"/>
      <c r="UZY1" s="657"/>
      <c r="UZZ1" s="657"/>
      <c r="VAA1" s="657"/>
      <c r="VAB1" s="657"/>
      <c r="VAC1" s="657"/>
      <c r="VAD1" s="657"/>
      <c r="VAE1" s="657"/>
      <c r="VAF1" s="657"/>
      <c r="VAG1" s="657"/>
      <c r="VAH1" s="657"/>
      <c r="VAI1" s="657"/>
      <c r="VAJ1" s="657"/>
      <c r="VAK1" s="657"/>
      <c r="VAL1" s="657"/>
      <c r="VAM1" s="657"/>
      <c r="VAN1" s="657"/>
      <c r="VAO1" s="657"/>
      <c r="VAP1" s="657"/>
      <c r="VAQ1" s="657"/>
      <c r="VAR1" s="657"/>
      <c r="VAS1" s="657"/>
      <c r="VAT1" s="657"/>
      <c r="VAU1" s="657"/>
      <c r="VAV1" s="657"/>
      <c r="VAW1" s="657"/>
      <c r="VAX1" s="657"/>
      <c r="VAY1" s="657"/>
      <c r="VAZ1" s="657"/>
      <c r="VBA1" s="657"/>
      <c r="VBB1" s="657"/>
      <c r="VBC1" s="657"/>
      <c r="VBD1" s="657"/>
      <c r="VBE1" s="657"/>
      <c r="VBF1" s="657"/>
      <c r="VBG1" s="657"/>
      <c r="VBH1" s="657"/>
      <c r="VBI1" s="657"/>
      <c r="VBJ1" s="657"/>
      <c r="VBK1" s="657"/>
      <c r="VBL1" s="657"/>
      <c r="VBM1" s="657"/>
      <c r="VBN1" s="657"/>
      <c r="VBO1" s="657"/>
      <c r="VBP1" s="657"/>
      <c r="VBQ1" s="657"/>
      <c r="VBR1" s="657"/>
      <c r="VBS1" s="657"/>
      <c r="VBT1" s="657"/>
      <c r="VBU1" s="657"/>
      <c r="VBV1" s="657"/>
      <c r="VBW1" s="657"/>
      <c r="VBX1" s="657"/>
      <c r="VBY1" s="657"/>
      <c r="VBZ1" s="657"/>
      <c r="VCA1" s="657"/>
      <c r="VCB1" s="657"/>
      <c r="VCC1" s="657"/>
      <c r="VCD1" s="657"/>
      <c r="VCE1" s="657"/>
      <c r="VCF1" s="657"/>
      <c r="VCG1" s="657"/>
      <c r="VCH1" s="657"/>
      <c r="VCI1" s="657"/>
      <c r="VCJ1" s="657"/>
      <c r="VCK1" s="657"/>
      <c r="VCL1" s="657"/>
      <c r="VCM1" s="657"/>
      <c r="VCN1" s="657"/>
      <c r="VCO1" s="657"/>
      <c r="VCP1" s="657"/>
      <c r="VCQ1" s="657"/>
      <c r="VCR1" s="657"/>
      <c r="VCS1" s="657"/>
      <c r="VCT1" s="657"/>
      <c r="VCU1" s="657"/>
      <c r="VCV1" s="657"/>
      <c r="VCW1" s="657"/>
      <c r="VCX1" s="657"/>
      <c r="VCY1" s="657"/>
      <c r="VCZ1" s="657"/>
      <c r="VDA1" s="657"/>
      <c r="VDB1" s="657"/>
      <c r="VDC1" s="657"/>
      <c r="VDD1" s="657"/>
      <c r="VDE1" s="657"/>
      <c r="VDF1" s="657"/>
      <c r="VDG1" s="657"/>
      <c r="VDH1" s="657"/>
      <c r="VDI1" s="657"/>
      <c r="VDJ1" s="657"/>
      <c r="VDK1" s="657"/>
      <c r="VDL1" s="657"/>
      <c r="VDM1" s="657"/>
      <c r="VDN1" s="657"/>
      <c r="VDO1" s="657"/>
      <c r="VDP1" s="657"/>
      <c r="VDQ1" s="657"/>
      <c r="VDR1" s="657"/>
      <c r="VDS1" s="657"/>
      <c r="VDT1" s="657"/>
      <c r="VDU1" s="657"/>
      <c r="VDV1" s="657"/>
      <c r="VDW1" s="657"/>
      <c r="VDX1" s="657"/>
      <c r="VDY1" s="657"/>
      <c r="VDZ1" s="657"/>
      <c r="VEA1" s="657"/>
      <c r="VEB1" s="657"/>
      <c r="VEC1" s="657"/>
      <c r="VED1" s="657"/>
      <c r="VEE1" s="657"/>
      <c r="VEF1" s="657"/>
      <c r="VEG1" s="657"/>
      <c r="VEH1" s="657"/>
      <c r="VEI1" s="657"/>
      <c r="VEJ1" s="657"/>
      <c r="VEK1" s="657"/>
      <c r="VEL1" s="657"/>
      <c r="VEM1" s="657"/>
      <c r="VEN1" s="657"/>
      <c r="VEO1" s="657"/>
      <c r="VEP1" s="657"/>
      <c r="VEQ1" s="657"/>
      <c r="VER1" s="657"/>
      <c r="VES1" s="657"/>
      <c r="VET1" s="657"/>
      <c r="VEU1" s="657"/>
      <c r="VEV1" s="657"/>
      <c r="VEW1" s="657"/>
      <c r="VEX1" s="657"/>
      <c r="VEY1" s="657"/>
      <c r="VEZ1" s="657"/>
      <c r="VFA1" s="657"/>
      <c r="VFB1" s="657"/>
      <c r="VFC1" s="657"/>
      <c r="VFD1" s="657"/>
      <c r="VFE1" s="657"/>
      <c r="VFF1" s="657"/>
      <c r="VFG1" s="657"/>
      <c r="VFH1" s="657"/>
      <c r="VFI1" s="657"/>
      <c r="VFJ1" s="657"/>
      <c r="VFK1" s="657"/>
      <c r="VFL1" s="657"/>
      <c r="VFM1" s="657"/>
      <c r="VFN1" s="657"/>
      <c r="VFO1" s="657"/>
      <c r="VFP1" s="657"/>
      <c r="VFQ1" s="657"/>
      <c r="VFR1" s="657"/>
      <c r="VFS1" s="657"/>
      <c r="VFT1" s="657"/>
      <c r="VFU1" s="657"/>
      <c r="VFV1" s="657"/>
      <c r="VFW1" s="657"/>
      <c r="VFX1" s="657"/>
      <c r="VFY1" s="657"/>
      <c r="VFZ1" s="657"/>
      <c r="VGA1" s="657"/>
      <c r="VGB1" s="657"/>
      <c r="VGC1" s="657"/>
      <c r="VGD1" s="657"/>
      <c r="VGE1" s="657"/>
      <c r="VGF1" s="657"/>
      <c r="VGG1" s="657"/>
      <c r="VGH1" s="657"/>
      <c r="VGI1" s="657"/>
      <c r="VGJ1" s="657"/>
      <c r="VGK1" s="657"/>
      <c r="VGL1" s="657"/>
      <c r="VGM1" s="657"/>
      <c r="VGN1" s="657"/>
      <c r="VGO1" s="657"/>
      <c r="VGP1" s="657"/>
      <c r="VGQ1" s="657"/>
      <c r="VGR1" s="657"/>
      <c r="VGS1" s="657"/>
      <c r="VGT1" s="657"/>
      <c r="VGU1" s="657"/>
      <c r="VGV1" s="657"/>
      <c r="VGW1" s="657"/>
      <c r="VGX1" s="657"/>
      <c r="VGY1" s="657"/>
      <c r="VGZ1" s="657"/>
      <c r="VHA1" s="657"/>
      <c r="VHB1" s="657"/>
      <c r="VHC1" s="657"/>
      <c r="VHD1" s="657"/>
      <c r="VHE1" s="657"/>
      <c r="VHF1" s="657"/>
      <c r="VHG1" s="657"/>
      <c r="VHH1" s="657"/>
      <c r="VHI1" s="657"/>
      <c r="VHJ1" s="657"/>
      <c r="VHK1" s="657"/>
      <c r="VHL1" s="657"/>
      <c r="VHM1" s="657"/>
      <c r="VHN1" s="657"/>
      <c r="VHO1" s="657"/>
      <c r="VHP1" s="657"/>
      <c r="VHQ1" s="657"/>
      <c r="VHR1" s="657"/>
      <c r="VHS1" s="657"/>
      <c r="VHT1" s="657"/>
      <c r="VHU1" s="657"/>
      <c r="VHV1" s="657"/>
      <c r="VHW1" s="657"/>
      <c r="VHX1" s="657"/>
      <c r="VHY1" s="657"/>
      <c r="VHZ1" s="657"/>
      <c r="VIA1" s="657"/>
      <c r="VIB1" s="657"/>
      <c r="VIC1" s="657"/>
      <c r="VID1" s="657"/>
      <c r="VIE1" s="657"/>
      <c r="VIF1" s="657"/>
      <c r="VIG1" s="657"/>
      <c r="VIH1" s="657"/>
      <c r="VII1" s="657"/>
      <c r="VIJ1" s="657"/>
      <c r="VIK1" s="657"/>
      <c r="VIL1" s="657"/>
      <c r="VIM1" s="657"/>
      <c r="VIN1" s="657"/>
      <c r="VIO1" s="657"/>
      <c r="VIP1" s="657"/>
      <c r="VIQ1" s="657"/>
      <c r="VIR1" s="657"/>
      <c r="VIS1" s="657"/>
      <c r="VIT1" s="657"/>
      <c r="VIU1" s="657"/>
      <c r="VIV1" s="657"/>
      <c r="VIW1" s="657"/>
      <c r="VIX1" s="657"/>
      <c r="VIY1" s="657"/>
      <c r="VIZ1" s="657"/>
      <c r="VJA1" s="657"/>
      <c r="VJB1" s="657"/>
      <c r="VJC1" s="657"/>
      <c r="VJD1" s="657"/>
      <c r="VJE1" s="657"/>
      <c r="VJF1" s="657"/>
      <c r="VJG1" s="657"/>
      <c r="VJH1" s="657"/>
      <c r="VJI1" s="657"/>
      <c r="VJJ1" s="657"/>
      <c r="VJK1" s="657"/>
      <c r="VJL1" s="657"/>
      <c r="VJM1" s="657"/>
      <c r="VJN1" s="657"/>
      <c r="VJO1" s="657"/>
      <c r="VJP1" s="657"/>
      <c r="VJQ1" s="657"/>
      <c r="VJR1" s="657"/>
      <c r="VJS1" s="657"/>
      <c r="VJT1" s="657"/>
      <c r="VJU1" s="657"/>
      <c r="VJV1" s="657"/>
      <c r="VJW1" s="657"/>
      <c r="VJX1" s="657"/>
      <c r="VJY1" s="657"/>
      <c r="VJZ1" s="657"/>
      <c r="VKA1" s="657"/>
      <c r="VKB1" s="657"/>
      <c r="VKC1" s="657"/>
      <c r="VKD1" s="657"/>
      <c r="VKE1" s="657"/>
      <c r="VKF1" s="657"/>
      <c r="VKG1" s="657"/>
      <c r="VKH1" s="657"/>
      <c r="VKI1" s="657"/>
      <c r="VKJ1" s="657"/>
      <c r="VKK1" s="657"/>
      <c r="VKL1" s="657"/>
      <c r="VKM1" s="657"/>
      <c r="VKN1" s="657"/>
      <c r="VKO1" s="657"/>
      <c r="VKP1" s="657"/>
      <c r="VKQ1" s="657"/>
      <c r="VKR1" s="657"/>
      <c r="VKS1" s="657"/>
      <c r="VKT1" s="657"/>
      <c r="VKU1" s="657"/>
      <c r="VKV1" s="657"/>
      <c r="VKW1" s="657"/>
      <c r="VKX1" s="657"/>
      <c r="VKY1" s="657"/>
      <c r="VKZ1" s="657"/>
      <c r="VLA1" s="657"/>
      <c r="VLB1" s="657"/>
      <c r="VLC1" s="657"/>
      <c r="VLD1" s="657"/>
      <c r="VLE1" s="657"/>
      <c r="VLF1" s="657"/>
      <c r="VLG1" s="657"/>
      <c r="VLH1" s="657"/>
      <c r="VLI1" s="657"/>
      <c r="VLJ1" s="657"/>
      <c r="VLK1" s="657"/>
      <c r="VLL1" s="657"/>
      <c r="VLM1" s="657"/>
      <c r="VLN1" s="657"/>
      <c r="VLO1" s="657"/>
      <c r="VLP1" s="657"/>
      <c r="VLQ1" s="657"/>
      <c r="VLR1" s="657"/>
      <c r="VLS1" s="657"/>
      <c r="VLT1" s="657"/>
      <c r="VLU1" s="657"/>
      <c r="VLV1" s="657"/>
      <c r="VLW1" s="657"/>
      <c r="VLX1" s="657"/>
      <c r="VLY1" s="657"/>
      <c r="VLZ1" s="657"/>
      <c r="VMA1" s="657"/>
      <c r="VMB1" s="657"/>
      <c r="VMC1" s="657"/>
      <c r="VMD1" s="657"/>
      <c r="VME1" s="657"/>
      <c r="VMF1" s="657"/>
      <c r="VMG1" s="657"/>
      <c r="VMH1" s="657"/>
      <c r="VMI1" s="657"/>
      <c r="VMJ1" s="657"/>
      <c r="VMK1" s="657"/>
      <c r="VML1" s="657"/>
      <c r="VMM1" s="657"/>
      <c r="VMN1" s="657"/>
      <c r="VMO1" s="657"/>
      <c r="VMP1" s="657"/>
      <c r="VMQ1" s="657"/>
      <c r="VMR1" s="657"/>
      <c r="VMS1" s="657"/>
      <c r="VMT1" s="657"/>
      <c r="VMU1" s="657"/>
      <c r="VMV1" s="657"/>
      <c r="VMW1" s="657"/>
      <c r="VMX1" s="657"/>
      <c r="VMY1" s="657"/>
      <c r="VMZ1" s="657"/>
      <c r="VNA1" s="657"/>
      <c r="VNB1" s="657"/>
      <c r="VNC1" s="657"/>
      <c r="VND1" s="657"/>
      <c r="VNE1" s="657"/>
      <c r="VNF1" s="657"/>
      <c r="VNG1" s="657"/>
      <c r="VNH1" s="657"/>
      <c r="VNI1" s="657"/>
      <c r="VNJ1" s="657"/>
      <c r="VNK1" s="657"/>
      <c r="VNL1" s="657"/>
      <c r="VNM1" s="657"/>
      <c r="VNN1" s="657"/>
      <c r="VNO1" s="657"/>
      <c r="VNP1" s="657"/>
      <c r="VNQ1" s="657"/>
      <c r="VNR1" s="657"/>
      <c r="VNS1" s="657"/>
      <c r="VNT1" s="657"/>
      <c r="VNU1" s="657"/>
      <c r="VNV1" s="657"/>
      <c r="VNW1" s="657"/>
      <c r="VNX1" s="657"/>
      <c r="VNY1" s="657"/>
      <c r="VNZ1" s="657"/>
      <c r="VOA1" s="657"/>
      <c r="VOB1" s="657"/>
      <c r="VOC1" s="657"/>
      <c r="VOD1" s="657"/>
      <c r="VOE1" s="657"/>
      <c r="VOF1" s="657"/>
      <c r="VOG1" s="657"/>
      <c r="VOH1" s="657"/>
      <c r="VOI1" s="657"/>
      <c r="VOJ1" s="657"/>
      <c r="VOK1" s="657"/>
      <c r="VOL1" s="657"/>
      <c r="VOM1" s="657"/>
      <c r="VON1" s="657"/>
      <c r="VOO1" s="657"/>
      <c r="VOP1" s="657"/>
      <c r="VOQ1" s="657"/>
      <c r="VOR1" s="657"/>
      <c r="VOS1" s="657"/>
      <c r="VOT1" s="657"/>
      <c r="VOU1" s="657"/>
      <c r="VOV1" s="657"/>
      <c r="VOW1" s="657"/>
      <c r="VOX1" s="657"/>
      <c r="VOY1" s="657"/>
      <c r="VOZ1" s="657"/>
      <c r="VPA1" s="657"/>
      <c r="VPB1" s="657"/>
      <c r="VPC1" s="657"/>
      <c r="VPD1" s="657"/>
      <c r="VPE1" s="657"/>
      <c r="VPF1" s="657"/>
      <c r="VPG1" s="657"/>
      <c r="VPH1" s="657"/>
      <c r="VPI1" s="657"/>
      <c r="VPJ1" s="657"/>
      <c r="VPK1" s="657"/>
      <c r="VPL1" s="657"/>
      <c r="VPM1" s="657"/>
      <c r="VPN1" s="657"/>
      <c r="VPO1" s="657"/>
      <c r="VPP1" s="657"/>
      <c r="VPQ1" s="657"/>
      <c r="VPR1" s="657"/>
      <c r="VPS1" s="657"/>
      <c r="VPT1" s="657"/>
      <c r="VPU1" s="657"/>
      <c r="VPV1" s="657"/>
      <c r="VPW1" s="657"/>
      <c r="VPX1" s="657"/>
      <c r="VPY1" s="657"/>
      <c r="VPZ1" s="657"/>
      <c r="VQA1" s="657"/>
      <c r="VQB1" s="657"/>
      <c r="VQC1" s="657"/>
      <c r="VQD1" s="657"/>
      <c r="VQE1" s="657"/>
      <c r="VQF1" s="657"/>
      <c r="VQG1" s="657"/>
      <c r="VQH1" s="657"/>
      <c r="VQI1" s="657"/>
      <c r="VQJ1" s="657"/>
      <c r="VQK1" s="657"/>
      <c r="VQL1" s="657"/>
      <c r="VQM1" s="657"/>
      <c r="VQN1" s="657"/>
      <c r="VQO1" s="657"/>
      <c r="VQP1" s="657"/>
      <c r="VQQ1" s="657"/>
      <c r="VQR1" s="657"/>
      <c r="VQS1" s="657"/>
      <c r="VQT1" s="657"/>
      <c r="VQU1" s="657"/>
      <c r="VQV1" s="657"/>
      <c r="VQW1" s="657"/>
      <c r="VQX1" s="657"/>
      <c r="VQY1" s="657"/>
      <c r="VQZ1" s="657"/>
      <c r="VRA1" s="657"/>
      <c r="VRB1" s="657"/>
      <c r="VRC1" s="657"/>
      <c r="VRD1" s="657"/>
      <c r="VRE1" s="657"/>
      <c r="VRF1" s="657"/>
      <c r="VRG1" s="657"/>
      <c r="VRH1" s="657"/>
      <c r="VRI1" s="657"/>
      <c r="VRJ1" s="657"/>
      <c r="VRK1" s="657"/>
      <c r="VRL1" s="657"/>
      <c r="VRM1" s="657"/>
      <c r="VRN1" s="657"/>
      <c r="VRO1" s="657"/>
      <c r="VRP1" s="657"/>
      <c r="VRQ1" s="657"/>
      <c r="VRR1" s="657"/>
      <c r="VRS1" s="657"/>
      <c r="VRT1" s="657"/>
      <c r="VRU1" s="657"/>
      <c r="VRV1" s="657"/>
      <c r="VRW1" s="657"/>
      <c r="VRX1" s="657"/>
      <c r="VRY1" s="657"/>
      <c r="VRZ1" s="657"/>
      <c r="VSA1" s="657"/>
      <c r="VSB1" s="657"/>
      <c r="VSC1" s="657"/>
      <c r="VSD1" s="657"/>
      <c r="VSE1" s="657"/>
      <c r="VSF1" s="657"/>
      <c r="VSG1" s="657"/>
      <c r="VSH1" s="657"/>
      <c r="VSI1" s="657"/>
      <c r="VSJ1" s="657"/>
      <c r="VSK1" s="657"/>
      <c r="VSL1" s="657"/>
      <c r="VSM1" s="657"/>
      <c r="VSN1" s="657"/>
      <c r="VSO1" s="657"/>
      <c r="VSP1" s="657"/>
      <c r="VSQ1" s="657"/>
      <c r="VSR1" s="657"/>
      <c r="VSS1" s="657"/>
      <c r="VST1" s="657"/>
      <c r="VSU1" s="657"/>
      <c r="VSV1" s="657"/>
      <c r="VSW1" s="657"/>
      <c r="VSX1" s="657"/>
      <c r="VSY1" s="657"/>
      <c r="VSZ1" s="657"/>
      <c r="VTA1" s="657"/>
      <c r="VTB1" s="657"/>
      <c r="VTC1" s="657"/>
      <c r="VTD1" s="657"/>
      <c r="VTE1" s="657"/>
      <c r="VTF1" s="657"/>
      <c r="VTG1" s="657"/>
      <c r="VTH1" s="657"/>
      <c r="VTI1" s="657"/>
      <c r="VTJ1" s="657"/>
      <c r="VTK1" s="657"/>
      <c r="VTL1" s="657"/>
      <c r="VTM1" s="657"/>
      <c r="VTN1" s="657"/>
      <c r="VTO1" s="657"/>
      <c r="VTP1" s="657"/>
      <c r="VTQ1" s="657"/>
      <c r="VTR1" s="657"/>
      <c r="VTS1" s="657"/>
      <c r="VTT1" s="657"/>
      <c r="VTU1" s="657"/>
      <c r="VTV1" s="657"/>
      <c r="VTW1" s="657"/>
      <c r="VTX1" s="657"/>
      <c r="VTY1" s="657"/>
      <c r="VTZ1" s="657"/>
      <c r="VUA1" s="657"/>
      <c r="VUB1" s="657"/>
      <c r="VUC1" s="657"/>
      <c r="VUD1" s="657"/>
      <c r="VUE1" s="657"/>
      <c r="VUF1" s="657"/>
      <c r="VUG1" s="657"/>
      <c r="VUH1" s="657"/>
      <c r="VUI1" s="657"/>
      <c r="VUJ1" s="657"/>
      <c r="VUK1" s="657"/>
      <c r="VUL1" s="657"/>
      <c r="VUM1" s="657"/>
      <c r="VUN1" s="657"/>
      <c r="VUO1" s="657"/>
      <c r="VUP1" s="657"/>
      <c r="VUQ1" s="657"/>
      <c r="VUR1" s="657"/>
      <c r="VUS1" s="657"/>
      <c r="VUT1" s="657"/>
      <c r="VUU1" s="657"/>
      <c r="VUV1" s="657"/>
      <c r="VUW1" s="657"/>
      <c r="VUX1" s="657"/>
      <c r="VUY1" s="657"/>
      <c r="VUZ1" s="657"/>
      <c r="VVA1" s="657"/>
      <c r="VVB1" s="657"/>
      <c r="VVC1" s="657"/>
      <c r="VVD1" s="657"/>
      <c r="VVE1" s="657"/>
      <c r="VVF1" s="657"/>
      <c r="VVG1" s="657"/>
      <c r="VVH1" s="657"/>
      <c r="VVI1" s="657"/>
      <c r="VVJ1" s="657"/>
      <c r="VVK1" s="657"/>
      <c r="VVL1" s="657"/>
      <c r="VVM1" s="657"/>
      <c r="VVN1" s="657"/>
      <c r="VVO1" s="657"/>
      <c r="VVP1" s="657"/>
      <c r="VVQ1" s="657"/>
      <c r="VVR1" s="657"/>
      <c r="VVS1" s="657"/>
      <c r="VVT1" s="657"/>
      <c r="VVU1" s="657"/>
      <c r="VVV1" s="657"/>
      <c r="VVW1" s="657"/>
      <c r="VVX1" s="657"/>
      <c r="VVY1" s="657"/>
      <c r="VVZ1" s="657"/>
      <c r="VWA1" s="657"/>
      <c r="VWB1" s="657"/>
      <c r="VWC1" s="657"/>
      <c r="VWD1" s="657"/>
      <c r="VWE1" s="657"/>
      <c r="VWF1" s="657"/>
      <c r="VWG1" s="657"/>
      <c r="VWH1" s="657"/>
      <c r="VWI1" s="657"/>
      <c r="VWJ1" s="657"/>
      <c r="VWK1" s="657"/>
      <c r="VWL1" s="657"/>
      <c r="VWM1" s="657"/>
      <c r="VWN1" s="657"/>
      <c r="VWO1" s="657"/>
      <c r="VWP1" s="657"/>
      <c r="VWQ1" s="657"/>
      <c r="VWR1" s="657"/>
      <c r="VWS1" s="657"/>
      <c r="VWT1" s="657"/>
      <c r="VWU1" s="657"/>
      <c r="VWV1" s="657"/>
      <c r="VWW1" s="657"/>
      <c r="VWX1" s="657"/>
      <c r="VWY1" s="657"/>
      <c r="VWZ1" s="657"/>
      <c r="VXA1" s="657"/>
      <c r="VXB1" s="657"/>
      <c r="VXC1" s="657"/>
      <c r="VXD1" s="657"/>
      <c r="VXE1" s="657"/>
      <c r="VXF1" s="657"/>
      <c r="VXG1" s="657"/>
      <c r="VXH1" s="657"/>
      <c r="VXI1" s="657"/>
      <c r="VXJ1" s="657"/>
      <c r="VXK1" s="657"/>
      <c r="VXL1" s="657"/>
      <c r="VXM1" s="657"/>
      <c r="VXN1" s="657"/>
      <c r="VXO1" s="657"/>
      <c r="VXP1" s="657"/>
      <c r="VXQ1" s="657"/>
      <c r="VXR1" s="657"/>
      <c r="VXS1" s="657"/>
      <c r="VXT1" s="657"/>
      <c r="VXU1" s="657"/>
      <c r="VXV1" s="657"/>
      <c r="VXW1" s="657"/>
      <c r="VXX1" s="657"/>
      <c r="VXY1" s="657"/>
      <c r="VXZ1" s="657"/>
      <c r="VYA1" s="657"/>
      <c r="VYB1" s="657"/>
      <c r="VYC1" s="657"/>
      <c r="VYD1" s="657"/>
      <c r="VYE1" s="657"/>
      <c r="VYF1" s="657"/>
      <c r="VYG1" s="657"/>
      <c r="VYH1" s="657"/>
      <c r="VYI1" s="657"/>
      <c r="VYJ1" s="657"/>
      <c r="VYK1" s="657"/>
      <c r="VYL1" s="657"/>
      <c r="VYM1" s="657"/>
      <c r="VYN1" s="657"/>
      <c r="VYO1" s="657"/>
      <c r="VYP1" s="657"/>
      <c r="VYQ1" s="657"/>
      <c r="VYR1" s="657"/>
      <c r="VYS1" s="657"/>
      <c r="VYT1" s="657"/>
      <c r="VYU1" s="657"/>
      <c r="VYV1" s="657"/>
      <c r="VYW1" s="657"/>
      <c r="VYX1" s="657"/>
      <c r="VYY1" s="657"/>
      <c r="VYZ1" s="657"/>
      <c r="VZA1" s="657"/>
      <c r="VZB1" s="657"/>
      <c r="VZC1" s="657"/>
      <c r="VZD1" s="657"/>
      <c r="VZE1" s="657"/>
      <c r="VZF1" s="657"/>
      <c r="VZG1" s="657"/>
      <c r="VZH1" s="657"/>
      <c r="VZI1" s="657"/>
      <c r="VZJ1" s="657"/>
      <c r="VZK1" s="657"/>
      <c r="VZL1" s="657"/>
      <c r="VZM1" s="657"/>
      <c r="VZN1" s="657"/>
      <c r="VZO1" s="657"/>
      <c r="VZP1" s="657"/>
      <c r="VZQ1" s="657"/>
      <c r="VZR1" s="657"/>
      <c r="VZS1" s="657"/>
      <c r="VZT1" s="657"/>
      <c r="VZU1" s="657"/>
      <c r="VZV1" s="657"/>
      <c r="VZW1" s="657"/>
      <c r="VZX1" s="657"/>
      <c r="VZY1" s="657"/>
      <c r="VZZ1" s="657"/>
      <c r="WAA1" s="657"/>
      <c r="WAB1" s="657"/>
      <c r="WAC1" s="657"/>
      <c r="WAD1" s="657"/>
      <c r="WAE1" s="657"/>
      <c r="WAF1" s="657"/>
      <c r="WAG1" s="657"/>
      <c r="WAH1" s="657"/>
      <c r="WAI1" s="657"/>
      <c r="WAJ1" s="657"/>
      <c r="WAK1" s="657"/>
      <c r="WAL1" s="657"/>
      <c r="WAM1" s="657"/>
      <c r="WAN1" s="657"/>
      <c r="WAO1" s="657"/>
      <c r="WAP1" s="657"/>
      <c r="WAQ1" s="657"/>
      <c r="WAR1" s="657"/>
      <c r="WAS1" s="657"/>
      <c r="WAT1" s="657"/>
      <c r="WAU1" s="657"/>
      <c r="WAV1" s="657"/>
      <c r="WAW1" s="657"/>
      <c r="WAX1" s="657"/>
      <c r="WAY1" s="657"/>
      <c r="WAZ1" s="657"/>
      <c r="WBA1" s="657"/>
      <c r="WBB1" s="657"/>
      <c r="WBC1" s="657"/>
      <c r="WBD1" s="657"/>
      <c r="WBE1" s="657"/>
      <c r="WBF1" s="657"/>
      <c r="WBG1" s="657"/>
      <c r="WBH1" s="657"/>
      <c r="WBI1" s="657"/>
      <c r="WBJ1" s="657"/>
      <c r="WBK1" s="657"/>
      <c r="WBL1" s="657"/>
      <c r="WBM1" s="657"/>
      <c r="WBN1" s="657"/>
      <c r="WBO1" s="657"/>
      <c r="WBP1" s="657"/>
      <c r="WBQ1" s="657"/>
      <c r="WBR1" s="657"/>
      <c r="WBS1" s="657"/>
      <c r="WBT1" s="657"/>
      <c r="WBU1" s="657"/>
      <c r="WBV1" s="657"/>
      <c r="WBW1" s="657"/>
      <c r="WBX1" s="657"/>
      <c r="WBY1" s="657"/>
      <c r="WBZ1" s="657"/>
      <c r="WCA1" s="657"/>
      <c r="WCB1" s="657"/>
      <c r="WCC1" s="657"/>
      <c r="WCD1" s="657"/>
      <c r="WCE1" s="657"/>
      <c r="WCF1" s="657"/>
      <c r="WCG1" s="657"/>
      <c r="WCH1" s="657"/>
      <c r="WCI1" s="657"/>
      <c r="WCJ1" s="657"/>
      <c r="WCK1" s="657"/>
      <c r="WCL1" s="657"/>
      <c r="WCM1" s="657"/>
      <c r="WCN1" s="657"/>
      <c r="WCO1" s="657"/>
      <c r="WCP1" s="657"/>
      <c r="WCQ1" s="657"/>
      <c r="WCR1" s="657"/>
      <c r="WCS1" s="657"/>
      <c r="WCT1" s="657"/>
      <c r="WCU1" s="657"/>
      <c r="WCV1" s="657"/>
      <c r="WCW1" s="657"/>
      <c r="WCX1" s="657"/>
      <c r="WCY1" s="657"/>
      <c r="WCZ1" s="657"/>
      <c r="WDA1" s="657"/>
      <c r="WDB1" s="657"/>
      <c r="WDC1" s="657"/>
      <c r="WDD1" s="657"/>
      <c r="WDE1" s="657"/>
      <c r="WDF1" s="657"/>
      <c r="WDG1" s="657"/>
      <c r="WDH1" s="657"/>
      <c r="WDI1" s="657"/>
      <c r="WDJ1" s="657"/>
      <c r="WDK1" s="657"/>
      <c r="WDL1" s="657"/>
      <c r="WDM1" s="657"/>
      <c r="WDN1" s="657"/>
      <c r="WDO1" s="657"/>
      <c r="WDP1" s="657"/>
      <c r="WDQ1" s="657"/>
      <c r="WDR1" s="657"/>
      <c r="WDS1" s="657"/>
      <c r="WDT1" s="657"/>
      <c r="WDU1" s="657"/>
      <c r="WDV1" s="657"/>
      <c r="WDW1" s="657"/>
      <c r="WDX1" s="657"/>
      <c r="WDY1" s="657"/>
      <c r="WDZ1" s="657"/>
      <c r="WEA1" s="657"/>
      <c r="WEB1" s="657"/>
      <c r="WEC1" s="657"/>
      <c r="WED1" s="657"/>
      <c r="WEE1" s="657"/>
      <c r="WEF1" s="657"/>
      <c r="WEG1" s="657"/>
      <c r="WEH1" s="657"/>
      <c r="WEI1" s="657"/>
      <c r="WEJ1" s="657"/>
      <c r="WEK1" s="657"/>
      <c r="WEL1" s="657"/>
      <c r="WEM1" s="657"/>
      <c r="WEN1" s="657"/>
      <c r="WEO1" s="657"/>
      <c r="WEP1" s="657"/>
      <c r="WEQ1" s="657"/>
      <c r="WER1" s="657"/>
      <c r="WES1" s="657"/>
      <c r="WET1" s="657"/>
      <c r="WEU1" s="657"/>
      <c r="WEV1" s="657"/>
      <c r="WEW1" s="657"/>
      <c r="WEX1" s="657"/>
      <c r="WEY1" s="657"/>
      <c r="WEZ1" s="657"/>
      <c r="WFA1" s="657"/>
      <c r="WFB1" s="657"/>
      <c r="WFC1" s="657"/>
      <c r="WFD1" s="657"/>
      <c r="WFE1" s="657"/>
      <c r="WFF1" s="657"/>
      <c r="WFG1" s="657"/>
      <c r="WFH1" s="657"/>
      <c r="WFI1" s="657"/>
      <c r="WFJ1" s="657"/>
      <c r="WFK1" s="657"/>
      <c r="WFL1" s="657"/>
      <c r="WFM1" s="657"/>
      <c r="WFN1" s="657"/>
      <c r="WFO1" s="657"/>
      <c r="WFP1" s="657"/>
      <c r="WFQ1" s="657"/>
      <c r="WFR1" s="657"/>
      <c r="WFS1" s="657"/>
      <c r="WFT1" s="657"/>
      <c r="WFU1" s="657"/>
      <c r="WFV1" s="657"/>
      <c r="WFW1" s="657"/>
      <c r="WFX1" s="657"/>
      <c r="WFY1" s="657"/>
      <c r="WFZ1" s="657"/>
      <c r="WGA1" s="657"/>
      <c r="WGB1" s="657"/>
      <c r="WGC1" s="657"/>
      <c r="WGD1" s="657"/>
      <c r="WGE1" s="657"/>
      <c r="WGF1" s="657"/>
      <c r="WGG1" s="657"/>
      <c r="WGH1" s="657"/>
      <c r="WGI1" s="657"/>
      <c r="WGJ1" s="657"/>
      <c r="WGK1" s="657"/>
      <c r="WGL1" s="657"/>
      <c r="WGM1" s="657"/>
      <c r="WGN1" s="657"/>
      <c r="WGO1" s="657"/>
      <c r="WGP1" s="657"/>
      <c r="WGQ1" s="657"/>
      <c r="WGR1" s="657"/>
      <c r="WGS1" s="657"/>
      <c r="WGT1" s="657"/>
      <c r="WGU1" s="657"/>
      <c r="WGV1" s="657"/>
      <c r="WGW1" s="657"/>
      <c r="WGX1" s="657"/>
      <c r="WGY1" s="657"/>
      <c r="WGZ1" s="657"/>
      <c r="WHA1" s="657"/>
      <c r="WHB1" s="657"/>
      <c r="WHC1" s="657"/>
      <c r="WHD1" s="657"/>
      <c r="WHE1" s="657"/>
      <c r="WHF1" s="657"/>
      <c r="WHG1" s="657"/>
      <c r="WHH1" s="657"/>
      <c r="WHI1" s="657"/>
      <c r="WHJ1" s="657"/>
      <c r="WHK1" s="657"/>
      <c r="WHL1" s="657"/>
      <c r="WHM1" s="657"/>
      <c r="WHN1" s="657"/>
      <c r="WHO1" s="657"/>
      <c r="WHP1" s="657"/>
      <c r="WHQ1" s="657"/>
      <c r="WHR1" s="657"/>
      <c r="WHS1" s="657"/>
      <c r="WHT1" s="657"/>
      <c r="WHU1" s="657"/>
      <c r="WHV1" s="657"/>
      <c r="WHW1" s="657"/>
      <c r="WHX1" s="657"/>
      <c r="WHY1" s="657"/>
      <c r="WHZ1" s="657"/>
      <c r="WIA1" s="657"/>
      <c r="WIB1" s="657"/>
      <c r="WIC1" s="657"/>
      <c r="WID1" s="657"/>
      <c r="WIE1" s="657"/>
      <c r="WIF1" s="657"/>
      <c r="WIG1" s="657"/>
      <c r="WIH1" s="657"/>
      <c r="WII1" s="657"/>
      <c r="WIJ1" s="657"/>
      <c r="WIK1" s="657"/>
      <c r="WIL1" s="657"/>
      <c r="WIM1" s="657"/>
      <c r="WIN1" s="657"/>
      <c r="WIO1" s="657"/>
      <c r="WIP1" s="657"/>
      <c r="WIQ1" s="657"/>
      <c r="WIR1" s="657"/>
      <c r="WIS1" s="657"/>
      <c r="WIT1" s="657"/>
      <c r="WIU1" s="657"/>
      <c r="WIV1" s="657"/>
      <c r="WIW1" s="657"/>
      <c r="WIX1" s="657"/>
      <c r="WIY1" s="657"/>
      <c r="WIZ1" s="657"/>
      <c r="WJA1" s="657"/>
      <c r="WJB1" s="657"/>
      <c r="WJC1" s="657"/>
      <c r="WJD1" s="657"/>
      <c r="WJE1" s="657"/>
      <c r="WJF1" s="657"/>
      <c r="WJG1" s="657"/>
      <c r="WJH1" s="657"/>
      <c r="WJI1" s="657"/>
      <c r="WJJ1" s="657"/>
      <c r="WJK1" s="657"/>
      <c r="WJL1" s="657"/>
      <c r="WJM1" s="657"/>
      <c r="WJN1" s="657"/>
      <c r="WJO1" s="657"/>
      <c r="WJP1" s="657"/>
      <c r="WJQ1" s="657"/>
      <c r="WJR1" s="657"/>
      <c r="WJS1" s="657"/>
      <c r="WJT1" s="657"/>
      <c r="WJU1" s="657"/>
      <c r="WJV1" s="657"/>
      <c r="WJW1" s="657"/>
      <c r="WJX1" s="657"/>
      <c r="WJY1" s="657"/>
      <c r="WJZ1" s="657"/>
      <c r="WKA1" s="657"/>
      <c r="WKB1" s="657"/>
      <c r="WKC1" s="657"/>
      <c r="WKD1" s="657"/>
      <c r="WKE1" s="657"/>
      <c r="WKF1" s="657"/>
      <c r="WKG1" s="657"/>
      <c r="WKH1" s="657"/>
      <c r="WKI1" s="657"/>
      <c r="WKJ1" s="657"/>
      <c r="WKK1" s="657"/>
      <c r="WKL1" s="657"/>
      <c r="WKM1" s="657"/>
      <c r="WKN1" s="657"/>
      <c r="WKO1" s="657"/>
      <c r="WKP1" s="657"/>
      <c r="WKQ1" s="657"/>
      <c r="WKR1" s="657"/>
      <c r="WKS1" s="657"/>
      <c r="WKT1" s="657"/>
      <c r="WKU1" s="657"/>
      <c r="WKV1" s="657"/>
      <c r="WKW1" s="657"/>
      <c r="WKX1" s="657"/>
      <c r="WKY1" s="657"/>
      <c r="WKZ1" s="657"/>
      <c r="WLA1" s="657"/>
      <c r="WLB1" s="657"/>
      <c r="WLC1" s="657"/>
      <c r="WLD1" s="657"/>
      <c r="WLE1" s="657"/>
      <c r="WLF1" s="657"/>
      <c r="WLG1" s="657"/>
      <c r="WLH1" s="657"/>
      <c r="WLI1" s="657"/>
      <c r="WLJ1" s="657"/>
      <c r="WLK1" s="657"/>
      <c r="WLL1" s="657"/>
      <c r="WLM1" s="657"/>
      <c r="WLN1" s="657"/>
      <c r="WLO1" s="657"/>
      <c r="WLP1" s="657"/>
      <c r="WLQ1" s="657"/>
      <c r="WLR1" s="657"/>
      <c r="WLS1" s="657"/>
      <c r="WLT1" s="657"/>
      <c r="WLU1" s="657"/>
      <c r="WLV1" s="657"/>
      <c r="WLW1" s="657"/>
      <c r="WLX1" s="657"/>
      <c r="WLY1" s="657"/>
      <c r="WLZ1" s="657"/>
      <c r="WMA1" s="657"/>
      <c r="WMB1" s="657"/>
      <c r="WMC1" s="657"/>
      <c r="WMD1" s="657"/>
      <c r="WME1" s="657"/>
      <c r="WMF1" s="657"/>
      <c r="WMG1" s="657"/>
      <c r="WMH1" s="657"/>
      <c r="WMI1" s="657"/>
      <c r="WMJ1" s="657"/>
      <c r="WMK1" s="657"/>
      <c r="WML1" s="657"/>
      <c r="WMM1" s="657"/>
      <c r="WMN1" s="657"/>
      <c r="WMO1" s="657"/>
      <c r="WMP1" s="657"/>
      <c r="WMQ1" s="657"/>
      <c r="WMR1" s="657"/>
      <c r="WMS1" s="657"/>
      <c r="WMT1" s="657"/>
      <c r="WMU1" s="657"/>
      <c r="WMV1" s="657"/>
      <c r="WMW1" s="657"/>
      <c r="WMX1" s="657"/>
      <c r="WMY1" s="657"/>
      <c r="WMZ1" s="657"/>
      <c r="WNA1" s="657"/>
      <c r="WNB1" s="657"/>
      <c r="WNC1" s="657"/>
      <c r="WND1" s="657"/>
      <c r="WNE1" s="657"/>
      <c r="WNF1" s="657"/>
      <c r="WNG1" s="657"/>
      <c r="WNH1" s="657"/>
      <c r="WNI1" s="657"/>
      <c r="WNJ1" s="657"/>
      <c r="WNK1" s="657"/>
      <c r="WNL1" s="657"/>
      <c r="WNM1" s="657"/>
      <c r="WNN1" s="657"/>
      <c r="WNO1" s="657"/>
      <c r="WNP1" s="657"/>
      <c r="WNQ1" s="657"/>
      <c r="WNR1" s="657"/>
      <c r="WNS1" s="657"/>
      <c r="WNT1" s="657"/>
      <c r="WNU1" s="657"/>
      <c r="WNV1" s="657"/>
      <c r="WNW1" s="657"/>
      <c r="WNX1" s="657"/>
      <c r="WNY1" s="657"/>
      <c r="WNZ1" s="657"/>
      <c r="WOA1" s="657"/>
      <c r="WOB1" s="657"/>
      <c r="WOC1" s="657"/>
      <c r="WOD1" s="657"/>
      <c r="WOE1" s="657"/>
      <c r="WOF1" s="657"/>
      <c r="WOG1" s="657"/>
      <c r="WOH1" s="657"/>
      <c r="WOI1" s="657"/>
      <c r="WOJ1" s="657"/>
      <c r="WOK1" s="657"/>
      <c r="WOL1" s="657"/>
      <c r="WOM1" s="657"/>
      <c r="WON1" s="657"/>
      <c r="WOO1" s="657"/>
      <c r="WOP1" s="657"/>
      <c r="WOQ1" s="657"/>
      <c r="WOR1" s="657"/>
      <c r="WOS1" s="657"/>
      <c r="WOT1" s="657"/>
      <c r="WOU1" s="657"/>
      <c r="WOV1" s="657"/>
      <c r="WOW1" s="657"/>
      <c r="WOX1" s="657"/>
      <c r="WOY1" s="657"/>
      <c r="WOZ1" s="657"/>
      <c r="WPA1" s="657"/>
      <c r="WPB1" s="657"/>
      <c r="WPC1" s="657"/>
      <c r="WPD1" s="657"/>
      <c r="WPE1" s="657"/>
      <c r="WPF1" s="657"/>
      <c r="WPG1" s="657"/>
      <c r="WPH1" s="657"/>
      <c r="WPI1" s="657"/>
      <c r="WPJ1" s="657"/>
      <c r="WPK1" s="657"/>
      <c r="WPL1" s="657"/>
      <c r="WPM1" s="657"/>
      <c r="WPN1" s="657"/>
      <c r="WPO1" s="657"/>
      <c r="WPP1" s="657"/>
      <c r="WPQ1" s="657"/>
      <c r="WPR1" s="657"/>
      <c r="WPS1" s="657"/>
      <c r="WPT1" s="657"/>
      <c r="WPU1" s="657"/>
      <c r="WPV1" s="657"/>
      <c r="WPW1" s="657"/>
      <c r="WPX1" s="657"/>
      <c r="WPY1" s="657"/>
      <c r="WPZ1" s="657"/>
      <c r="WQA1" s="657"/>
      <c r="WQB1" s="657"/>
      <c r="WQC1" s="657"/>
      <c r="WQD1" s="657"/>
      <c r="WQE1" s="657"/>
      <c r="WQF1" s="657"/>
      <c r="WQG1" s="657"/>
      <c r="WQH1" s="657"/>
      <c r="WQI1" s="657"/>
      <c r="WQJ1" s="657"/>
      <c r="WQK1" s="657"/>
      <c r="WQL1" s="657"/>
      <c r="WQM1" s="657"/>
      <c r="WQN1" s="657"/>
      <c r="WQO1" s="657"/>
      <c r="WQP1" s="657"/>
      <c r="WQQ1" s="657"/>
      <c r="WQR1" s="657"/>
      <c r="WQS1" s="657"/>
      <c r="WQT1" s="657"/>
      <c r="WQU1" s="657"/>
      <c r="WQV1" s="657"/>
      <c r="WQW1" s="657"/>
      <c r="WQX1" s="657"/>
      <c r="WQY1" s="657"/>
      <c r="WQZ1" s="657"/>
      <c r="WRA1" s="657"/>
      <c r="WRB1" s="657"/>
      <c r="WRC1" s="657"/>
      <c r="WRD1" s="657"/>
      <c r="WRE1" s="657"/>
      <c r="WRF1" s="657"/>
      <c r="WRG1" s="657"/>
      <c r="WRH1" s="657"/>
      <c r="WRI1" s="657"/>
      <c r="WRJ1" s="657"/>
      <c r="WRK1" s="657"/>
      <c r="WRL1" s="657"/>
      <c r="WRM1" s="657"/>
      <c r="WRN1" s="657"/>
      <c r="WRO1" s="657"/>
      <c r="WRP1" s="657"/>
      <c r="WRQ1" s="657"/>
      <c r="WRR1" s="657"/>
      <c r="WRS1" s="657"/>
      <c r="WRT1" s="657"/>
      <c r="WRU1" s="657"/>
      <c r="WRV1" s="657"/>
      <c r="WRW1" s="657"/>
      <c r="WRX1" s="657"/>
      <c r="WRY1" s="657"/>
      <c r="WRZ1" s="657"/>
      <c r="WSA1" s="657"/>
      <c r="WSB1" s="657"/>
      <c r="WSC1" s="657"/>
      <c r="WSD1" s="657"/>
      <c r="WSE1" s="657"/>
      <c r="WSF1" s="657"/>
      <c r="WSG1" s="657"/>
      <c r="WSH1" s="657"/>
      <c r="WSI1" s="657"/>
      <c r="WSJ1" s="657"/>
      <c r="WSK1" s="657"/>
      <c r="WSL1" s="657"/>
      <c r="WSM1" s="657"/>
      <c r="WSN1" s="657"/>
      <c r="WSO1" s="657"/>
      <c r="WSP1" s="657"/>
      <c r="WSQ1" s="657"/>
      <c r="WSR1" s="657"/>
      <c r="WSS1" s="657"/>
      <c r="WST1" s="657"/>
      <c r="WSU1" s="657"/>
      <c r="WSV1" s="657"/>
      <c r="WSW1" s="657"/>
      <c r="WSX1" s="657"/>
      <c r="WSY1" s="657"/>
      <c r="WSZ1" s="657"/>
      <c r="WTA1" s="657"/>
      <c r="WTB1" s="657"/>
      <c r="WTC1" s="657"/>
      <c r="WTD1" s="657"/>
      <c r="WTE1" s="657"/>
      <c r="WTF1" s="657"/>
      <c r="WTG1" s="657"/>
      <c r="WTH1" s="657"/>
      <c r="WTI1" s="657"/>
      <c r="WTJ1" s="657"/>
      <c r="WTK1" s="657"/>
      <c r="WTL1" s="657"/>
      <c r="WTM1" s="657"/>
      <c r="WTN1" s="657"/>
      <c r="WTO1" s="657"/>
      <c r="WTP1" s="657"/>
      <c r="WTQ1" s="657"/>
      <c r="WTR1" s="657"/>
      <c r="WTS1" s="657"/>
      <c r="WTT1" s="657"/>
      <c r="WTU1" s="657"/>
      <c r="WTV1" s="657"/>
      <c r="WTW1" s="657"/>
      <c r="WTX1" s="657"/>
      <c r="WTY1" s="657"/>
      <c r="WTZ1" s="657"/>
      <c r="WUA1" s="657"/>
      <c r="WUB1" s="657"/>
      <c r="WUC1" s="657"/>
      <c r="WUD1" s="657"/>
      <c r="WUE1" s="657"/>
      <c r="WUF1" s="657"/>
      <c r="WUG1" s="657"/>
      <c r="WUH1" s="657"/>
      <c r="WUI1" s="657"/>
      <c r="WUJ1" s="657"/>
      <c r="WUK1" s="657"/>
      <c r="WUL1" s="657"/>
      <c r="WUM1" s="657"/>
      <c r="WUN1" s="657"/>
      <c r="WUO1" s="657"/>
      <c r="WUP1" s="657"/>
      <c r="WUQ1" s="657"/>
      <c r="WUR1" s="657"/>
      <c r="WUS1" s="657"/>
      <c r="WUT1" s="657"/>
      <c r="WUU1" s="657"/>
      <c r="WUV1" s="657"/>
      <c r="WUW1" s="657"/>
      <c r="WUX1" s="657"/>
      <c r="WUY1" s="657"/>
      <c r="WUZ1" s="657"/>
      <c r="WVA1" s="657"/>
      <c r="WVB1" s="657"/>
      <c r="WVC1" s="657"/>
      <c r="WVD1" s="657"/>
      <c r="WVE1" s="657"/>
      <c r="WVF1" s="657"/>
      <c r="WVG1" s="657"/>
      <c r="WVH1" s="657"/>
      <c r="WVI1" s="657"/>
      <c r="WVJ1" s="657"/>
      <c r="WVK1" s="657"/>
      <c r="WVL1" s="657"/>
      <c r="WVM1" s="657"/>
      <c r="WVN1" s="657"/>
      <c r="WVO1" s="657"/>
      <c r="WVP1" s="657"/>
      <c r="WVQ1" s="657"/>
      <c r="WVR1" s="657"/>
      <c r="WVS1" s="657"/>
      <c r="WVT1" s="657"/>
      <c r="WVU1" s="657"/>
      <c r="WVV1" s="657"/>
      <c r="WVW1" s="657"/>
      <c r="WVX1" s="657"/>
      <c r="WVY1" s="657"/>
      <c r="WVZ1" s="657"/>
      <c r="WWA1" s="657"/>
      <c r="WWB1" s="657"/>
      <c r="WWC1" s="657"/>
      <c r="WWD1" s="657"/>
      <c r="WWE1" s="657"/>
      <c r="WWF1" s="657"/>
      <c r="WWG1" s="657"/>
      <c r="WWH1" s="657"/>
      <c r="WWI1" s="657"/>
      <c r="WWJ1" s="657"/>
      <c r="WWK1" s="657"/>
      <c r="WWL1" s="657"/>
      <c r="WWM1" s="657"/>
      <c r="WWN1" s="657"/>
      <c r="WWO1" s="657"/>
      <c r="WWP1" s="657"/>
      <c r="WWQ1" s="657"/>
      <c r="WWR1" s="657"/>
      <c r="WWS1" s="657"/>
      <c r="WWT1" s="657"/>
      <c r="WWU1" s="657"/>
      <c r="WWV1" s="657"/>
      <c r="WWW1" s="657"/>
      <c r="WWX1" s="657"/>
      <c r="WWY1" s="657"/>
      <c r="WWZ1" s="657"/>
      <c r="WXA1" s="657"/>
      <c r="WXB1" s="657"/>
      <c r="WXC1" s="657"/>
      <c r="WXD1" s="657"/>
      <c r="WXE1" s="657"/>
      <c r="WXF1" s="657"/>
      <c r="WXG1" s="657"/>
      <c r="WXH1" s="657"/>
      <c r="WXI1" s="657"/>
      <c r="WXJ1" s="657"/>
      <c r="WXK1" s="657"/>
      <c r="WXL1" s="657"/>
      <c r="WXM1" s="657"/>
      <c r="WXN1" s="657"/>
      <c r="WXO1" s="657"/>
      <c r="WXP1" s="657"/>
      <c r="WXQ1" s="657"/>
      <c r="WXR1" s="657"/>
      <c r="WXS1" s="657"/>
      <c r="WXT1" s="657"/>
      <c r="WXU1" s="657"/>
      <c r="WXV1" s="657"/>
      <c r="WXW1" s="657"/>
      <c r="WXX1" s="657"/>
      <c r="WXY1" s="657"/>
      <c r="WXZ1" s="657"/>
      <c r="WYA1" s="657"/>
      <c r="WYB1" s="657"/>
      <c r="WYC1" s="657"/>
      <c r="WYD1" s="657"/>
      <c r="WYE1" s="657"/>
      <c r="WYF1" s="657"/>
      <c r="WYG1" s="657"/>
      <c r="WYH1" s="657"/>
      <c r="WYI1" s="657"/>
      <c r="WYJ1" s="657"/>
      <c r="WYK1" s="657"/>
      <c r="WYL1" s="657"/>
      <c r="WYM1" s="657"/>
      <c r="WYN1" s="657"/>
      <c r="WYO1" s="657"/>
      <c r="WYP1" s="657"/>
      <c r="WYQ1" s="657"/>
      <c r="WYR1" s="657"/>
      <c r="WYS1" s="657"/>
      <c r="WYT1" s="657"/>
      <c r="WYU1" s="657"/>
      <c r="WYV1" s="657"/>
      <c r="WYW1" s="657"/>
      <c r="WYX1" s="657"/>
      <c r="WYY1" s="657"/>
      <c r="WYZ1" s="657"/>
      <c r="WZA1" s="657"/>
      <c r="WZB1" s="657"/>
      <c r="WZC1" s="657"/>
      <c r="WZD1" s="657"/>
      <c r="WZE1" s="657"/>
      <c r="WZF1" s="657"/>
      <c r="WZG1" s="657"/>
      <c r="WZH1" s="657"/>
      <c r="WZI1" s="657"/>
      <c r="WZJ1" s="657"/>
      <c r="WZK1" s="657"/>
      <c r="WZL1" s="657"/>
      <c r="WZM1" s="657"/>
      <c r="WZN1" s="657"/>
      <c r="WZO1" s="657"/>
      <c r="WZP1" s="657"/>
      <c r="WZQ1" s="657"/>
      <c r="WZR1" s="657"/>
      <c r="WZS1" s="657"/>
      <c r="WZT1" s="657"/>
      <c r="WZU1" s="657"/>
      <c r="WZV1" s="657"/>
      <c r="WZW1" s="657"/>
      <c r="WZX1" s="657"/>
      <c r="WZY1" s="657"/>
      <c r="WZZ1" s="657"/>
      <c r="XAA1" s="657"/>
      <c r="XAB1" s="657"/>
      <c r="XAC1" s="657"/>
      <c r="XAD1" s="657"/>
      <c r="XAE1" s="657"/>
      <c r="XAF1" s="657"/>
      <c r="XAG1" s="657"/>
      <c r="XAH1" s="657"/>
      <c r="XAI1" s="657"/>
      <c r="XAJ1" s="657"/>
      <c r="XAK1" s="657"/>
      <c r="XAL1" s="657"/>
      <c r="XAM1" s="657"/>
      <c r="XAN1" s="657"/>
      <c r="XAO1" s="657"/>
      <c r="XAP1" s="657"/>
      <c r="XAQ1" s="657"/>
      <c r="XAR1" s="657"/>
      <c r="XAS1" s="657"/>
      <c r="XAT1" s="657"/>
      <c r="XAU1" s="657"/>
      <c r="XAV1" s="657"/>
      <c r="XAW1" s="657"/>
      <c r="XAX1" s="657"/>
      <c r="XAY1" s="657"/>
      <c r="XAZ1" s="657"/>
      <c r="XBA1" s="657"/>
      <c r="XBB1" s="657"/>
      <c r="XBC1" s="657"/>
      <c r="XBD1" s="657"/>
      <c r="XBE1" s="657"/>
      <c r="XBF1" s="657"/>
      <c r="XBG1" s="657"/>
      <c r="XBH1" s="657"/>
      <c r="XBI1" s="657"/>
      <c r="XBJ1" s="657"/>
      <c r="XBK1" s="657"/>
      <c r="XBL1" s="657"/>
      <c r="XBM1" s="657"/>
      <c r="XBN1" s="657"/>
      <c r="XBO1" s="657"/>
      <c r="XBP1" s="657"/>
      <c r="XBQ1" s="657"/>
      <c r="XBR1" s="657"/>
      <c r="XBS1" s="657"/>
      <c r="XBT1" s="657"/>
      <c r="XBU1" s="657"/>
      <c r="XBV1" s="657"/>
      <c r="XBW1" s="657"/>
      <c r="XBX1" s="657"/>
      <c r="XBY1" s="657"/>
      <c r="XBZ1" s="657"/>
      <c r="XCA1" s="657"/>
      <c r="XCB1" s="657"/>
      <c r="XCC1" s="657"/>
      <c r="XCD1" s="657"/>
      <c r="XCE1" s="657"/>
      <c r="XCF1" s="657"/>
      <c r="XCG1" s="657"/>
      <c r="XCH1" s="657"/>
      <c r="XCI1" s="657"/>
      <c r="XCJ1" s="657"/>
      <c r="XCK1" s="657"/>
      <c r="XCL1" s="657"/>
      <c r="XCM1" s="657"/>
      <c r="XCN1" s="657"/>
      <c r="XCO1" s="657"/>
      <c r="XCP1" s="657"/>
      <c r="XCQ1" s="657"/>
      <c r="XCR1" s="657"/>
      <c r="XCS1" s="657"/>
      <c r="XCT1" s="657"/>
      <c r="XCU1" s="657"/>
      <c r="XCV1" s="657"/>
      <c r="XCW1" s="657"/>
      <c r="XCX1" s="657"/>
      <c r="XCY1" s="657"/>
      <c r="XCZ1" s="657"/>
      <c r="XDA1" s="657"/>
      <c r="XDB1" s="657"/>
      <c r="XDC1" s="657"/>
      <c r="XDD1" s="657"/>
      <c r="XDE1" s="657"/>
      <c r="XDF1" s="657"/>
      <c r="XDG1" s="657"/>
      <c r="XDH1" s="657"/>
      <c r="XDI1" s="657"/>
      <c r="XDJ1" s="657"/>
      <c r="XDK1" s="657"/>
      <c r="XDL1" s="657"/>
      <c r="XDM1" s="657"/>
      <c r="XDN1" s="657"/>
      <c r="XDO1" s="657"/>
      <c r="XDP1" s="657"/>
      <c r="XDQ1" s="657"/>
      <c r="XDR1" s="657"/>
      <c r="XDS1" s="657"/>
      <c r="XDT1" s="657"/>
      <c r="XDU1" s="657"/>
      <c r="XDV1" s="657"/>
      <c r="XDW1" s="657"/>
      <c r="XDX1" s="657"/>
      <c r="XDY1" s="657"/>
      <c r="XDZ1" s="657"/>
      <c r="XEA1" s="657"/>
      <c r="XEB1" s="657"/>
      <c r="XEC1" s="657"/>
      <c r="XED1" s="657"/>
      <c r="XEE1" s="657"/>
      <c r="XEF1" s="657"/>
      <c r="XEG1" s="657"/>
      <c r="XEH1" s="657"/>
      <c r="XEI1" s="657"/>
      <c r="XEJ1" s="657"/>
      <c r="XEK1" s="657"/>
      <c r="XEL1" s="657"/>
      <c r="XEM1" s="657"/>
      <c r="XEN1" s="657"/>
      <c r="XEO1" s="657"/>
      <c r="XEP1" s="657"/>
      <c r="XEQ1" s="657"/>
      <c r="XER1" s="657"/>
      <c r="XES1" s="657"/>
      <c r="XET1" s="657"/>
      <c r="XEU1" s="657"/>
      <c r="XEV1" s="657"/>
      <c r="XEW1" s="657"/>
      <c r="XEX1" s="657"/>
      <c r="XEY1" s="657"/>
      <c r="XEZ1" s="657"/>
      <c r="XFA1" s="657"/>
      <c r="XFB1" s="657"/>
      <c r="XFC1" s="657"/>
      <c r="XFD1" s="657"/>
    </row>
    <row r="2" spans="1:16384">
      <c r="A2" s="656" t="s">
        <v>924</v>
      </c>
      <c r="B2" s="656"/>
      <c r="C2" s="656"/>
      <c r="D2" s="656"/>
      <c r="E2" s="656"/>
      <c r="F2" s="656"/>
      <c r="G2" s="656"/>
      <c r="H2" s="656"/>
      <c r="I2" s="656"/>
      <c r="J2" s="656"/>
      <c r="K2" s="656"/>
    </row>
    <row r="3" spans="1:16384">
      <c r="A3" s="657"/>
      <c r="B3" s="657"/>
      <c r="C3" s="657"/>
      <c r="D3" s="657"/>
      <c r="E3" s="657"/>
      <c r="F3" s="657"/>
      <c r="G3" s="657"/>
      <c r="H3" s="657"/>
      <c r="I3" s="657"/>
      <c r="J3" s="657"/>
      <c r="K3" s="657"/>
    </row>
    <row r="4" spans="1:16384">
      <c r="A4" s="608"/>
      <c r="B4" s="608"/>
      <c r="C4" s="608"/>
      <c r="D4" s="608"/>
      <c r="E4" s="608"/>
      <c r="F4" s="608"/>
      <c r="G4" s="608"/>
      <c r="H4" s="608"/>
      <c r="I4" s="608"/>
      <c r="K4" s="608"/>
    </row>
    <row r="5" spans="1:16384">
      <c r="A5" s="608"/>
      <c r="B5" s="608"/>
      <c r="C5" s="608"/>
      <c r="D5" s="608"/>
      <c r="E5" s="608"/>
      <c r="F5" s="608"/>
      <c r="G5" s="608"/>
      <c r="H5" s="608"/>
      <c r="I5" s="608"/>
      <c r="K5" s="608"/>
    </row>
    <row r="8" spans="1:16384">
      <c r="A8" s="1" t="s">
        <v>55</v>
      </c>
      <c r="B8" s="1"/>
    </row>
    <row r="9" spans="1:16384">
      <c r="A9" s="112" t="s">
        <v>56</v>
      </c>
      <c r="B9" s="104" t="s">
        <v>57</v>
      </c>
      <c r="C9" s="16">
        <f>'Rate Calculation'!E47</f>
        <v>150077648.38336653</v>
      </c>
      <c r="D9" s="52" t="s">
        <v>58</v>
      </c>
      <c r="E9" s="3">
        <f>ABS('Rate Calculation'!E49)</f>
        <v>26936729.643977072</v>
      </c>
      <c r="F9" s="24" t="s">
        <v>59</v>
      </c>
      <c r="G9" s="39" t="s">
        <v>60</v>
      </c>
      <c r="H9" s="57">
        <f>'Rate Calculation'!E53* 1000</f>
        <v>3939583.3333333335</v>
      </c>
      <c r="I9" s="39" t="s">
        <v>113</v>
      </c>
      <c r="J9" s="58">
        <f>'Rate Calculation'!E55</f>
        <v>31.26</v>
      </c>
      <c r="K9" s="196" t="s">
        <v>61</v>
      </c>
    </row>
    <row r="10" spans="1:16384">
      <c r="A10" s="112" t="s">
        <v>62</v>
      </c>
      <c r="B10" s="112"/>
      <c r="C10" s="59">
        <f>'Rate Calculation'!E56</f>
        <v>2.605</v>
      </c>
      <c r="D10" s="196" t="s">
        <v>63</v>
      </c>
    </row>
    <row r="11" spans="1:16384">
      <c r="A11" s="112" t="s">
        <v>64</v>
      </c>
      <c r="B11" s="112"/>
      <c r="C11" s="59">
        <f>'Rate Calculation'!E57</f>
        <v>0.60119999999999996</v>
      </c>
      <c r="D11" s="196" t="s">
        <v>65</v>
      </c>
    </row>
    <row r="12" spans="1:16384">
      <c r="A12" s="112" t="s">
        <v>66</v>
      </c>
      <c r="B12" s="112"/>
      <c r="C12" s="59">
        <f>'Rate Calculation'!E58</f>
        <v>0.1002</v>
      </c>
      <c r="D12" s="196" t="s">
        <v>67</v>
      </c>
    </row>
    <row r="13" spans="1:16384">
      <c r="A13" s="112" t="s">
        <v>68</v>
      </c>
      <c r="B13" s="112"/>
      <c r="C13" s="59">
        <f>'Rate Calculation'!E59</f>
        <v>8.5900000000000004E-2</v>
      </c>
      <c r="D13" s="196" t="s">
        <v>67</v>
      </c>
    </row>
    <row r="15" spans="1:16384">
      <c r="A15" s="1" t="s">
        <v>69</v>
      </c>
      <c r="B15" s="1"/>
    </row>
    <row r="16" spans="1:16384">
      <c r="A16" s="112" t="s">
        <v>70</v>
      </c>
      <c r="B16" s="112"/>
      <c r="C16" s="59">
        <f>C10</f>
        <v>2.605</v>
      </c>
      <c r="D16" s="196" t="s">
        <v>63</v>
      </c>
    </row>
    <row r="17" spans="1:10">
      <c r="A17" s="112" t="s">
        <v>71</v>
      </c>
      <c r="B17" s="112"/>
      <c r="C17" s="59">
        <f>C11</f>
        <v>0.60119999999999996</v>
      </c>
      <c r="D17" s="196" t="s">
        <v>65</v>
      </c>
    </row>
    <row r="18" spans="1:10">
      <c r="A18" s="112" t="s">
        <v>72</v>
      </c>
      <c r="B18" s="112"/>
      <c r="C18" s="59">
        <f>C12</f>
        <v>0.1002</v>
      </c>
      <c r="D18" s="196" t="s">
        <v>67</v>
      </c>
    </row>
    <row r="19" spans="1:10">
      <c r="A19" s="112" t="s">
        <v>68</v>
      </c>
      <c r="B19" s="112"/>
      <c r="C19" s="59">
        <f>C13</f>
        <v>8.5900000000000004E-2</v>
      </c>
      <c r="D19" s="196" t="s">
        <v>67</v>
      </c>
    </row>
    <row r="20" spans="1:10" ht="25.5">
      <c r="A20" s="113" t="s">
        <v>73</v>
      </c>
      <c r="B20" s="113"/>
      <c r="C20" s="60">
        <f>'Rate Calculation'!E60</f>
        <v>6.38</v>
      </c>
      <c r="D20" s="196" t="s">
        <v>74</v>
      </c>
    </row>
    <row r="21" spans="1:10">
      <c r="A21" s="112" t="s">
        <v>75</v>
      </c>
      <c r="C21" s="60">
        <f>'Rate Calculation'!E61</f>
        <v>3.57</v>
      </c>
      <c r="D21" s="196" t="s">
        <v>74</v>
      </c>
    </row>
    <row r="22" spans="1:10">
      <c r="A22" s="112"/>
    </row>
    <row r="23" spans="1:10">
      <c r="A23" s="61" t="s">
        <v>76</v>
      </c>
      <c r="B23" s="61"/>
    </row>
    <row r="24" spans="1:10">
      <c r="A24" s="112" t="s">
        <v>77</v>
      </c>
      <c r="B24" s="112"/>
      <c r="C24" s="3">
        <f>'Rate Calculation'!E47</f>
        <v>150077648.38336653</v>
      </c>
      <c r="D24" s="62" t="s">
        <v>58</v>
      </c>
      <c r="E24" s="3">
        <f>ABS('Rate Calculation'!E49)</f>
        <v>26936729.643977072</v>
      </c>
      <c r="F24" s="24" t="s">
        <v>346</v>
      </c>
      <c r="H24" s="16">
        <f>'Calc of NT Rev Req'!I16</f>
        <v>3796249.7155858902</v>
      </c>
      <c r="I24" s="39" t="s">
        <v>113</v>
      </c>
      <c r="J24" s="63">
        <f>'Calc of NT Rev Req'!I18</f>
        <v>126937168.45497534</v>
      </c>
    </row>
    <row r="25" spans="1:10">
      <c r="A25" s="112" t="s">
        <v>331</v>
      </c>
      <c r="B25" s="112"/>
      <c r="C25" s="16">
        <f>J24/12</f>
        <v>10578097.371247945</v>
      </c>
    </row>
    <row r="28" spans="1:10">
      <c r="A28" s="39"/>
      <c r="B28" s="39"/>
    </row>
  </sheetData>
  <mergeCells count="1492">
    <mergeCell ref="XEO1:XEY1"/>
    <mergeCell ref="XEZ1:XFD1"/>
    <mergeCell ref="XCL1:XCV1"/>
    <mergeCell ref="XCW1:XDG1"/>
    <mergeCell ref="XDH1:XDR1"/>
    <mergeCell ref="XDS1:XEC1"/>
    <mergeCell ref="XED1:XEN1"/>
    <mergeCell ref="XAI1:XAS1"/>
    <mergeCell ref="XAT1:XBD1"/>
    <mergeCell ref="XBE1:XBO1"/>
    <mergeCell ref="XBP1:XBZ1"/>
    <mergeCell ref="XCA1:XCK1"/>
    <mergeCell ref="WYF1:WYP1"/>
    <mergeCell ref="WYQ1:WZA1"/>
    <mergeCell ref="WZB1:WZL1"/>
    <mergeCell ref="WZM1:WZW1"/>
    <mergeCell ref="WZX1:XAH1"/>
    <mergeCell ref="WWC1:WWM1"/>
    <mergeCell ref="WWN1:WWX1"/>
    <mergeCell ref="WWY1:WXI1"/>
    <mergeCell ref="WXJ1:WXT1"/>
    <mergeCell ref="WXU1:WYE1"/>
    <mergeCell ref="WTZ1:WUJ1"/>
    <mergeCell ref="WUK1:WUU1"/>
    <mergeCell ref="WUV1:WVF1"/>
    <mergeCell ref="WVG1:WVQ1"/>
    <mergeCell ref="WVR1:WWB1"/>
    <mergeCell ref="WRW1:WSG1"/>
    <mergeCell ref="WSH1:WSR1"/>
    <mergeCell ref="WSS1:WTC1"/>
    <mergeCell ref="WTD1:WTN1"/>
    <mergeCell ref="WTO1:WTY1"/>
    <mergeCell ref="WPT1:WQD1"/>
    <mergeCell ref="WQE1:WQO1"/>
    <mergeCell ref="WQP1:WQZ1"/>
    <mergeCell ref="WRA1:WRK1"/>
    <mergeCell ref="WRL1:WRV1"/>
    <mergeCell ref="WNQ1:WOA1"/>
    <mergeCell ref="WOB1:WOL1"/>
    <mergeCell ref="WOM1:WOW1"/>
    <mergeCell ref="WOX1:WPH1"/>
    <mergeCell ref="WPI1:WPS1"/>
    <mergeCell ref="WLN1:WLX1"/>
    <mergeCell ref="WLY1:WMI1"/>
    <mergeCell ref="WMJ1:WMT1"/>
    <mergeCell ref="WMU1:WNE1"/>
    <mergeCell ref="WNF1:WNP1"/>
    <mergeCell ref="WJK1:WJU1"/>
    <mergeCell ref="WJV1:WKF1"/>
    <mergeCell ref="WKG1:WKQ1"/>
    <mergeCell ref="WKR1:WLB1"/>
    <mergeCell ref="WLC1:WLM1"/>
    <mergeCell ref="WHH1:WHR1"/>
    <mergeCell ref="WHS1:WIC1"/>
    <mergeCell ref="WID1:WIN1"/>
    <mergeCell ref="WIO1:WIY1"/>
    <mergeCell ref="WIZ1:WJJ1"/>
    <mergeCell ref="WFE1:WFO1"/>
    <mergeCell ref="WFP1:WFZ1"/>
    <mergeCell ref="WGA1:WGK1"/>
    <mergeCell ref="WGL1:WGV1"/>
    <mergeCell ref="WGW1:WHG1"/>
    <mergeCell ref="WDB1:WDL1"/>
    <mergeCell ref="WDM1:WDW1"/>
    <mergeCell ref="WDX1:WEH1"/>
    <mergeCell ref="WEI1:WES1"/>
    <mergeCell ref="WET1:WFD1"/>
    <mergeCell ref="WAY1:WBI1"/>
    <mergeCell ref="WBJ1:WBT1"/>
    <mergeCell ref="WBU1:WCE1"/>
    <mergeCell ref="WCF1:WCP1"/>
    <mergeCell ref="WCQ1:WDA1"/>
    <mergeCell ref="VYV1:VZF1"/>
    <mergeCell ref="VZG1:VZQ1"/>
    <mergeCell ref="VZR1:WAB1"/>
    <mergeCell ref="WAC1:WAM1"/>
    <mergeCell ref="WAN1:WAX1"/>
    <mergeCell ref="VWS1:VXC1"/>
    <mergeCell ref="VXD1:VXN1"/>
    <mergeCell ref="VXO1:VXY1"/>
    <mergeCell ref="VXZ1:VYJ1"/>
    <mergeCell ref="VYK1:VYU1"/>
    <mergeCell ref="VUP1:VUZ1"/>
    <mergeCell ref="VVA1:VVK1"/>
    <mergeCell ref="VVL1:VVV1"/>
    <mergeCell ref="VVW1:VWG1"/>
    <mergeCell ref="VWH1:VWR1"/>
    <mergeCell ref="VSM1:VSW1"/>
    <mergeCell ref="VSX1:VTH1"/>
    <mergeCell ref="VTI1:VTS1"/>
    <mergeCell ref="VTT1:VUD1"/>
    <mergeCell ref="VUE1:VUO1"/>
    <mergeCell ref="VQJ1:VQT1"/>
    <mergeCell ref="VQU1:VRE1"/>
    <mergeCell ref="VRF1:VRP1"/>
    <mergeCell ref="VRQ1:VSA1"/>
    <mergeCell ref="VSB1:VSL1"/>
    <mergeCell ref="VOG1:VOQ1"/>
    <mergeCell ref="VOR1:VPB1"/>
    <mergeCell ref="VPC1:VPM1"/>
    <mergeCell ref="VPN1:VPX1"/>
    <mergeCell ref="VPY1:VQI1"/>
    <mergeCell ref="VMD1:VMN1"/>
    <mergeCell ref="VMO1:VMY1"/>
    <mergeCell ref="VMZ1:VNJ1"/>
    <mergeCell ref="VNK1:VNU1"/>
    <mergeCell ref="VNV1:VOF1"/>
    <mergeCell ref="VKA1:VKK1"/>
    <mergeCell ref="VKL1:VKV1"/>
    <mergeCell ref="VKW1:VLG1"/>
    <mergeCell ref="VLH1:VLR1"/>
    <mergeCell ref="VLS1:VMC1"/>
    <mergeCell ref="VHX1:VIH1"/>
    <mergeCell ref="VII1:VIS1"/>
    <mergeCell ref="VIT1:VJD1"/>
    <mergeCell ref="VJE1:VJO1"/>
    <mergeCell ref="VJP1:VJZ1"/>
    <mergeCell ref="VFU1:VGE1"/>
    <mergeCell ref="VGF1:VGP1"/>
    <mergeCell ref="VGQ1:VHA1"/>
    <mergeCell ref="VHB1:VHL1"/>
    <mergeCell ref="VHM1:VHW1"/>
    <mergeCell ref="VDR1:VEB1"/>
    <mergeCell ref="VEC1:VEM1"/>
    <mergeCell ref="VEN1:VEX1"/>
    <mergeCell ref="VEY1:VFI1"/>
    <mergeCell ref="VFJ1:VFT1"/>
    <mergeCell ref="VBO1:VBY1"/>
    <mergeCell ref="VBZ1:VCJ1"/>
    <mergeCell ref="VCK1:VCU1"/>
    <mergeCell ref="VCV1:VDF1"/>
    <mergeCell ref="VDG1:VDQ1"/>
    <mergeCell ref="UZL1:UZV1"/>
    <mergeCell ref="UZW1:VAG1"/>
    <mergeCell ref="VAH1:VAR1"/>
    <mergeCell ref="VAS1:VBC1"/>
    <mergeCell ref="VBD1:VBN1"/>
    <mergeCell ref="UXI1:UXS1"/>
    <mergeCell ref="UXT1:UYD1"/>
    <mergeCell ref="UYE1:UYO1"/>
    <mergeCell ref="UYP1:UYZ1"/>
    <mergeCell ref="UZA1:UZK1"/>
    <mergeCell ref="UVF1:UVP1"/>
    <mergeCell ref="UVQ1:UWA1"/>
    <mergeCell ref="UWB1:UWL1"/>
    <mergeCell ref="UWM1:UWW1"/>
    <mergeCell ref="UWX1:UXH1"/>
    <mergeCell ref="UTC1:UTM1"/>
    <mergeCell ref="UTN1:UTX1"/>
    <mergeCell ref="UTY1:UUI1"/>
    <mergeCell ref="UUJ1:UUT1"/>
    <mergeCell ref="UUU1:UVE1"/>
    <mergeCell ref="UQZ1:URJ1"/>
    <mergeCell ref="URK1:URU1"/>
    <mergeCell ref="URV1:USF1"/>
    <mergeCell ref="USG1:USQ1"/>
    <mergeCell ref="USR1:UTB1"/>
    <mergeCell ref="UOW1:UPG1"/>
    <mergeCell ref="UPH1:UPR1"/>
    <mergeCell ref="UPS1:UQC1"/>
    <mergeCell ref="UQD1:UQN1"/>
    <mergeCell ref="UQO1:UQY1"/>
    <mergeCell ref="UMT1:UND1"/>
    <mergeCell ref="UNE1:UNO1"/>
    <mergeCell ref="UNP1:UNZ1"/>
    <mergeCell ref="UOA1:UOK1"/>
    <mergeCell ref="UOL1:UOV1"/>
    <mergeCell ref="UKQ1:ULA1"/>
    <mergeCell ref="ULB1:ULL1"/>
    <mergeCell ref="ULM1:ULW1"/>
    <mergeCell ref="ULX1:UMH1"/>
    <mergeCell ref="UMI1:UMS1"/>
    <mergeCell ref="UIN1:UIX1"/>
    <mergeCell ref="UIY1:UJI1"/>
    <mergeCell ref="UJJ1:UJT1"/>
    <mergeCell ref="UJU1:UKE1"/>
    <mergeCell ref="UKF1:UKP1"/>
    <mergeCell ref="UGK1:UGU1"/>
    <mergeCell ref="UGV1:UHF1"/>
    <mergeCell ref="UHG1:UHQ1"/>
    <mergeCell ref="UHR1:UIB1"/>
    <mergeCell ref="UIC1:UIM1"/>
    <mergeCell ref="UEH1:UER1"/>
    <mergeCell ref="UES1:UFC1"/>
    <mergeCell ref="UFD1:UFN1"/>
    <mergeCell ref="UFO1:UFY1"/>
    <mergeCell ref="UFZ1:UGJ1"/>
    <mergeCell ref="UCE1:UCO1"/>
    <mergeCell ref="UCP1:UCZ1"/>
    <mergeCell ref="UDA1:UDK1"/>
    <mergeCell ref="UDL1:UDV1"/>
    <mergeCell ref="UDW1:UEG1"/>
    <mergeCell ref="UAB1:UAL1"/>
    <mergeCell ref="UAM1:UAW1"/>
    <mergeCell ref="UAX1:UBH1"/>
    <mergeCell ref="UBI1:UBS1"/>
    <mergeCell ref="UBT1:UCD1"/>
    <mergeCell ref="TXY1:TYI1"/>
    <mergeCell ref="TYJ1:TYT1"/>
    <mergeCell ref="TYU1:TZE1"/>
    <mergeCell ref="TZF1:TZP1"/>
    <mergeCell ref="TZQ1:UAA1"/>
    <mergeCell ref="TVV1:TWF1"/>
    <mergeCell ref="TWG1:TWQ1"/>
    <mergeCell ref="TWR1:TXB1"/>
    <mergeCell ref="TXC1:TXM1"/>
    <mergeCell ref="TXN1:TXX1"/>
    <mergeCell ref="TTS1:TUC1"/>
    <mergeCell ref="TUD1:TUN1"/>
    <mergeCell ref="TUO1:TUY1"/>
    <mergeCell ref="TUZ1:TVJ1"/>
    <mergeCell ref="TVK1:TVU1"/>
    <mergeCell ref="TRP1:TRZ1"/>
    <mergeCell ref="TSA1:TSK1"/>
    <mergeCell ref="TSL1:TSV1"/>
    <mergeCell ref="TSW1:TTG1"/>
    <mergeCell ref="TTH1:TTR1"/>
    <mergeCell ref="TPM1:TPW1"/>
    <mergeCell ref="TPX1:TQH1"/>
    <mergeCell ref="TQI1:TQS1"/>
    <mergeCell ref="TQT1:TRD1"/>
    <mergeCell ref="TRE1:TRO1"/>
    <mergeCell ref="TNJ1:TNT1"/>
    <mergeCell ref="TNU1:TOE1"/>
    <mergeCell ref="TOF1:TOP1"/>
    <mergeCell ref="TOQ1:TPA1"/>
    <mergeCell ref="TPB1:TPL1"/>
    <mergeCell ref="TLG1:TLQ1"/>
    <mergeCell ref="TLR1:TMB1"/>
    <mergeCell ref="TMC1:TMM1"/>
    <mergeCell ref="TMN1:TMX1"/>
    <mergeCell ref="TMY1:TNI1"/>
    <mergeCell ref="TJD1:TJN1"/>
    <mergeCell ref="TJO1:TJY1"/>
    <mergeCell ref="TJZ1:TKJ1"/>
    <mergeCell ref="TKK1:TKU1"/>
    <mergeCell ref="TKV1:TLF1"/>
    <mergeCell ref="THA1:THK1"/>
    <mergeCell ref="THL1:THV1"/>
    <mergeCell ref="THW1:TIG1"/>
    <mergeCell ref="TIH1:TIR1"/>
    <mergeCell ref="TIS1:TJC1"/>
    <mergeCell ref="TEX1:TFH1"/>
    <mergeCell ref="TFI1:TFS1"/>
    <mergeCell ref="TFT1:TGD1"/>
    <mergeCell ref="TGE1:TGO1"/>
    <mergeCell ref="TGP1:TGZ1"/>
    <mergeCell ref="TCU1:TDE1"/>
    <mergeCell ref="TDF1:TDP1"/>
    <mergeCell ref="TDQ1:TEA1"/>
    <mergeCell ref="TEB1:TEL1"/>
    <mergeCell ref="TEM1:TEW1"/>
    <mergeCell ref="TAR1:TBB1"/>
    <mergeCell ref="TBC1:TBM1"/>
    <mergeCell ref="TBN1:TBX1"/>
    <mergeCell ref="TBY1:TCI1"/>
    <mergeCell ref="TCJ1:TCT1"/>
    <mergeCell ref="SYO1:SYY1"/>
    <mergeCell ref="SYZ1:SZJ1"/>
    <mergeCell ref="SZK1:SZU1"/>
    <mergeCell ref="SZV1:TAF1"/>
    <mergeCell ref="TAG1:TAQ1"/>
    <mergeCell ref="SWL1:SWV1"/>
    <mergeCell ref="SWW1:SXG1"/>
    <mergeCell ref="SXH1:SXR1"/>
    <mergeCell ref="SXS1:SYC1"/>
    <mergeCell ref="SYD1:SYN1"/>
    <mergeCell ref="SUI1:SUS1"/>
    <mergeCell ref="SUT1:SVD1"/>
    <mergeCell ref="SVE1:SVO1"/>
    <mergeCell ref="SVP1:SVZ1"/>
    <mergeCell ref="SWA1:SWK1"/>
    <mergeCell ref="SSF1:SSP1"/>
    <mergeCell ref="SSQ1:STA1"/>
    <mergeCell ref="STB1:STL1"/>
    <mergeCell ref="STM1:STW1"/>
    <mergeCell ref="STX1:SUH1"/>
    <mergeCell ref="SQC1:SQM1"/>
    <mergeCell ref="SQN1:SQX1"/>
    <mergeCell ref="SQY1:SRI1"/>
    <mergeCell ref="SRJ1:SRT1"/>
    <mergeCell ref="SRU1:SSE1"/>
    <mergeCell ref="SNZ1:SOJ1"/>
    <mergeCell ref="SOK1:SOU1"/>
    <mergeCell ref="SOV1:SPF1"/>
    <mergeCell ref="SPG1:SPQ1"/>
    <mergeCell ref="SPR1:SQB1"/>
    <mergeCell ref="SLW1:SMG1"/>
    <mergeCell ref="SMH1:SMR1"/>
    <mergeCell ref="SMS1:SNC1"/>
    <mergeCell ref="SND1:SNN1"/>
    <mergeCell ref="SNO1:SNY1"/>
    <mergeCell ref="SJT1:SKD1"/>
    <mergeCell ref="SKE1:SKO1"/>
    <mergeCell ref="SKP1:SKZ1"/>
    <mergeCell ref="SLA1:SLK1"/>
    <mergeCell ref="SLL1:SLV1"/>
    <mergeCell ref="SHQ1:SIA1"/>
    <mergeCell ref="SIB1:SIL1"/>
    <mergeCell ref="SIM1:SIW1"/>
    <mergeCell ref="SIX1:SJH1"/>
    <mergeCell ref="SJI1:SJS1"/>
    <mergeCell ref="SFN1:SFX1"/>
    <mergeCell ref="SFY1:SGI1"/>
    <mergeCell ref="SGJ1:SGT1"/>
    <mergeCell ref="SGU1:SHE1"/>
    <mergeCell ref="SHF1:SHP1"/>
    <mergeCell ref="SDK1:SDU1"/>
    <mergeCell ref="SDV1:SEF1"/>
    <mergeCell ref="SEG1:SEQ1"/>
    <mergeCell ref="SER1:SFB1"/>
    <mergeCell ref="SFC1:SFM1"/>
    <mergeCell ref="SBH1:SBR1"/>
    <mergeCell ref="SBS1:SCC1"/>
    <mergeCell ref="SCD1:SCN1"/>
    <mergeCell ref="SCO1:SCY1"/>
    <mergeCell ref="SCZ1:SDJ1"/>
    <mergeCell ref="RZE1:RZO1"/>
    <mergeCell ref="RZP1:RZZ1"/>
    <mergeCell ref="SAA1:SAK1"/>
    <mergeCell ref="SAL1:SAV1"/>
    <mergeCell ref="SAW1:SBG1"/>
    <mergeCell ref="RXB1:RXL1"/>
    <mergeCell ref="RXM1:RXW1"/>
    <mergeCell ref="RXX1:RYH1"/>
    <mergeCell ref="RYI1:RYS1"/>
    <mergeCell ref="RYT1:RZD1"/>
    <mergeCell ref="RUY1:RVI1"/>
    <mergeCell ref="RVJ1:RVT1"/>
    <mergeCell ref="RVU1:RWE1"/>
    <mergeCell ref="RWF1:RWP1"/>
    <mergeCell ref="RWQ1:RXA1"/>
    <mergeCell ref="RSV1:RTF1"/>
    <mergeCell ref="RTG1:RTQ1"/>
    <mergeCell ref="RTR1:RUB1"/>
    <mergeCell ref="RUC1:RUM1"/>
    <mergeCell ref="RUN1:RUX1"/>
    <mergeCell ref="RQS1:RRC1"/>
    <mergeCell ref="RRD1:RRN1"/>
    <mergeCell ref="RRO1:RRY1"/>
    <mergeCell ref="RRZ1:RSJ1"/>
    <mergeCell ref="RSK1:RSU1"/>
    <mergeCell ref="ROP1:ROZ1"/>
    <mergeCell ref="RPA1:RPK1"/>
    <mergeCell ref="RPL1:RPV1"/>
    <mergeCell ref="RPW1:RQG1"/>
    <mergeCell ref="RQH1:RQR1"/>
    <mergeCell ref="RMM1:RMW1"/>
    <mergeCell ref="RMX1:RNH1"/>
    <mergeCell ref="RNI1:RNS1"/>
    <mergeCell ref="RNT1:ROD1"/>
    <mergeCell ref="ROE1:ROO1"/>
    <mergeCell ref="RKJ1:RKT1"/>
    <mergeCell ref="RKU1:RLE1"/>
    <mergeCell ref="RLF1:RLP1"/>
    <mergeCell ref="RLQ1:RMA1"/>
    <mergeCell ref="RMB1:RML1"/>
    <mergeCell ref="RIG1:RIQ1"/>
    <mergeCell ref="RIR1:RJB1"/>
    <mergeCell ref="RJC1:RJM1"/>
    <mergeCell ref="RJN1:RJX1"/>
    <mergeCell ref="RJY1:RKI1"/>
    <mergeCell ref="RGD1:RGN1"/>
    <mergeCell ref="RGO1:RGY1"/>
    <mergeCell ref="RGZ1:RHJ1"/>
    <mergeCell ref="RHK1:RHU1"/>
    <mergeCell ref="RHV1:RIF1"/>
    <mergeCell ref="REA1:REK1"/>
    <mergeCell ref="REL1:REV1"/>
    <mergeCell ref="REW1:RFG1"/>
    <mergeCell ref="RFH1:RFR1"/>
    <mergeCell ref="RFS1:RGC1"/>
    <mergeCell ref="RBX1:RCH1"/>
    <mergeCell ref="RCI1:RCS1"/>
    <mergeCell ref="RCT1:RDD1"/>
    <mergeCell ref="RDE1:RDO1"/>
    <mergeCell ref="RDP1:RDZ1"/>
    <mergeCell ref="QZU1:RAE1"/>
    <mergeCell ref="RAF1:RAP1"/>
    <mergeCell ref="RAQ1:RBA1"/>
    <mergeCell ref="RBB1:RBL1"/>
    <mergeCell ref="RBM1:RBW1"/>
    <mergeCell ref="QXR1:QYB1"/>
    <mergeCell ref="QYC1:QYM1"/>
    <mergeCell ref="QYN1:QYX1"/>
    <mergeCell ref="QYY1:QZI1"/>
    <mergeCell ref="QZJ1:QZT1"/>
    <mergeCell ref="QVO1:QVY1"/>
    <mergeCell ref="QVZ1:QWJ1"/>
    <mergeCell ref="QWK1:QWU1"/>
    <mergeCell ref="QWV1:QXF1"/>
    <mergeCell ref="QXG1:QXQ1"/>
    <mergeCell ref="QTL1:QTV1"/>
    <mergeCell ref="QTW1:QUG1"/>
    <mergeCell ref="QUH1:QUR1"/>
    <mergeCell ref="QUS1:QVC1"/>
    <mergeCell ref="QVD1:QVN1"/>
    <mergeCell ref="QRI1:QRS1"/>
    <mergeCell ref="QRT1:QSD1"/>
    <mergeCell ref="QSE1:QSO1"/>
    <mergeCell ref="QSP1:QSZ1"/>
    <mergeCell ref="QTA1:QTK1"/>
    <mergeCell ref="QPF1:QPP1"/>
    <mergeCell ref="QPQ1:QQA1"/>
    <mergeCell ref="QQB1:QQL1"/>
    <mergeCell ref="QQM1:QQW1"/>
    <mergeCell ref="QQX1:QRH1"/>
    <mergeCell ref="QNC1:QNM1"/>
    <mergeCell ref="QNN1:QNX1"/>
    <mergeCell ref="QNY1:QOI1"/>
    <mergeCell ref="QOJ1:QOT1"/>
    <mergeCell ref="QOU1:QPE1"/>
    <mergeCell ref="QKZ1:QLJ1"/>
    <mergeCell ref="QLK1:QLU1"/>
    <mergeCell ref="QLV1:QMF1"/>
    <mergeCell ref="QMG1:QMQ1"/>
    <mergeCell ref="QMR1:QNB1"/>
    <mergeCell ref="QIW1:QJG1"/>
    <mergeCell ref="QJH1:QJR1"/>
    <mergeCell ref="QJS1:QKC1"/>
    <mergeCell ref="QKD1:QKN1"/>
    <mergeCell ref="QKO1:QKY1"/>
    <mergeCell ref="QGT1:QHD1"/>
    <mergeCell ref="QHE1:QHO1"/>
    <mergeCell ref="QHP1:QHZ1"/>
    <mergeCell ref="QIA1:QIK1"/>
    <mergeCell ref="QIL1:QIV1"/>
    <mergeCell ref="QEQ1:QFA1"/>
    <mergeCell ref="QFB1:QFL1"/>
    <mergeCell ref="QFM1:QFW1"/>
    <mergeCell ref="QFX1:QGH1"/>
    <mergeCell ref="QGI1:QGS1"/>
    <mergeCell ref="QCN1:QCX1"/>
    <mergeCell ref="QCY1:QDI1"/>
    <mergeCell ref="QDJ1:QDT1"/>
    <mergeCell ref="QDU1:QEE1"/>
    <mergeCell ref="QEF1:QEP1"/>
    <mergeCell ref="QAK1:QAU1"/>
    <mergeCell ref="QAV1:QBF1"/>
    <mergeCell ref="QBG1:QBQ1"/>
    <mergeCell ref="QBR1:QCB1"/>
    <mergeCell ref="QCC1:QCM1"/>
    <mergeCell ref="PYH1:PYR1"/>
    <mergeCell ref="PYS1:PZC1"/>
    <mergeCell ref="PZD1:PZN1"/>
    <mergeCell ref="PZO1:PZY1"/>
    <mergeCell ref="PZZ1:QAJ1"/>
    <mergeCell ref="PWE1:PWO1"/>
    <mergeCell ref="PWP1:PWZ1"/>
    <mergeCell ref="PXA1:PXK1"/>
    <mergeCell ref="PXL1:PXV1"/>
    <mergeCell ref="PXW1:PYG1"/>
    <mergeCell ref="PUB1:PUL1"/>
    <mergeCell ref="PUM1:PUW1"/>
    <mergeCell ref="PUX1:PVH1"/>
    <mergeCell ref="PVI1:PVS1"/>
    <mergeCell ref="PVT1:PWD1"/>
    <mergeCell ref="PRY1:PSI1"/>
    <mergeCell ref="PSJ1:PST1"/>
    <mergeCell ref="PSU1:PTE1"/>
    <mergeCell ref="PTF1:PTP1"/>
    <mergeCell ref="PTQ1:PUA1"/>
    <mergeCell ref="PPV1:PQF1"/>
    <mergeCell ref="PQG1:PQQ1"/>
    <mergeCell ref="PQR1:PRB1"/>
    <mergeCell ref="PRC1:PRM1"/>
    <mergeCell ref="PRN1:PRX1"/>
    <mergeCell ref="PNS1:POC1"/>
    <mergeCell ref="POD1:PON1"/>
    <mergeCell ref="POO1:POY1"/>
    <mergeCell ref="POZ1:PPJ1"/>
    <mergeCell ref="PPK1:PPU1"/>
    <mergeCell ref="PLP1:PLZ1"/>
    <mergeCell ref="PMA1:PMK1"/>
    <mergeCell ref="PML1:PMV1"/>
    <mergeCell ref="PMW1:PNG1"/>
    <mergeCell ref="PNH1:PNR1"/>
    <mergeCell ref="PJM1:PJW1"/>
    <mergeCell ref="PJX1:PKH1"/>
    <mergeCell ref="PKI1:PKS1"/>
    <mergeCell ref="PKT1:PLD1"/>
    <mergeCell ref="PLE1:PLO1"/>
    <mergeCell ref="PHJ1:PHT1"/>
    <mergeCell ref="PHU1:PIE1"/>
    <mergeCell ref="PIF1:PIP1"/>
    <mergeCell ref="PIQ1:PJA1"/>
    <mergeCell ref="PJB1:PJL1"/>
    <mergeCell ref="PFG1:PFQ1"/>
    <mergeCell ref="PFR1:PGB1"/>
    <mergeCell ref="PGC1:PGM1"/>
    <mergeCell ref="PGN1:PGX1"/>
    <mergeCell ref="PGY1:PHI1"/>
    <mergeCell ref="PDD1:PDN1"/>
    <mergeCell ref="PDO1:PDY1"/>
    <mergeCell ref="PDZ1:PEJ1"/>
    <mergeCell ref="PEK1:PEU1"/>
    <mergeCell ref="PEV1:PFF1"/>
    <mergeCell ref="PBA1:PBK1"/>
    <mergeCell ref="PBL1:PBV1"/>
    <mergeCell ref="PBW1:PCG1"/>
    <mergeCell ref="PCH1:PCR1"/>
    <mergeCell ref="PCS1:PDC1"/>
    <mergeCell ref="OYX1:OZH1"/>
    <mergeCell ref="OZI1:OZS1"/>
    <mergeCell ref="OZT1:PAD1"/>
    <mergeCell ref="PAE1:PAO1"/>
    <mergeCell ref="PAP1:PAZ1"/>
    <mergeCell ref="OWU1:OXE1"/>
    <mergeCell ref="OXF1:OXP1"/>
    <mergeCell ref="OXQ1:OYA1"/>
    <mergeCell ref="OYB1:OYL1"/>
    <mergeCell ref="OYM1:OYW1"/>
    <mergeCell ref="OUR1:OVB1"/>
    <mergeCell ref="OVC1:OVM1"/>
    <mergeCell ref="OVN1:OVX1"/>
    <mergeCell ref="OVY1:OWI1"/>
    <mergeCell ref="OWJ1:OWT1"/>
    <mergeCell ref="OSO1:OSY1"/>
    <mergeCell ref="OSZ1:OTJ1"/>
    <mergeCell ref="OTK1:OTU1"/>
    <mergeCell ref="OTV1:OUF1"/>
    <mergeCell ref="OUG1:OUQ1"/>
    <mergeCell ref="OQL1:OQV1"/>
    <mergeCell ref="OQW1:ORG1"/>
    <mergeCell ref="ORH1:ORR1"/>
    <mergeCell ref="ORS1:OSC1"/>
    <mergeCell ref="OSD1:OSN1"/>
    <mergeCell ref="OOI1:OOS1"/>
    <mergeCell ref="OOT1:OPD1"/>
    <mergeCell ref="OPE1:OPO1"/>
    <mergeCell ref="OPP1:OPZ1"/>
    <mergeCell ref="OQA1:OQK1"/>
    <mergeCell ref="OMF1:OMP1"/>
    <mergeCell ref="OMQ1:ONA1"/>
    <mergeCell ref="ONB1:ONL1"/>
    <mergeCell ref="ONM1:ONW1"/>
    <mergeCell ref="ONX1:OOH1"/>
    <mergeCell ref="OKC1:OKM1"/>
    <mergeCell ref="OKN1:OKX1"/>
    <mergeCell ref="OKY1:OLI1"/>
    <mergeCell ref="OLJ1:OLT1"/>
    <mergeCell ref="OLU1:OME1"/>
    <mergeCell ref="OHZ1:OIJ1"/>
    <mergeCell ref="OIK1:OIU1"/>
    <mergeCell ref="OIV1:OJF1"/>
    <mergeCell ref="OJG1:OJQ1"/>
    <mergeCell ref="OJR1:OKB1"/>
    <mergeCell ref="OFW1:OGG1"/>
    <mergeCell ref="OGH1:OGR1"/>
    <mergeCell ref="OGS1:OHC1"/>
    <mergeCell ref="OHD1:OHN1"/>
    <mergeCell ref="OHO1:OHY1"/>
    <mergeCell ref="ODT1:OED1"/>
    <mergeCell ref="OEE1:OEO1"/>
    <mergeCell ref="OEP1:OEZ1"/>
    <mergeCell ref="OFA1:OFK1"/>
    <mergeCell ref="OFL1:OFV1"/>
    <mergeCell ref="OBQ1:OCA1"/>
    <mergeCell ref="OCB1:OCL1"/>
    <mergeCell ref="OCM1:OCW1"/>
    <mergeCell ref="OCX1:ODH1"/>
    <mergeCell ref="ODI1:ODS1"/>
    <mergeCell ref="NZN1:NZX1"/>
    <mergeCell ref="NZY1:OAI1"/>
    <mergeCell ref="OAJ1:OAT1"/>
    <mergeCell ref="OAU1:OBE1"/>
    <mergeCell ref="OBF1:OBP1"/>
    <mergeCell ref="NXK1:NXU1"/>
    <mergeCell ref="NXV1:NYF1"/>
    <mergeCell ref="NYG1:NYQ1"/>
    <mergeCell ref="NYR1:NZB1"/>
    <mergeCell ref="NZC1:NZM1"/>
    <mergeCell ref="NVH1:NVR1"/>
    <mergeCell ref="NVS1:NWC1"/>
    <mergeCell ref="NWD1:NWN1"/>
    <mergeCell ref="NWO1:NWY1"/>
    <mergeCell ref="NWZ1:NXJ1"/>
    <mergeCell ref="NTE1:NTO1"/>
    <mergeCell ref="NTP1:NTZ1"/>
    <mergeCell ref="NUA1:NUK1"/>
    <mergeCell ref="NUL1:NUV1"/>
    <mergeCell ref="NUW1:NVG1"/>
    <mergeCell ref="NRB1:NRL1"/>
    <mergeCell ref="NRM1:NRW1"/>
    <mergeCell ref="NRX1:NSH1"/>
    <mergeCell ref="NSI1:NSS1"/>
    <mergeCell ref="NST1:NTD1"/>
    <mergeCell ref="NOY1:NPI1"/>
    <mergeCell ref="NPJ1:NPT1"/>
    <mergeCell ref="NPU1:NQE1"/>
    <mergeCell ref="NQF1:NQP1"/>
    <mergeCell ref="NQQ1:NRA1"/>
    <mergeCell ref="NMV1:NNF1"/>
    <mergeCell ref="NNG1:NNQ1"/>
    <mergeCell ref="NNR1:NOB1"/>
    <mergeCell ref="NOC1:NOM1"/>
    <mergeCell ref="NON1:NOX1"/>
    <mergeCell ref="NKS1:NLC1"/>
    <mergeCell ref="NLD1:NLN1"/>
    <mergeCell ref="NLO1:NLY1"/>
    <mergeCell ref="NLZ1:NMJ1"/>
    <mergeCell ref="NMK1:NMU1"/>
    <mergeCell ref="NIP1:NIZ1"/>
    <mergeCell ref="NJA1:NJK1"/>
    <mergeCell ref="NJL1:NJV1"/>
    <mergeCell ref="NJW1:NKG1"/>
    <mergeCell ref="NKH1:NKR1"/>
    <mergeCell ref="NGM1:NGW1"/>
    <mergeCell ref="NGX1:NHH1"/>
    <mergeCell ref="NHI1:NHS1"/>
    <mergeCell ref="NHT1:NID1"/>
    <mergeCell ref="NIE1:NIO1"/>
    <mergeCell ref="NEJ1:NET1"/>
    <mergeCell ref="NEU1:NFE1"/>
    <mergeCell ref="NFF1:NFP1"/>
    <mergeCell ref="NFQ1:NGA1"/>
    <mergeCell ref="NGB1:NGL1"/>
    <mergeCell ref="NCG1:NCQ1"/>
    <mergeCell ref="NCR1:NDB1"/>
    <mergeCell ref="NDC1:NDM1"/>
    <mergeCell ref="NDN1:NDX1"/>
    <mergeCell ref="NDY1:NEI1"/>
    <mergeCell ref="NAD1:NAN1"/>
    <mergeCell ref="NAO1:NAY1"/>
    <mergeCell ref="NAZ1:NBJ1"/>
    <mergeCell ref="NBK1:NBU1"/>
    <mergeCell ref="NBV1:NCF1"/>
    <mergeCell ref="MYA1:MYK1"/>
    <mergeCell ref="MYL1:MYV1"/>
    <mergeCell ref="MYW1:MZG1"/>
    <mergeCell ref="MZH1:MZR1"/>
    <mergeCell ref="MZS1:NAC1"/>
    <mergeCell ref="MVX1:MWH1"/>
    <mergeCell ref="MWI1:MWS1"/>
    <mergeCell ref="MWT1:MXD1"/>
    <mergeCell ref="MXE1:MXO1"/>
    <mergeCell ref="MXP1:MXZ1"/>
    <mergeCell ref="MTU1:MUE1"/>
    <mergeCell ref="MUF1:MUP1"/>
    <mergeCell ref="MUQ1:MVA1"/>
    <mergeCell ref="MVB1:MVL1"/>
    <mergeCell ref="MVM1:MVW1"/>
    <mergeCell ref="MRR1:MSB1"/>
    <mergeCell ref="MSC1:MSM1"/>
    <mergeCell ref="MSN1:MSX1"/>
    <mergeCell ref="MSY1:MTI1"/>
    <mergeCell ref="MTJ1:MTT1"/>
    <mergeCell ref="MPO1:MPY1"/>
    <mergeCell ref="MPZ1:MQJ1"/>
    <mergeCell ref="MQK1:MQU1"/>
    <mergeCell ref="MQV1:MRF1"/>
    <mergeCell ref="MRG1:MRQ1"/>
    <mergeCell ref="MNL1:MNV1"/>
    <mergeCell ref="MNW1:MOG1"/>
    <mergeCell ref="MOH1:MOR1"/>
    <mergeCell ref="MOS1:MPC1"/>
    <mergeCell ref="MPD1:MPN1"/>
    <mergeCell ref="MLI1:MLS1"/>
    <mergeCell ref="MLT1:MMD1"/>
    <mergeCell ref="MME1:MMO1"/>
    <mergeCell ref="MMP1:MMZ1"/>
    <mergeCell ref="MNA1:MNK1"/>
    <mergeCell ref="MJF1:MJP1"/>
    <mergeCell ref="MJQ1:MKA1"/>
    <mergeCell ref="MKB1:MKL1"/>
    <mergeCell ref="MKM1:MKW1"/>
    <mergeCell ref="MKX1:MLH1"/>
    <mergeCell ref="MHC1:MHM1"/>
    <mergeCell ref="MHN1:MHX1"/>
    <mergeCell ref="MHY1:MII1"/>
    <mergeCell ref="MIJ1:MIT1"/>
    <mergeCell ref="MIU1:MJE1"/>
    <mergeCell ref="MEZ1:MFJ1"/>
    <mergeCell ref="MFK1:MFU1"/>
    <mergeCell ref="MFV1:MGF1"/>
    <mergeCell ref="MGG1:MGQ1"/>
    <mergeCell ref="MGR1:MHB1"/>
    <mergeCell ref="MCW1:MDG1"/>
    <mergeCell ref="MDH1:MDR1"/>
    <mergeCell ref="MDS1:MEC1"/>
    <mergeCell ref="MED1:MEN1"/>
    <mergeCell ref="MEO1:MEY1"/>
    <mergeCell ref="MAT1:MBD1"/>
    <mergeCell ref="MBE1:MBO1"/>
    <mergeCell ref="MBP1:MBZ1"/>
    <mergeCell ref="MCA1:MCK1"/>
    <mergeCell ref="MCL1:MCV1"/>
    <mergeCell ref="LYQ1:LZA1"/>
    <mergeCell ref="LZB1:LZL1"/>
    <mergeCell ref="LZM1:LZW1"/>
    <mergeCell ref="LZX1:MAH1"/>
    <mergeCell ref="MAI1:MAS1"/>
    <mergeCell ref="LWN1:LWX1"/>
    <mergeCell ref="LWY1:LXI1"/>
    <mergeCell ref="LXJ1:LXT1"/>
    <mergeCell ref="LXU1:LYE1"/>
    <mergeCell ref="LYF1:LYP1"/>
    <mergeCell ref="LUK1:LUU1"/>
    <mergeCell ref="LUV1:LVF1"/>
    <mergeCell ref="LVG1:LVQ1"/>
    <mergeCell ref="LVR1:LWB1"/>
    <mergeCell ref="LWC1:LWM1"/>
    <mergeCell ref="LSH1:LSR1"/>
    <mergeCell ref="LSS1:LTC1"/>
    <mergeCell ref="LTD1:LTN1"/>
    <mergeCell ref="LTO1:LTY1"/>
    <mergeCell ref="LTZ1:LUJ1"/>
    <mergeCell ref="LQE1:LQO1"/>
    <mergeCell ref="LQP1:LQZ1"/>
    <mergeCell ref="LRA1:LRK1"/>
    <mergeCell ref="LRL1:LRV1"/>
    <mergeCell ref="LRW1:LSG1"/>
    <mergeCell ref="LOB1:LOL1"/>
    <mergeCell ref="LOM1:LOW1"/>
    <mergeCell ref="LOX1:LPH1"/>
    <mergeCell ref="LPI1:LPS1"/>
    <mergeCell ref="LPT1:LQD1"/>
    <mergeCell ref="LLY1:LMI1"/>
    <mergeCell ref="LMJ1:LMT1"/>
    <mergeCell ref="LMU1:LNE1"/>
    <mergeCell ref="LNF1:LNP1"/>
    <mergeCell ref="LNQ1:LOA1"/>
    <mergeCell ref="LJV1:LKF1"/>
    <mergeCell ref="LKG1:LKQ1"/>
    <mergeCell ref="LKR1:LLB1"/>
    <mergeCell ref="LLC1:LLM1"/>
    <mergeCell ref="LLN1:LLX1"/>
    <mergeCell ref="LHS1:LIC1"/>
    <mergeCell ref="LID1:LIN1"/>
    <mergeCell ref="LIO1:LIY1"/>
    <mergeCell ref="LIZ1:LJJ1"/>
    <mergeCell ref="LJK1:LJU1"/>
    <mergeCell ref="LFP1:LFZ1"/>
    <mergeCell ref="LGA1:LGK1"/>
    <mergeCell ref="LGL1:LGV1"/>
    <mergeCell ref="LGW1:LHG1"/>
    <mergeCell ref="LHH1:LHR1"/>
    <mergeCell ref="LDM1:LDW1"/>
    <mergeCell ref="LDX1:LEH1"/>
    <mergeCell ref="LEI1:LES1"/>
    <mergeCell ref="LET1:LFD1"/>
    <mergeCell ref="LFE1:LFO1"/>
    <mergeCell ref="LBJ1:LBT1"/>
    <mergeCell ref="LBU1:LCE1"/>
    <mergeCell ref="LCF1:LCP1"/>
    <mergeCell ref="LCQ1:LDA1"/>
    <mergeCell ref="LDB1:LDL1"/>
    <mergeCell ref="KZG1:KZQ1"/>
    <mergeCell ref="KZR1:LAB1"/>
    <mergeCell ref="LAC1:LAM1"/>
    <mergeCell ref="LAN1:LAX1"/>
    <mergeCell ref="LAY1:LBI1"/>
    <mergeCell ref="KXD1:KXN1"/>
    <mergeCell ref="KXO1:KXY1"/>
    <mergeCell ref="KXZ1:KYJ1"/>
    <mergeCell ref="KYK1:KYU1"/>
    <mergeCell ref="KYV1:KZF1"/>
    <mergeCell ref="KVA1:KVK1"/>
    <mergeCell ref="KVL1:KVV1"/>
    <mergeCell ref="KVW1:KWG1"/>
    <mergeCell ref="KWH1:KWR1"/>
    <mergeCell ref="KWS1:KXC1"/>
    <mergeCell ref="KSX1:KTH1"/>
    <mergeCell ref="KTI1:KTS1"/>
    <mergeCell ref="KTT1:KUD1"/>
    <mergeCell ref="KUE1:KUO1"/>
    <mergeCell ref="KUP1:KUZ1"/>
    <mergeCell ref="KQU1:KRE1"/>
    <mergeCell ref="KRF1:KRP1"/>
    <mergeCell ref="KRQ1:KSA1"/>
    <mergeCell ref="KSB1:KSL1"/>
    <mergeCell ref="KSM1:KSW1"/>
    <mergeCell ref="KOR1:KPB1"/>
    <mergeCell ref="KPC1:KPM1"/>
    <mergeCell ref="KPN1:KPX1"/>
    <mergeCell ref="KPY1:KQI1"/>
    <mergeCell ref="KQJ1:KQT1"/>
    <mergeCell ref="KMO1:KMY1"/>
    <mergeCell ref="KMZ1:KNJ1"/>
    <mergeCell ref="KNK1:KNU1"/>
    <mergeCell ref="KNV1:KOF1"/>
    <mergeCell ref="KOG1:KOQ1"/>
    <mergeCell ref="KKL1:KKV1"/>
    <mergeCell ref="KKW1:KLG1"/>
    <mergeCell ref="KLH1:KLR1"/>
    <mergeCell ref="KLS1:KMC1"/>
    <mergeCell ref="KMD1:KMN1"/>
    <mergeCell ref="KII1:KIS1"/>
    <mergeCell ref="KIT1:KJD1"/>
    <mergeCell ref="KJE1:KJO1"/>
    <mergeCell ref="KJP1:KJZ1"/>
    <mergeCell ref="KKA1:KKK1"/>
    <mergeCell ref="KGF1:KGP1"/>
    <mergeCell ref="KGQ1:KHA1"/>
    <mergeCell ref="KHB1:KHL1"/>
    <mergeCell ref="KHM1:KHW1"/>
    <mergeCell ref="KHX1:KIH1"/>
    <mergeCell ref="KEC1:KEM1"/>
    <mergeCell ref="KEN1:KEX1"/>
    <mergeCell ref="KEY1:KFI1"/>
    <mergeCell ref="KFJ1:KFT1"/>
    <mergeCell ref="KFU1:KGE1"/>
    <mergeCell ref="KBZ1:KCJ1"/>
    <mergeCell ref="KCK1:KCU1"/>
    <mergeCell ref="KCV1:KDF1"/>
    <mergeCell ref="KDG1:KDQ1"/>
    <mergeCell ref="KDR1:KEB1"/>
    <mergeCell ref="JZW1:KAG1"/>
    <mergeCell ref="KAH1:KAR1"/>
    <mergeCell ref="KAS1:KBC1"/>
    <mergeCell ref="KBD1:KBN1"/>
    <mergeCell ref="KBO1:KBY1"/>
    <mergeCell ref="JXT1:JYD1"/>
    <mergeCell ref="JYE1:JYO1"/>
    <mergeCell ref="JYP1:JYZ1"/>
    <mergeCell ref="JZA1:JZK1"/>
    <mergeCell ref="JZL1:JZV1"/>
    <mergeCell ref="JVQ1:JWA1"/>
    <mergeCell ref="JWB1:JWL1"/>
    <mergeCell ref="JWM1:JWW1"/>
    <mergeCell ref="JWX1:JXH1"/>
    <mergeCell ref="JXI1:JXS1"/>
    <mergeCell ref="JTN1:JTX1"/>
    <mergeCell ref="JTY1:JUI1"/>
    <mergeCell ref="JUJ1:JUT1"/>
    <mergeCell ref="JUU1:JVE1"/>
    <mergeCell ref="JVF1:JVP1"/>
    <mergeCell ref="JRK1:JRU1"/>
    <mergeCell ref="JRV1:JSF1"/>
    <mergeCell ref="JSG1:JSQ1"/>
    <mergeCell ref="JSR1:JTB1"/>
    <mergeCell ref="JTC1:JTM1"/>
    <mergeCell ref="JPH1:JPR1"/>
    <mergeCell ref="JPS1:JQC1"/>
    <mergeCell ref="JQD1:JQN1"/>
    <mergeCell ref="JQO1:JQY1"/>
    <mergeCell ref="JQZ1:JRJ1"/>
    <mergeCell ref="JNE1:JNO1"/>
    <mergeCell ref="JNP1:JNZ1"/>
    <mergeCell ref="JOA1:JOK1"/>
    <mergeCell ref="JOL1:JOV1"/>
    <mergeCell ref="JOW1:JPG1"/>
    <mergeCell ref="JLB1:JLL1"/>
    <mergeCell ref="JLM1:JLW1"/>
    <mergeCell ref="JLX1:JMH1"/>
    <mergeCell ref="JMI1:JMS1"/>
    <mergeCell ref="JMT1:JND1"/>
    <mergeCell ref="JIY1:JJI1"/>
    <mergeCell ref="JJJ1:JJT1"/>
    <mergeCell ref="JJU1:JKE1"/>
    <mergeCell ref="JKF1:JKP1"/>
    <mergeCell ref="JKQ1:JLA1"/>
    <mergeCell ref="JGV1:JHF1"/>
    <mergeCell ref="JHG1:JHQ1"/>
    <mergeCell ref="JHR1:JIB1"/>
    <mergeCell ref="JIC1:JIM1"/>
    <mergeCell ref="JIN1:JIX1"/>
    <mergeCell ref="JES1:JFC1"/>
    <mergeCell ref="JFD1:JFN1"/>
    <mergeCell ref="JFO1:JFY1"/>
    <mergeCell ref="JFZ1:JGJ1"/>
    <mergeCell ref="JGK1:JGU1"/>
    <mergeCell ref="JCP1:JCZ1"/>
    <mergeCell ref="JDA1:JDK1"/>
    <mergeCell ref="JDL1:JDV1"/>
    <mergeCell ref="JDW1:JEG1"/>
    <mergeCell ref="JEH1:JER1"/>
    <mergeCell ref="JAM1:JAW1"/>
    <mergeCell ref="JAX1:JBH1"/>
    <mergeCell ref="JBI1:JBS1"/>
    <mergeCell ref="JBT1:JCD1"/>
    <mergeCell ref="JCE1:JCO1"/>
    <mergeCell ref="IYJ1:IYT1"/>
    <mergeCell ref="IYU1:IZE1"/>
    <mergeCell ref="IZF1:IZP1"/>
    <mergeCell ref="IZQ1:JAA1"/>
    <mergeCell ref="JAB1:JAL1"/>
    <mergeCell ref="IWG1:IWQ1"/>
    <mergeCell ref="IWR1:IXB1"/>
    <mergeCell ref="IXC1:IXM1"/>
    <mergeCell ref="IXN1:IXX1"/>
    <mergeCell ref="IXY1:IYI1"/>
    <mergeCell ref="IUD1:IUN1"/>
    <mergeCell ref="IUO1:IUY1"/>
    <mergeCell ref="IUZ1:IVJ1"/>
    <mergeCell ref="IVK1:IVU1"/>
    <mergeCell ref="IVV1:IWF1"/>
    <mergeCell ref="ISA1:ISK1"/>
    <mergeCell ref="ISL1:ISV1"/>
    <mergeCell ref="ISW1:ITG1"/>
    <mergeCell ref="ITH1:ITR1"/>
    <mergeCell ref="ITS1:IUC1"/>
    <mergeCell ref="IPX1:IQH1"/>
    <mergeCell ref="IQI1:IQS1"/>
    <mergeCell ref="IQT1:IRD1"/>
    <mergeCell ref="IRE1:IRO1"/>
    <mergeCell ref="IRP1:IRZ1"/>
    <mergeCell ref="INU1:IOE1"/>
    <mergeCell ref="IOF1:IOP1"/>
    <mergeCell ref="IOQ1:IPA1"/>
    <mergeCell ref="IPB1:IPL1"/>
    <mergeCell ref="IPM1:IPW1"/>
    <mergeCell ref="ILR1:IMB1"/>
    <mergeCell ref="IMC1:IMM1"/>
    <mergeCell ref="IMN1:IMX1"/>
    <mergeCell ref="IMY1:INI1"/>
    <mergeCell ref="INJ1:INT1"/>
    <mergeCell ref="IJO1:IJY1"/>
    <mergeCell ref="IJZ1:IKJ1"/>
    <mergeCell ref="IKK1:IKU1"/>
    <mergeCell ref="IKV1:ILF1"/>
    <mergeCell ref="ILG1:ILQ1"/>
    <mergeCell ref="IHL1:IHV1"/>
    <mergeCell ref="IHW1:IIG1"/>
    <mergeCell ref="IIH1:IIR1"/>
    <mergeCell ref="IIS1:IJC1"/>
    <mergeCell ref="IJD1:IJN1"/>
    <mergeCell ref="IFI1:IFS1"/>
    <mergeCell ref="IFT1:IGD1"/>
    <mergeCell ref="IGE1:IGO1"/>
    <mergeCell ref="IGP1:IGZ1"/>
    <mergeCell ref="IHA1:IHK1"/>
    <mergeCell ref="IDF1:IDP1"/>
    <mergeCell ref="IDQ1:IEA1"/>
    <mergeCell ref="IEB1:IEL1"/>
    <mergeCell ref="IEM1:IEW1"/>
    <mergeCell ref="IEX1:IFH1"/>
    <mergeCell ref="IBC1:IBM1"/>
    <mergeCell ref="IBN1:IBX1"/>
    <mergeCell ref="IBY1:ICI1"/>
    <mergeCell ref="ICJ1:ICT1"/>
    <mergeCell ref="ICU1:IDE1"/>
    <mergeCell ref="HYZ1:HZJ1"/>
    <mergeCell ref="HZK1:HZU1"/>
    <mergeCell ref="HZV1:IAF1"/>
    <mergeCell ref="IAG1:IAQ1"/>
    <mergeCell ref="IAR1:IBB1"/>
    <mergeCell ref="HWW1:HXG1"/>
    <mergeCell ref="HXH1:HXR1"/>
    <mergeCell ref="HXS1:HYC1"/>
    <mergeCell ref="HYD1:HYN1"/>
    <mergeCell ref="HYO1:HYY1"/>
    <mergeCell ref="HUT1:HVD1"/>
    <mergeCell ref="HVE1:HVO1"/>
    <mergeCell ref="HVP1:HVZ1"/>
    <mergeCell ref="HWA1:HWK1"/>
    <mergeCell ref="HWL1:HWV1"/>
    <mergeCell ref="HSQ1:HTA1"/>
    <mergeCell ref="HTB1:HTL1"/>
    <mergeCell ref="HTM1:HTW1"/>
    <mergeCell ref="HTX1:HUH1"/>
    <mergeCell ref="HUI1:HUS1"/>
    <mergeCell ref="HQN1:HQX1"/>
    <mergeCell ref="HQY1:HRI1"/>
    <mergeCell ref="HRJ1:HRT1"/>
    <mergeCell ref="HRU1:HSE1"/>
    <mergeCell ref="HSF1:HSP1"/>
    <mergeCell ref="HOK1:HOU1"/>
    <mergeCell ref="HOV1:HPF1"/>
    <mergeCell ref="HPG1:HPQ1"/>
    <mergeCell ref="HPR1:HQB1"/>
    <mergeCell ref="HQC1:HQM1"/>
    <mergeCell ref="HMH1:HMR1"/>
    <mergeCell ref="HMS1:HNC1"/>
    <mergeCell ref="HND1:HNN1"/>
    <mergeCell ref="HNO1:HNY1"/>
    <mergeCell ref="HNZ1:HOJ1"/>
    <mergeCell ref="HKE1:HKO1"/>
    <mergeCell ref="HKP1:HKZ1"/>
    <mergeCell ref="HLA1:HLK1"/>
    <mergeCell ref="HLL1:HLV1"/>
    <mergeCell ref="HLW1:HMG1"/>
    <mergeCell ref="HIB1:HIL1"/>
    <mergeCell ref="HIM1:HIW1"/>
    <mergeCell ref="HIX1:HJH1"/>
    <mergeCell ref="HJI1:HJS1"/>
    <mergeCell ref="HJT1:HKD1"/>
    <mergeCell ref="HFY1:HGI1"/>
    <mergeCell ref="HGJ1:HGT1"/>
    <mergeCell ref="HGU1:HHE1"/>
    <mergeCell ref="HHF1:HHP1"/>
    <mergeCell ref="HHQ1:HIA1"/>
    <mergeCell ref="HDV1:HEF1"/>
    <mergeCell ref="HEG1:HEQ1"/>
    <mergeCell ref="HER1:HFB1"/>
    <mergeCell ref="HFC1:HFM1"/>
    <mergeCell ref="HFN1:HFX1"/>
    <mergeCell ref="HBS1:HCC1"/>
    <mergeCell ref="HCD1:HCN1"/>
    <mergeCell ref="HCO1:HCY1"/>
    <mergeCell ref="HCZ1:HDJ1"/>
    <mergeCell ref="HDK1:HDU1"/>
    <mergeCell ref="GZP1:GZZ1"/>
    <mergeCell ref="HAA1:HAK1"/>
    <mergeCell ref="HAL1:HAV1"/>
    <mergeCell ref="HAW1:HBG1"/>
    <mergeCell ref="HBH1:HBR1"/>
    <mergeCell ref="GXM1:GXW1"/>
    <mergeCell ref="GXX1:GYH1"/>
    <mergeCell ref="GYI1:GYS1"/>
    <mergeCell ref="GYT1:GZD1"/>
    <mergeCell ref="GZE1:GZO1"/>
    <mergeCell ref="GVJ1:GVT1"/>
    <mergeCell ref="GVU1:GWE1"/>
    <mergeCell ref="GWF1:GWP1"/>
    <mergeCell ref="GWQ1:GXA1"/>
    <mergeCell ref="GXB1:GXL1"/>
    <mergeCell ref="GTG1:GTQ1"/>
    <mergeCell ref="GTR1:GUB1"/>
    <mergeCell ref="GUC1:GUM1"/>
    <mergeCell ref="GUN1:GUX1"/>
    <mergeCell ref="GUY1:GVI1"/>
    <mergeCell ref="GRD1:GRN1"/>
    <mergeCell ref="GRO1:GRY1"/>
    <mergeCell ref="GRZ1:GSJ1"/>
    <mergeCell ref="GSK1:GSU1"/>
    <mergeCell ref="GSV1:GTF1"/>
    <mergeCell ref="GPA1:GPK1"/>
    <mergeCell ref="GPL1:GPV1"/>
    <mergeCell ref="GPW1:GQG1"/>
    <mergeCell ref="GQH1:GQR1"/>
    <mergeCell ref="GQS1:GRC1"/>
    <mergeCell ref="GMX1:GNH1"/>
    <mergeCell ref="GNI1:GNS1"/>
    <mergeCell ref="GNT1:GOD1"/>
    <mergeCell ref="GOE1:GOO1"/>
    <mergeCell ref="GOP1:GOZ1"/>
    <mergeCell ref="GKU1:GLE1"/>
    <mergeCell ref="GLF1:GLP1"/>
    <mergeCell ref="GLQ1:GMA1"/>
    <mergeCell ref="GMB1:GML1"/>
    <mergeCell ref="GMM1:GMW1"/>
    <mergeCell ref="GIR1:GJB1"/>
    <mergeCell ref="GJC1:GJM1"/>
    <mergeCell ref="GJN1:GJX1"/>
    <mergeCell ref="GJY1:GKI1"/>
    <mergeCell ref="GKJ1:GKT1"/>
    <mergeCell ref="GGO1:GGY1"/>
    <mergeCell ref="GGZ1:GHJ1"/>
    <mergeCell ref="GHK1:GHU1"/>
    <mergeCell ref="GHV1:GIF1"/>
    <mergeCell ref="GIG1:GIQ1"/>
    <mergeCell ref="GEL1:GEV1"/>
    <mergeCell ref="GEW1:GFG1"/>
    <mergeCell ref="GFH1:GFR1"/>
    <mergeCell ref="GFS1:GGC1"/>
    <mergeCell ref="GGD1:GGN1"/>
    <mergeCell ref="GCI1:GCS1"/>
    <mergeCell ref="GCT1:GDD1"/>
    <mergeCell ref="GDE1:GDO1"/>
    <mergeCell ref="GDP1:GDZ1"/>
    <mergeCell ref="GEA1:GEK1"/>
    <mergeCell ref="GAF1:GAP1"/>
    <mergeCell ref="GAQ1:GBA1"/>
    <mergeCell ref="GBB1:GBL1"/>
    <mergeCell ref="GBM1:GBW1"/>
    <mergeCell ref="GBX1:GCH1"/>
    <mergeCell ref="FYC1:FYM1"/>
    <mergeCell ref="FYN1:FYX1"/>
    <mergeCell ref="FYY1:FZI1"/>
    <mergeCell ref="FZJ1:FZT1"/>
    <mergeCell ref="FZU1:GAE1"/>
    <mergeCell ref="FVZ1:FWJ1"/>
    <mergeCell ref="FWK1:FWU1"/>
    <mergeCell ref="FWV1:FXF1"/>
    <mergeCell ref="FXG1:FXQ1"/>
    <mergeCell ref="FXR1:FYB1"/>
    <mergeCell ref="FTW1:FUG1"/>
    <mergeCell ref="FUH1:FUR1"/>
    <mergeCell ref="FUS1:FVC1"/>
    <mergeCell ref="FVD1:FVN1"/>
    <mergeCell ref="FVO1:FVY1"/>
    <mergeCell ref="FRT1:FSD1"/>
    <mergeCell ref="FSE1:FSO1"/>
    <mergeCell ref="FSP1:FSZ1"/>
    <mergeCell ref="FTA1:FTK1"/>
    <mergeCell ref="FTL1:FTV1"/>
    <mergeCell ref="FPQ1:FQA1"/>
    <mergeCell ref="FQB1:FQL1"/>
    <mergeCell ref="FQM1:FQW1"/>
    <mergeCell ref="FQX1:FRH1"/>
    <mergeCell ref="FRI1:FRS1"/>
    <mergeCell ref="FNN1:FNX1"/>
    <mergeCell ref="FNY1:FOI1"/>
    <mergeCell ref="FOJ1:FOT1"/>
    <mergeCell ref="FOU1:FPE1"/>
    <mergeCell ref="FPF1:FPP1"/>
    <mergeCell ref="FLK1:FLU1"/>
    <mergeCell ref="FLV1:FMF1"/>
    <mergeCell ref="FMG1:FMQ1"/>
    <mergeCell ref="FMR1:FNB1"/>
    <mergeCell ref="FNC1:FNM1"/>
    <mergeCell ref="FJH1:FJR1"/>
    <mergeCell ref="FJS1:FKC1"/>
    <mergeCell ref="FKD1:FKN1"/>
    <mergeCell ref="FKO1:FKY1"/>
    <mergeCell ref="FKZ1:FLJ1"/>
    <mergeCell ref="FHE1:FHO1"/>
    <mergeCell ref="FHP1:FHZ1"/>
    <mergeCell ref="FIA1:FIK1"/>
    <mergeCell ref="FIL1:FIV1"/>
    <mergeCell ref="FIW1:FJG1"/>
    <mergeCell ref="FFB1:FFL1"/>
    <mergeCell ref="FFM1:FFW1"/>
    <mergeCell ref="FFX1:FGH1"/>
    <mergeCell ref="FGI1:FGS1"/>
    <mergeCell ref="FGT1:FHD1"/>
    <mergeCell ref="FCY1:FDI1"/>
    <mergeCell ref="FDJ1:FDT1"/>
    <mergeCell ref="FDU1:FEE1"/>
    <mergeCell ref="FEF1:FEP1"/>
    <mergeCell ref="FEQ1:FFA1"/>
    <mergeCell ref="FAV1:FBF1"/>
    <mergeCell ref="FBG1:FBQ1"/>
    <mergeCell ref="FBR1:FCB1"/>
    <mergeCell ref="FCC1:FCM1"/>
    <mergeCell ref="FCN1:FCX1"/>
    <mergeCell ref="EYS1:EZC1"/>
    <mergeCell ref="EZD1:EZN1"/>
    <mergeCell ref="EZO1:EZY1"/>
    <mergeCell ref="EZZ1:FAJ1"/>
    <mergeCell ref="FAK1:FAU1"/>
    <mergeCell ref="EWP1:EWZ1"/>
    <mergeCell ref="EXA1:EXK1"/>
    <mergeCell ref="EXL1:EXV1"/>
    <mergeCell ref="EXW1:EYG1"/>
    <mergeCell ref="EYH1:EYR1"/>
    <mergeCell ref="EUM1:EUW1"/>
    <mergeCell ref="EUX1:EVH1"/>
    <mergeCell ref="EVI1:EVS1"/>
    <mergeCell ref="EVT1:EWD1"/>
    <mergeCell ref="EWE1:EWO1"/>
    <mergeCell ref="ESJ1:EST1"/>
    <mergeCell ref="ESU1:ETE1"/>
    <mergeCell ref="ETF1:ETP1"/>
    <mergeCell ref="ETQ1:EUA1"/>
    <mergeCell ref="EUB1:EUL1"/>
    <mergeCell ref="EQG1:EQQ1"/>
    <mergeCell ref="EQR1:ERB1"/>
    <mergeCell ref="ERC1:ERM1"/>
    <mergeCell ref="ERN1:ERX1"/>
    <mergeCell ref="ERY1:ESI1"/>
    <mergeCell ref="EOD1:EON1"/>
    <mergeCell ref="EOO1:EOY1"/>
    <mergeCell ref="EOZ1:EPJ1"/>
    <mergeCell ref="EPK1:EPU1"/>
    <mergeCell ref="EPV1:EQF1"/>
    <mergeCell ref="EMA1:EMK1"/>
    <mergeCell ref="EML1:EMV1"/>
    <mergeCell ref="EMW1:ENG1"/>
    <mergeCell ref="ENH1:ENR1"/>
    <mergeCell ref="ENS1:EOC1"/>
    <mergeCell ref="EJX1:EKH1"/>
    <mergeCell ref="EKI1:EKS1"/>
    <mergeCell ref="EKT1:ELD1"/>
    <mergeCell ref="ELE1:ELO1"/>
    <mergeCell ref="ELP1:ELZ1"/>
    <mergeCell ref="EHU1:EIE1"/>
    <mergeCell ref="EIF1:EIP1"/>
    <mergeCell ref="EIQ1:EJA1"/>
    <mergeCell ref="EJB1:EJL1"/>
    <mergeCell ref="EJM1:EJW1"/>
    <mergeCell ref="EFR1:EGB1"/>
    <mergeCell ref="EGC1:EGM1"/>
    <mergeCell ref="EGN1:EGX1"/>
    <mergeCell ref="EGY1:EHI1"/>
    <mergeCell ref="EHJ1:EHT1"/>
    <mergeCell ref="EDO1:EDY1"/>
    <mergeCell ref="EDZ1:EEJ1"/>
    <mergeCell ref="EEK1:EEU1"/>
    <mergeCell ref="EEV1:EFF1"/>
    <mergeCell ref="EFG1:EFQ1"/>
    <mergeCell ref="EBL1:EBV1"/>
    <mergeCell ref="EBW1:ECG1"/>
    <mergeCell ref="ECH1:ECR1"/>
    <mergeCell ref="ECS1:EDC1"/>
    <mergeCell ref="EDD1:EDN1"/>
    <mergeCell ref="DZI1:DZS1"/>
    <mergeCell ref="DZT1:EAD1"/>
    <mergeCell ref="EAE1:EAO1"/>
    <mergeCell ref="EAP1:EAZ1"/>
    <mergeCell ref="EBA1:EBK1"/>
    <mergeCell ref="DXF1:DXP1"/>
    <mergeCell ref="DXQ1:DYA1"/>
    <mergeCell ref="DYB1:DYL1"/>
    <mergeCell ref="DYM1:DYW1"/>
    <mergeCell ref="DYX1:DZH1"/>
    <mergeCell ref="DVC1:DVM1"/>
    <mergeCell ref="DVN1:DVX1"/>
    <mergeCell ref="DVY1:DWI1"/>
    <mergeCell ref="DWJ1:DWT1"/>
    <mergeCell ref="DWU1:DXE1"/>
    <mergeCell ref="DSZ1:DTJ1"/>
    <mergeCell ref="DTK1:DTU1"/>
    <mergeCell ref="DTV1:DUF1"/>
    <mergeCell ref="DUG1:DUQ1"/>
    <mergeCell ref="DUR1:DVB1"/>
    <mergeCell ref="DQW1:DRG1"/>
    <mergeCell ref="DRH1:DRR1"/>
    <mergeCell ref="DRS1:DSC1"/>
    <mergeCell ref="DSD1:DSN1"/>
    <mergeCell ref="DSO1:DSY1"/>
    <mergeCell ref="DOT1:DPD1"/>
    <mergeCell ref="DPE1:DPO1"/>
    <mergeCell ref="DPP1:DPZ1"/>
    <mergeCell ref="DQA1:DQK1"/>
    <mergeCell ref="DQL1:DQV1"/>
    <mergeCell ref="DMQ1:DNA1"/>
    <mergeCell ref="DNB1:DNL1"/>
    <mergeCell ref="DNM1:DNW1"/>
    <mergeCell ref="DNX1:DOH1"/>
    <mergeCell ref="DOI1:DOS1"/>
    <mergeCell ref="DKN1:DKX1"/>
    <mergeCell ref="DKY1:DLI1"/>
    <mergeCell ref="DLJ1:DLT1"/>
    <mergeCell ref="DLU1:DME1"/>
    <mergeCell ref="DMF1:DMP1"/>
    <mergeCell ref="DIK1:DIU1"/>
    <mergeCell ref="DIV1:DJF1"/>
    <mergeCell ref="DJG1:DJQ1"/>
    <mergeCell ref="DJR1:DKB1"/>
    <mergeCell ref="DKC1:DKM1"/>
    <mergeCell ref="DGH1:DGR1"/>
    <mergeCell ref="DGS1:DHC1"/>
    <mergeCell ref="DHD1:DHN1"/>
    <mergeCell ref="DHO1:DHY1"/>
    <mergeCell ref="DHZ1:DIJ1"/>
    <mergeCell ref="DEE1:DEO1"/>
    <mergeCell ref="DEP1:DEZ1"/>
    <mergeCell ref="DFA1:DFK1"/>
    <mergeCell ref="DFL1:DFV1"/>
    <mergeCell ref="DFW1:DGG1"/>
    <mergeCell ref="DCB1:DCL1"/>
    <mergeCell ref="DCM1:DCW1"/>
    <mergeCell ref="DCX1:DDH1"/>
    <mergeCell ref="DDI1:DDS1"/>
    <mergeCell ref="DDT1:DED1"/>
    <mergeCell ref="CZY1:DAI1"/>
    <mergeCell ref="DAJ1:DAT1"/>
    <mergeCell ref="DAU1:DBE1"/>
    <mergeCell ref="DBF1:DBP1"/>
    <mergeCell ref="DBQ1:DCA1"/>
    <mergeCell ref="CXV1:CYF1"/>
    <mergeCell ref="CYG1:CYQ1"/>
    <mergeCell ref="CYR1:CZB1"/>
    <mergeCell ref="CZC1:CZM1"/>
    <mergeCell ref="CZN1:CZX1"/>
    <mergeCell ref="CVS1:CWC1"/>
    <mergeCell ref="CWD1:CWN1"/>
    <mergeCell ref="CWO1:CWY1"/>
    <mergeCell ref="CWZ1:CXJ1"/>
    <mergeCell ref="CXK1:CXU1"/>
    <mergeCell ref="CTP1:CTZ1"/>
    <mergeCell ref="CUA1:CUK1"/>
    <mergeCell ref="CUL1:CUV1"/>
    <mergeCell ref="CUW1:CVG1"/>
    <mergeCell ref="CVH1:CVR1"/>
    <mergeCell ref="CRM1:CRW1"/>
    <mergeCell ref="CRX1:CSH1"/>
    <mergeCell ref="CSI1:CSS1"/>
    <mergeCell ref="CST1:CTD1"/>
    <mergeCell ref="CTE1:CTO1"/>
    <mergeCell ref="CPJ1:CPT1"/>
    <mergeCell ref="CPU1:CQE1"/>
    <mergeCell ref="CQF1:CQP1"/>
    <mergeCell ref="CQQ1:CRA1"/>
    <mergeCell ref="CRB1:CRL1"/>
    <mergeCell ref="CNG1:CNQ1"/>
    <mergeCell ref="CNR1:COB1"/>
    <mergeCell ref="COC1:COM1"/>
    <mergeCell ref="CON1:COX1"/>
    <mergeCell ref="COY1:CPI1"/>
    <mergeCell ref="CLD1:CLN1"/>
    <mergeCell ref="CLO1:CLY1"/>
    <mergeCell ref="CLZ1:CMJ1"/>
    <mergeCell ref="CMK1:CMU1"/>
    <mergeCell ref="CMV1:CNF1"/>
    <mergeCell ref="CJA1:CJK1"/>
    <mergeCell ref="CJL1:CJV1"/>
    <mergeCell ref="CJW1:CKG1"/>
    <mergeCell ref="CKH1:CKR1"/>
    <mergeCell ref="CKS1:CLC1"/>
    <mergeCell ref="CGX1:CHH1"/>
    <mergeCell ref="CHI1:CHS1"/>
    <mergeCell ref="CHT1:CID1"/>
    <mergeCell ref="CIE1:CIO1"/>
    <mergeCell ref="CIP1:CIZ1"/>
    <mergeCell ref="CEU1:CFE1"/>
    <mergeCell ref="CFF1:CFP1"/>
    <mergeCell ref="CFQ1:CGA1"/>
    <mergeCell ref="CGB1:CGL1"/>
    <mergeCell ref="CGM1:CGW1"/>
    <mergeCell ref="CCR1:CDB1"/>
    <mergeCell ref="CDC1:CDM1"/>
    <mergeCell ref="CDN1:CDX1"/>
    <mergeCell ref="CDY1:CEI1"/>
    <mergeCell ref="CEJ1:CET1"/>
    <mergeCell ref="CAO1:CAY1"/>
    <mergeCell ref="CAZ1:CBJ1"/>
    <mergeCell ref="CBK1:CBU1"/>
    <mergeCell ref="CBV1:CCF1"/>
    <mergeCell ref="CCG1:CCQ1"/>
    <mergeCell ref="BYL1:BYV1"/>
    <mergeCell ref="BYW1:BZG1"/>
    <mergeCell ref="BZH1:BZR1"/>
    <mergeCell ref="BZS1:CAC1"/>
    <mergeCell ref="CAD1:CAN1"/>
    <mergeCell ref="BWI1:BWS1"/>
    <mergeCell ref="BWT1:BXD1"/>
    <mergeCell ref="BXE1:BXO1"/>
    <mergeCell ref="BXP1:BXZ1"/>
    <mergeCell ref="BYA1:BYK1"/>
    <mergeCell ref="BUF1:BUP1"/>
    <mergeCell ref="BUQ1:BVA1"/>
    <mergeCell ref="BVB1:BVL1"/>
    <mergeCell ref="BVM1:BVW1"/>
    <mergeCell ref="BVX1:BWH1"/>
    <mergeCell ref="BSC1:BSM1"/>
    <mergeCell ref="BSN1:BSX1"/>
    <mergeCell ref="BSY1:BTI1"/>
    <mergeCell ref="BTJ1:BTT1"/>
    <mergeCell ref="BTU1:BUE1"/>
    <mergeCell ref="BPZ1:BQJ1"/>
    <mergeCell ref="BQK1:BQU1"/>
    <mergeCell ref="BQV1:BRF1"/>
    <mergeCell ref="BRG1:BRQ1"/>
    <mergeCell ref="BRR1:BSB1"/>
    <mergeCell ref="BNW1:BOG1"/>
    <mergeCell ref="BOH1:BOR1"/>
    <mergeCell ref="BOS1:BPC1"/>
    <mergeCell ref="BPD1:BPN1"/>
    <mergeCell ref="BPO1:BPY1"/>
    <mergeCell ref="BLT1:BMD1"/>
    <mergeCell ref="BME1:BMO1"/>
    <mergeCell ref="BMP1:BMZ1"/>
    <mergeCell ref="BNA1:BNK1"/>
    <mergeCell ref="BNL1:BNV1"/>
    <mergeCell ref="BJQ1:BKA1"/>
    <mergeCell ref="BKB1:BKL1"/>
    <mergeCell ref="BKM1:BKW1"/>
    <mergeCell ref="BKX1:BLH1"/>
    <mergeCell ref="BLI1:BLS1"/>
    <mergeCell ref="BHN1:BHX1"/>
    <mergeCell ref="BHY1:BII1"/>
    <mergeCell ref="BIJ1:BIT1"/>
    <mergeCell ref="BIU1:BJE1"/>
    <mergeCell ref="BJF1:BJP1"/>
    <mergeCell ref="BFK1:BFU1"/>
    <mergeCell ref="BFV1:BGF1"/>
    <mergeCell ref="BGG1:BGQ1"/>
    <mergeCell ref="BGR1:BHB1"/>
    <mergeCell ref="BHC1:BHM1"/>
    <mergeCell ref="BDH1:BDR1"/>
    <mergeCell ref="BDS1:BEC1"/>
    <mergeCell ref="BED1:BEN1"/>
    <mergeCell ref="BEO1:BEY1"/>
    <mergeCell ref="BEZ1:BFJ1"/>
    <mergeCell ref="BBE1:BBO1"/>
    <mergeCell ref="BBP1:BBZ1"/>
    <mergeCell ref="BCA1:BCK1"/>
    <mergeCell ref="BCL1:BCV1"/>
    <mergeCell ref="BCW1:BDG1"/>
    <mergeCell ref="AZB1:AZL1"/>
    <mergeCell ref="AZM1:AZW1"/>
    <mergeCell ref="AZX1:BAH1"/>
    <mergeCell ref="BAI1:BAS1"/>
    <mergeCell ref="BAT1:BBD1"/>
    <mergeCell ref="AWY1:AXI1"/>
    <mergeCell ref="AXJ1:AXT1"/>
    <mergeCell ref="AXU1:AYE1"/>
    <mergeCell ref="AYF1:AYP1"/>
    <mergeCell ref="AYQ1:AZA1"/>
    <mergeCell ref="AUV1:AVF1"/>
    <mergeCell ref="AVG1:AVQ1"/>
    <mergeCell ref="AVR1:AWB1"/>
    <mergeCell ref="AWC1:AWM1"/>
    <mergeCell ref="AWN1:AWX1"/>
    <mergeCell ref="ASS1:ATC1"/>
    <mergeCell ref="ATD1:ATN1"/>
    <mergeCell ref="ATO1:ATY1"/>
    <mergeCell ref="ATZ1:AUJ1"/>
    <mergeCell ref="AUK1:AUU1"/>
    <mergeCell ref="AQP1:AQZ1"/>
    <mergeCell ref="ARA1:ARK1"/>
    <mergeCell ref="ARL1:ARV1"/>
    <mergeCell ref="ARW1:ASG1"/>
    <mergeCell ref="ASH1:ASR1"/>
    <mergeCell ref="AOM1:AOW1"/>
    <mergeCell ref="AOX1:APH1"/>
    <mergeCell ref="API1:APS1"/>
    <mergeCell ref="APT1:AQD1"/>
    <mergeCell ref="AQE1:AQO1"/>
    <mergeCell ref="AMJ1:AMT1"/>
    <mergeCell ref="AMU1:ANE1"/>
    <mergeCell ref="ANF1:ANP1"/>
    <mergeCell ref="ANQ1:AOA1"/>
    <mergeCell ref="AOB1:AOL1"/>
    <mergeCell ref="AKG1:AKQ1"/>
    <mergeCell ref="AKR1:ALB1"/>
    <mergeCell ref="ALC1:ALM1"/>
    <mergeCell ref="ALN1:ALX1"/>
    <mergeCell ref="ALY1:AMI1"/>
    <mergeCell ref="AID1:AIN1"/>
    <mergeCell ref="AIO1:AIY1"/>
    <mergeCell ref="AIZ1:AJJ1"/>
    <mergeCell ref="AJK1:AJU1"/>
    <mergeCell ref="AJV1:AKF1"/>
    <mergeCell ref="AGA1:AGK1"/>
    <mergeCell ref="AGL1:AGV1"/>
    <mergeCell ref="AGW1:AHG1"/>
    <mergeCell ref="AHH1:AHR1"/>
    <mergeCell ref="AHS1:AIC1"/>
    <mergeCell ref="ADX1:AEH1"/>
    <mergeCell ref="AEI1:AES1"/>
    <mergeCell ref="AET1:AFD1"/>
    <mergeCell ref="AFE1:AFO1"/>
    <mergeCell ref="AFP1:AFZ1"/>
    <mergeCell ref="ABU1:ACE1"/>
    <mergeCell ref="ACF1:ACP1"/>
    <mergeCell ref="ACQ1:ADA1"/>
    <mergeCell ref="ADB1:ADL1"/>
    <mergeCell ref="ADM1:ADW1"/>
    <mergeCell ref="ZR1:AAB1"/>
    <mergeCell ref="AAC1:AAM1"/>
    <mergeCell ref="AAN1:AAX1"/>
    <mergeCell ref="AAY1:ABI1"/>
    <mergeCell ref="ABJ1:ABT1"/>
    <mergeCell ref="XO1:XY1"/>
    <mergeCell ref="XZ1:YJ1"/>
    <mergeCell ref="YK1:YU1"/>
    <mergeCell ref="YV1:ZF1"/>
    <mergeCell ref="ZG1:ZQ1"/>
    <mergeCell ref="VL1:VV1"/>
    <mergeCell ref="VW1:WG1"/>
    <mergeCell ref="WH1:WR1"/>
    <mergeCell ref="WS1:XC1"/>
    <mergeCell ref="XD1:XN1"/>
    <mergeCell ref="TI1:TS1"/>
    <mergeCell ref="TT1:UD1"/>
    <mergeCell ref="UE1:UO1"/>
    <mergeCell ref="UP1:UZ1"/>
    <mergeCell ref="VA1:VK1"/>
    <mergeCell ref="RF1:RP1"/>
    <mergeCell ref="RQ1:SA1"/>
    <mergeCell ref="SB1:SL1"/>
    <mergeCell ref="SM1:SW1"/>
    <mergeCell ref="SX1:TH1"/>
    <mergeCell ref="PC1:PM1"/>
    <mergeCell ref="PN1:PX1"/>
    <mergeCell ref="PY1:QI1"/>
    <mergeCell ref="QJ1:QT1"/>
    <mergeCell ref="QU1:RE1"/>
    <mergeCell ref="MZ1:NJ1"/>
    <mergeCell ref="NK1:NU1"/>
    <mergeCell ref="NV1:OF1"/>
    <mergeCell ref="OG1:OQ1"/>
    <mergeCell ref="OR1:PB1"/>
    <mergeCell ref="LS1:MC1"/>
    <mergeCell ref="MD1:MN1"/>
    <mergeCell ref="MO1:MY1"/>
    <mergeCell ref="IT1:JD1"/>
    <mergeCell ref="JE1:JO1"/>
    <mergeCell ref="JP1:JZ1"/>
    <mergeCell ref="KA1:KK1"/>
    <mergeCell ref="KL1:KV1"/>
    <mergeCell ref="GQ1:HA1"/>
    <mergeCell ref="HB1:HL1"/>
    <mergeCell ref="HM1:HW1"/>
    <mergeCell ref="HX1:IH1"/>
    <mergeCell ref="II1:IS1"/>
    <mergeCell ref="EN1:EX1"/>
    <mergeCell ref="EY1:FI1"/>
    <mergeCell ref="FJ1:FT1"/>
    <mergeCell ref="FU1:GE1"/>
    <mergeCell ref="GF1:GP1"/>
    <mergeCell ref="CK1:CU1"/>
    <mergeCell ref="CV1:DF1"/>
    <mergeCell ref="DG1:DQ1"/>
    <mergeCell ref="DR1:EB1"/>
    <mergeCell ref="EC1:EM1"/>
    <mergeCell ref="AH1:AR1"/>
    <mergeCell ref="AS1:BC1"/>
    <mergeCell ref="BD1:BN1"/>
    <mergeCell ref="BO1:BY1"/>
    <mergeCell ref="BZ1:CJ1"/>
    <mergeCell ref="A2:K2"/>
    <mergeCell ref="A3:K3"/>
    <mergeCell ref="A1:K1"/>
    <mergeCell ref="L1:V1"/>
    <mergeCell ref="W1:AG1"/>
    <mergeCell ref="KW1:LG1"/>
    <mergeCell ref="LH1:LR1"/>
  </mergeCells>
  <phoneticPr fontId="18" type="noConversion"/>
  <printOptions horizontalCentered="1"/>
  <pageMargins left="0.75" right="0.75" top="1" bottom="1" header="0.5" footer="0.5"/>
  <pageSetup scale="62" orientation="portrait" r:id="rId1"/>
  <headerFooter alignWithMargins="0">
    <oddHeader>&amp;CIDAHO POWER COMPANY
Transmission Cost of Service Rate Development
12 Months Ended 12/31/2017</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Q91"/>
  <sheetViews>
    <sheetView zoomScale="80" zoomScaleNormal="80" zoomScaleSheetLayoutView="100" workbookViewId="0">
      <selection sqref="A1:L1"/>
    </sheetView>
  </sheetViews>
  <sheetFormatPr defaultRowHeight="12.75"/>
  <cols>
    <col min="1" max="1" width="37.28515625" style="152" customWidth="1"/>
    <col min="2" max="2" width="11.140625" style="152" customWidth="1"/>
    <col min="3" max="3" width="15" style="384" customWidth="1"/>
    <col min="4" max="4" width="15.7109375" style="384" customWidth="1"/>
    <col min="5" max="6" width="15" style="384" customWidth="1"/>
    <col min="7" max="7" width="13" style="384" customWidth="1"/>
    <col min="8" max="8" width="13" style="152" customWidth="1"/>
    <col min="9" max="9" width="12.85546875" style="152" customWidth="1"/>
    <col min="10" max="10" width="11.7109375" style="152" customWidth="1"/>
    <col min="11" max="11" width="13" style="152" customWidth="1"/>
    <col min="12" max="12" width="11.7109375" style="152" customWidth="1"/>
    <col min="13" max="16384" width="9.140625" style="152"/>
  </cols>
  <sheetData>
    <row r="1" spans="1:13">
      <c r="A1" s="666" t="s">
        <v>682</v>
      </c>
      <c r="B1" s="666"/>
      <c r="C1" s="666"/>
      <c r="D1" s="666"/>
      <c r="E1" s="666"/>
      <c r="F1" s="666"/>
      <c r="G1" s="666"/>
      <c r="H1" s="666"/>
      <c r="I1" s="666"/>
      <c r="J1" s="666"/>
      <c r="K1" s="666"/>
      <c r="L1" s="666"/>
    </row>
    <row r="2" spans="1:13">
      <c r="A2" s="666" t="s">
        <v>973</v>
      </c>
      <c r="B2" s="666"/>
      <c r="C2" s="666"/>
      <c r="D2" s="666"/>
      <c r="E2" s="666"/>
      <c r="F2" s="666"/>
      <c r="G2" s="666"/>
      <c r="H2" s="666"/>
      <c r="I2" s="666"/>
      <c r="J2" s="666"/>
      <c r="K2" s="666"/>
      <c r="L2" s="666"/>
    </row>
    <row r="5" spans="1:13" ht="42.75" customHeight="1">
      <c r="A5" s="303" t="s">
        <v>655</v>
      </c>
      <c r="B5" s="170" t="s">
        <v>656</v>
      </c>
      <c r="C5" s="369" t="s">
        <v>356</v>
      </c>
      <c r="D5" s="369" t="s">
        <v>1047</v>
      </c>
      <c r="E5" s="369" t="s">
        <v>873</v>
      </c>
      <c r="F5" s="369" t="s">
        <v>874</v>
      </c>
      <c r="G5" s="369" t="s">
        <v>875</v>
      </c>
      <c r="H5" s="369" t="s">
        <v>357</v>
      </c>
      <c r="I5" s="369" t="s">
        <v>1028</v>
      </c>
      <c r="J5" s="369" t="s">
        <v>358</v>
      </c>
      <c r="K5" s="369" t="s">
        <v>902</v>
      </c>
      <c r="L5" s="369" t="s">
        <v>101</v>
      </c>
    </row>
    <row r="6" spans="1:13">
      <c r="A6" s="303"/>
      <c r="B6" s="303"/>
      <c r="C6" s="370"/>
      <c r="D6" s="370"/>
      <c r="E6" s="370"/>
      <c r="F6" s="152"/>
      <c r="G6" s="152"/>
    </row>
    <row r="7" spans="1:13">
      <c r="A7" s="156" t="s">
        <v>1027</v>
      </c>
      <c r="B7" s="156" t="s">
        <v>657</v>
      </c>
      <c r="C7" s="583">
        <v>0</v>
      </c>
      <c r="D7" s="583"/>
      <c r="E7" s="584"/>
      <c r="F7" s="584"/>
      <c r="G7" s="585"/>
      <c r="H7" s="585">
        <v>21.96</v>
      </c>
      <c r="I7" s="585"/>
      <c r="J7" s="585"/>
      <c r="K7" s="585"/>
      <c r="L7" s="585"/>
      <c r="M7" s="86"/>
    </row>
    <row r="8" spans="1:13">
      <c r="A8" s="156" t="s">
        <v>976</v>
      </c>
      <c r="B8" s="156" t="s">
        <v>657</v>
      </c>
      <c r="C8" s="583">
        <v>20725.5</v>
      </c>
      <c r="D8" s="583"/>
      <c r="E8" s="584"/>
      <c r="F8" s="584"/>
      <c r="G8" s="585"/>
      <c r="H8" s="585">
        <v>319317.89999999997</v>
      </c>
      <c r="I8" s="585"/>
      <c r="J8" s="585"/>
      <c r="K8" s="585"/>
      <c r="L8" s="585"/>
      <c r="M8" s="86"/>
    </row>
    <row r="9" spans="1:13">
      <c r="A9" s="156" t="s">
        <v>977</v>
      </c>
      <c r="B9" s="156" t="s">
        <v>657</v>
      </c>
      <c r="C9" s="583">
        <v>338.25</v>
      </c>
      <c r="D9" s="583"/>
      <c r="E9" s="584"/>
      <c r="F9" s="584"/>
      <c r="G9" s="585"/>
      <c r="H9" s="585">
        <v>7003.52</v>
      </c>
      <c r="I9" s="585"/>
      <c r="J9" s="585"/>
      <c r="K9" s="585"/>
      <c r="L9" s="585"/>
      <c r="M9" s="86"/>
    </row>
    <row r="10" spans="1:13">
      <c r="A10" s="156" t="s">
        <v>0</v>
      </c>
      <c r="B10" s="156" t="s">
        <v>657</v>
      </c>
      <c r="C10" s="583">
        <v>0</v>
      </c>
      <c r="D10" s="583"/>
      <c r="E10" s="584"/>
      <c r="F10" s="584"/>
      <c r="G10" s="585"/>
      <c r="H10" s="585">
        <v>904</v>
      </c>
      <c r="I10" s="585"/>
      <c r="J10" s="585"/>
      <c r="K10" s="585"/>
      <c r="L10" s="585"/>
      <c r="M10" s="86"/>
    </row>
    <row r="11" spans="1:13">
      <c r="A11" s="156" t="s">
        <v>658</v>
      </c>
      <c r="B11" s="156" t="s">
        <v>657</v>
      </c>
      <c r="C11" s="583">
        <v>0</v>
      </c>
      <c r="D11" s="583"/>
      <c r="E11" s="584"/>
      <c r="F11" s="584"/>
      <c r="G11" s="585"/>
      <c r="H11" s="585">
        <v>123</v>
      </c>
      <c r="I11" s="585"/>
      <c r="J11" s="585"/>
      <c r="K11" s="585"/>
      <c r="L11" s="585"/>
      <c r="M11" s="86"/>
    </row>
    <row r="12" spans="1:13">
      <c r="A12" s="156" t="s">
        <v>1</v>
      </c>
      <c r="B12" s="156" t="s">
        <v>657</v>
      </c>
      <c r="C12" s="583">
        <v>0</v>
      </c>
      <c r="D12" s="583"/>
      <c r="E12" s="584"/>
      <c r="F12" s="584"/>
      <c r="G12" s="585"/>
      <c r="H12" s="585">
        <v>95</v>
      </c>
      <c r="I12" s="585"/>
      <c r="J12" s="585"/>
      <c r="K12" s="585"/>
      <c r="L12" s="585"/>
      <c r="M12" s="86"/>
    </row>
    <row r="13" spans="1:13">
      <c r="A13" s="156" t="s">
        <v>659</v>
      </c>
      <c r="B13" s="156" t="s">
        <v>657</v>
      </c>
      <c r="C13" s="583">
        <v>0</v>
      </c>
      <c r="D13" s="583"/>
      <c r="E13" s="584"/>
      <c r="F13" s="584"/>
      <c r="G13" s="585"/>
      <c r="H13" s="585">
        <v>428</v>
      </c>
      <c r="I13" s="585"/>
      <c r="J13" s="585"/>
      <c r="K13" s="585"/>
      <c r="L13" s="585"/>
      <c r="M13" s="86"/>
    </row>
    <row r="14" spans="1:13">
      <c r="A14" s="156" t="s">
        <v>735</v>
      </c>
      <c r="B14" s="156" t="s">
        <v>657</v>
      </c>
      <c r="C14" s="583">
        <v>419.2</v>
      </c>
      <c r="D14" s="583">
        <v>24.64</v>
      </c>
      <c r="E14" s="584"/>
      <c r="F14" s="584">
        <v>9.2541581280083864</v>
      </c>
      <c r="G14" s="585">
        <v>130.74584187199162</v>
      </c>
      <c r="H14" s="585">
        <v>6017.04</v>
      </c>
      <c r="I14" s="585">
        <v>253.68</v>
      </c>
      <c r="J14" s="585"/>
      <c r="K14" s="585"/>
      <c r="L14" s="585"/>
      <c r="M14" s="86"/>
    </row>
    <row r="15" spans="1:13">
      <c r="A15" s="156" t="s">
        <v>660</v>
      </c>
      <c r="B15" s="156" t="s">
        <v>657</v>
      </c>
      <c r="C15" s="583"/>
      <c r="D15" s="583"/>
      <c r="E15" s="584"/>
      <c r="F15" s="584"/>
      <c r="G15" s="585">
        <v>860</v>
      </c>
      <c r="H15" s="585">
        <v>4935.51</v>
      </c>
      <c r="I15" s="585"/>
      <c r="J15" s="585"/>
      <c r="K15" s="585"/>
      <c r="L15" s="585"/>
      <c r="M15" s="86"/>
    </row>
    <row r="16" spans="1:13">
      <c r="A16" s="156" t="s">
        <v>661</v>
      </c>
      <c r="B16" s="156" t="s">
        <v>657</v>
      </c>
      <c r="C16" s="583">
        <v>83.02</v>
      </c>
      <c r="D16" s="583"/>
      <c r="E16" s="584"/>
      <c r="F16" s="584"/>
      <c r="G16" s="585"/>
      <c r="H16" s="585">
        <v>1114.47</v>
      </c>
      <c r="I16" s="585"/>
      <c r="J16" s="585"/>
      <c r="K16" s="585"/>
      <c r="L16" s="585"/>
      <c r="M16" s="86"/>
    </row>
    <row r="17" spans="1:13">
      <c r="A17" s="156" t="s">
        <v>351</v>
      </c>
      <c r="B17" s="156" t="s">
        <v>657</v>
      </c>
      <c r="C17" s="583">
        <v>3843.75</v>
      </c>
      <c r="D17" s="583"/>
      <c r="E17" s="584"/>
      <c r="F17" s="584">
        <v>212.59187795970047</v>
      </c>
      <c r="G17" s="585">
        <v>2778.4136528859049</v>
      </c>
      <c r="H17" s="585">
        <v>50234.879999999997</v>
      </c>
      <c r="I17" s="585"/>
      <c r="J17" s="585"/>
      <c r="K17" s="585"/>
      <c r="L17" s="585"/>
      <c r="M17" s="86"/>
    </row>
    <row r="18" spans="1:13">
      <c r="A18" s="156" t="s">
        <v>662</v>
      </c>
      <c r="B18" s="156" t="s">
        <v>657</v>
      </c>
      <c r="C18" s="583">
        <v>387.76</v>
      </c>
      <c r="D18" s="583"/>
      <c r="E18" s="584"/>
      <c r="F18" s="584">
        <v>68.201104015586097</v>
      </c>
      <c r="G18" s="585">
        <v>61.798895984413903</v>
      </c>
      <c r="H18" s="585">
        <v>351.36</v>
      </c>
      <c r="I18" s="585"/>
      <c r="J18" s="585"/>
      <c r="K18" s="585"/>
      <c r="L18" s="585"/>
      <c r="M18" s="86"/>
    </row>
    <row r="19" spans="1:13">
      <c r="A19" s="156" t="s">
        <v>1087</v>
      </c>
      <c r="B19" s="156" t="s">
        <v>657</v>
      </c>
      <c r="C19" s="583">
        <v>91.6</v>
      </c>
      <c r="D19" s="583"/>
      <c r="E19" s="584"/>
      <c r="F19" s="584"/>
      <c r="G19" s="585"/>
      <c r="H19" s="585">
        <v>793.6</v>
      </c>
      <c r="I19" s="585"/>
      <c r="J19" s="585"/>
      <c r="K19" s="585"/>
      <c r="L19" s="585"/>
      <c r="M19" s="86"/>
    </row>
    <row r="20" spans="1:13">
      <c r="A20" s="156" t="s">
        <v>1188</v>
      </c>
      <c r="B20" s="156" t="s">
        <v>657</v>
      </c>
      <c r="C20" s="583"/>
      <c r="D20" s="583"/>
      <c r="E20" s="584"/>
      <c r="F20" s="584"/>
      <c r="G20" s="585">
        <v>605</v>
      </c>
      <c r="H20" s="585"/>
      <c r="I20" s="585"/>
      <c r="J20" s="585"/>
      <c r="K20" s="585"/>
      <c r="L20" s="585"/>
      <c r="M20" s="86"/>
    </row>
    <row r="21" spans="1:13">
      <c r="A21" s="156" t="s">
        <v>663</v>
      </c>
      <c r="B21" s="156" t="s">
        <v>657</v>
      </c>
      <c r="C21" s="583">
        <v>18.32</v>
      </c>
      <c r="D21" s="583"/>
      <c r="E21" s="584"/>
      <c r="F21" s="584"/>
      <c r="G21" s="585"/>
      <c r="H21" s="585">
        <v>5079.04</v>
      </c>
      <c r="I21" s="585"/>
      <c r="J21" s="585"/>
      <c r="K21" s="585"/>
      <c r="L21" s="585"/>
      <c r="M21" s="86"/>
    </row>
    <row r="22" spans="1:13">
      <c r="A22" s="156"/>
      <c r="B22" s="156"/>
      <c r="C22" s="586"/>
      <c r="D22" s="586"/>
      <c r="E22" s="586"/>
      <c r="F22" s="586"/>
      <c r="G22" s="586"/>
      <c r="H22" s="586"/>
      <c r="I22" s="586"/>
      <c r="J22" s="586"/>
      <c r="K22" s="586"/>
      <c r="L22" s="586"/>
      <c r="M22" s="86"/>
    </row>
    <row r="23" spans="1:13">
      <c r="A23" s="156" t="s">
        <v>664</v>
      </c>
      <c r="B23" s="156" t="s">
        <v>665</v>
      </c>
      <c r="C23" s="583"/>
      <c r="D23" s="583"/>
      <c r="E23" s="584"/>
      <c r="F23" s="584"/>
      <c r="G23" s="585"/>
      <c r="H23" s="585">
        <v>17.5</v>
      </c>
      <c r="I23" s="585"/>
      <c r="J23" s="585"/>
      <c r="K23" s="585"/>
      <c r="L23" s="585"/>
      <c r="M23" s="86"/>
    </row>
    <row r="24" spans="1:13">
      <c r="A24" s="156" t="s">
        <v>666</v>
      </c>
      <c r="B24" s="156" t="s">
        <v>665</v>
      </c>
      <c r="C24" s="583">
        <v>11.86</v>
      </c>
      <c r="D24" s="583"/>
      <c r="E24" s="584"/>
      <c r="F24" s="584"/>
      <c r="G24" s="585"/>
      <c r="H24" s="585">
        <v>10.68</v>
      </c>
      <c r="I24" s="585"/>
      <c r="J24" s="585"/>
      <c r="K24" s="585"/>
      <c r="L24" s="585"/>
      <c r="M24" s="86"/>
    </row>
    <row r="25" spans="1:13">
      <c r="A25" s="156" t="s">
        <v>667</v>
      </c>
      <c r="B25" s="156" t="s">
        <v>665</v>
      </c>
      <c r="C25" s="583"/>
      <c r="D25" s="583"/>
      <c r="E25" s="584"/>
      <c r="F25" s="584"/>
      <c r="G25" s="585"/>
      <c r="H25" s="585">
        <v>8.1999999999999993</v>
      </c>
      <c r="I25" s="585"/>
      <c r="J25" s="585"/>
      <c r="K25" s="585"/>
      <c r="L25" s="585"/>
      <c r="M25" s="86"/>
    </row>
    <row r="26" spans="1:13">
      <c r="A26" s="156" t="s">
        <v>668</v>
      </c>
      <c r="B26" s="156" t="s">
        <v>665</v>
      </c>
      <c r="C26" s="583"/>
      <c r="D26" s="583"/>
      <c r="E26" s="584"/>
      <c r="F26" s="584"/>
      <c r="G26" s="585"/>
      <c r="H26" s="585">
        <v>71.37</v>
      </c>
      <c r="I26" s="585"/>
      <c r="J26" s="585"/>
      <c r="K26" s="585"/>
      <c r="L26" s="585"/>
      <c r="M26" s="86"/>
    </row>
    <row r="27" spans="1:13">
      <c r="A27" s="156" t="s">
        <v>640</v>
      </c>
      <c r="B27" s="156" t="s">
        <v>665</v>
      </c>
      <c r="C27" s="583"/>
      <c r="D27" s="583"/>
      <c r="E27" s="584"/>
      <c r="F27" s="584"/>
      <c r="G27" s="585"/>
      <c r="H27" s="585">
        <v>87.84</v>
      </c>
      <c r="I27" s="585"/>
      <c r="J27" s="585"/>
      <c r="K27" s="585"/>
      <c r="L27" s="585"/>
      <c r="M27" s="86"/>
    </row>
    <row r="28" spans="1:13">
      <c r="A28" s="156" t="s">
        <v>1189</v>
      </c>
      <c r="B28" s="156" t="s">
        <v>665</v>
      </c>
      <c r="C28" s="583"/>
      <c r="D28" s="583"/>
      <c r="E28" s="584"/>
      <c r="F28" s="584"/>
      <c r="G28" s="585"/>
      <c r="H28" s="585">
        <v>400.77</v>
      </c>
      <c r="I28" s="585"/>
      <c r="J28" s="585"/>
      <c r="K28" s="585"/>
      <c r="L28" s="585"/>
      <c r="M28" s="86"/>
    </row>
    <row r="29" spans="1:13">
      <c r="A29" s="156" t="s">
        <v>876</v>
      </c>
      <c r="B29" s="156" t="s">
        <v>665</v>
      </c>
      <c r="C29" s="583"/>
      <c r="D29" s="583"/>
      <c r="E29" s="584"/>
      <c r="F29" s="584"/>
      <c r="G29" s="585"/>
      <c r="H29" s="585">
        <v>82.35</v>
      </c>
      <c r="I29" s="585"/>
      <c r="J29" s="585"/>
      <c r="K29" s="585"/>
      <c r="L29" s="585"/>
      <c r="M29" s="86"/>
    </row>
    <row r="30" spans="1:13">
      <c r="A30" s="156" t="s">
        <v>1190</v>
      </c>
      <c r="B30" s="156" t="s">
        <v>665</v>
      </c>
      <c r="C30" s="583"/>
      <c r="D30" s="583"/>
      <c r="E30" s="584"/>
      <c r="F30" s="584"/>
      <c r="G30" s="585"/>
      <c r="H30" s="585">
        <v>82.35</v>
      </c>
      <c r="I30" s="585"/>
      <c r="J30" s="585"/>
      <c r="K30" s="585"/>
      <c r="L30" s="585"/>
      <c r="M30" s="86"/>
    </row>
    <row r="31" spans="1:13">
      <c r="A31" s="156" t="s">
        <v>1151</v>
      </c>
      <c r="B31" s="156" t="s">
        <v>665</v>
      </c>
      <c r="C31" s="583">
        <v>118.6</v>
      </c>
      <c r="D31" s="583"/>
      <c r="E31" s="584"/>
      <c r="F31" s="584"/>
      <c r="G31" s="585"/>
      <c r="H31" s="585">
        <v>208.62</v>
      </c>
      <c r="I31" s="585"/>
      <c r="J31" s="585"/>
      <c r="K31" s="585"/>
      <c r="L31" s="585"/>
      <c r="M31" s="86"/>
    </row>
    <row r="32" spans="1:13">
      <c r="A32" s="156" t="s">
        <v>2</v>
      </c>
      <c r="B32" s="156" t="s">
        <v>665</v>
      </c>
      <c r="C32" s="583"/>
      <c r="D32" s="583"/>
      <c r="E32" s="584"/>
      <c r="F32" s="584"/>
      <c r="G32" s="585"/>
      <c r="H32" s="585">
        <v>411.75</v>
      </c>
      <c r="I32" s="585"/>
      <c r="J32" s="585"/>
      <c r="K32" s="585"/>
      <c r="L32" s="585"/>
      <c r="M32" s="86"/>
    </row>
    <row r="33" spans="1:17">
      <c r="A33" s="156" t="s">
        <v>672</v>
      </c>
      <c r="B33" s="156" t="s">
        <v>665</v>
      </c>
      <c r="C33" s="583"/>
      <c r="D33" s="583"/>
      <c r="E33" s="584"/>
      <c r="F33" s="584"/>
      <c r="G33" s="585"/>
      <c r="H33" s="585">
        <v>115.29</v>
      </c>
      <c r="I33" s="585"/>
      <c r="J33" s="585"/>
      <c r="K33" s="585"/>
      <c r="L33" s="585"/>
      <c r="M33" s="86"/>
    </row>
    <row r="34" spans="1:17">
      <c r="A34" s="156" t="s">
        <v>942</v>
      </c>
      <c r="B34" s="156" t="s">
        <v>665</v>
      </c>
      <c r="C34" s="583"/>
      <c r="D34" s="583"/>
      <c r="E34" s="584"/>
      <c r="F34" s="584"/>
      <c r="G34" s="585"/>
      <c r="H34" s="585">
        <v>21.96</v>
      </c>
      <c r="I34" s="585"/>
      <c r="J34" s="585"/>
      <c r="K34" s="585"/>
      <c r="L34" s="585"/>
      <c r="M34" s="86"/>
    </row>
    <row r="35" spans="1:17">
      <c r="A35" s="156" t="s">
        <v>352</v>
      </c>
      <c r="B35" s="156" t="s">
        <v>665</v>
      </c>
      <c r="C35" s="583"/>
      <c r="D35" s="583"/>
      <c r="E35" s="584"/>
      <c r="F35" s="584"/>
      <c r="G35" s="585"/>
      <c r="H35" s="585"/>
      <c r="I35" s="585"/>
      <c r="J35" s="585">
        <v>1529.95</v>
      </c>
      <c r="K35" s="585"/>
      <c r="L35" s="585"/>
      <c r="M35" s="86"/>
    </row>
    <row r="36" spans="1:17">
      <c r="A36" s="156" t="s">
        <v>1152</v>
      </c>
      <c r="B36" s="156" t="s">
        <v>665</v>
      </c>
      <c r="C36" s="583"/>
      <c r="D36" s="583"/>
      <c r="E36" s="584"/>
      <c r="F36" s="584"/>
      <c r="G36" s="585"/>
      <c r="H36" s="585">
        <v>16.47</v>
      </c>
      <c r="I36" s="585"/>
      <c r="J36" s="585"/>
      <c r="K36" s="585"/>
      <c r="L36" s="585"/>
      <c r="M36" s="86"/>
    </row>
    <row r="37" spans="1:17">
      <c r="A37" s="156" t="s">
        <v>1029</v>
      </c>
      <c r="B37" s="156" t="s">
        <v>665</v>
      </c>
      <c r="C37" s="583"/>
      <c r="D37" s="583"/>
      <c r="E37" s="584"/>
      <c r="F37" s="584"/>
      <c r="G37" s="585"/>
      <c r="H37" s="585">
        <v>96</v>
      </c>
      <c r="I37" s="585"/>
      <c r="J37" s="585"/>
      <c r="K37" s="585"/>
      <c r="L37" s="585"/>
      <c r="M37" s="86"/>
    </row>
    <row r="38" spans="1:17">
      <c r="A38" s="156"/>
      <c r="B38" s="156"/>
      <c r="C38" s="586"/>
      <c r="D38" s="586"/>
      <c r="E38" s="586"/>
      <c r="F38" s="586"/>
      <c r="G38" s="586"/>
      <c r="H38" s="586"/>
      <c r="I38" s="586"/>
      <c r="J38" s="586"/>
      <c r="K38" s="586"/>
      <c r="L38" s="586"/>
      <c r="M38" s="86"/>
    </row>
    <row r="39" spans="1:17">
      <c r="A39" s="156" t="s">
        <v>674</v>
      </c>
      <c r="B39" s="156" t="s">
        <v>673</v>
      </c>
      <c r="C39" s="583">
        <v>57366.490000000005</v>
      </c>
      <c r="D39" s="583">
        <v>1597.1399999999999</v>
      </c>
      <c r="E39" s="584"/>
      <c r="F39" s="584">
        <v>8559.6997485787906</v>
      </c>
      <c r="G39" s="585">
        <v>61016.300251421198</v>
      </c>
      <c r="H39" s="585">
        <v>414815.55</v>
      </c>
      <c r="I39" s="585">
        <v>5496.2199999999993</v>
      </c>
      <c r="J39" s="585"/>
      <c r="K39" s="585"/>
      <c r="L39" s="585"/>
      <c r="Q39" s="86"/>
    </row>
    <row r="40" spans="1:17">
      <c r="A40" s="156" t="s">
        <v>675</v>
      </c>
      <c r="B40" s="156" t="s">
        <v>673</v>
      </c>
      <c r="C40" s="583">
        <v>220.08</v>
      </c>
      <c r="D40" s="583"/>
      <c r="E40" s="584"/>
      <c r="F40" s="584"/>
      <c r="G40" s="585">
        <v>590</v>
      </c>
      <c r="H40" s="585">
        <v>3530.07</v>
      </c>
      <c r="I40" s="585">
        <v>36.24</v>
      </c>
      <c r="J40" s="585"/>
      <c r="K40" s="585"/>
      <c r="L40" s="585"/>
      <c r="M40" s="86"/>
    </row>
    <row r="41" spans="1:17">
      <c r="A41" s="156" t="s">
        <v>676</v>
      </c>
      <c r="B41" s="156" t="s">
        <v>673</v>
      </c>
      <c r="C41" s="583">
        <v>711.6</v>
      </c>
      <c r="D41" s="583">
        <v>84.06</v>
      </c>
      <c r="E41" s="584"/>
      <c r="F41" s="584">
        <v>220.20223139440878</v>
      </c>
      <c r="G41" s="585">
        <v>3031.797768605591</v>
      </c>
      <c r="H41" s="585">
        <v>10387.08</v>
      </c>
      <c r="I41" s="585">
        <v>567.76</v>
      </c>
      <c r="J41" s="585"/>
      <c r="K41" s="585"/>
      <c r="L41" s="585"/>
      <c r="M41" s="86"/>
      <c r="N41" s="371"/>
    </row>
    <row r="42" spans="1:17">
      <c r="A42" s="156" t="s">
        <v>733</v>
      </c>
      <c r="B42" s="156" t="s">
        <v>673</v>
      </c>
      <c r="C42" s="583">
        <v>178.16</v>
      </c>
      <c r="D42" s="583"/>
      <c r="E42" s="584"/>
      <c r="F42" s="584">
        <v>19.330223022040311</v>
      </c>
      <c r="G42" s="585">
        <v>270.66977697795971</v>
      </c>
      <c r="H42" s="585">
        <v>2410.11</v>
      </c>
      <c r="I42" s="585">
        <v>84.56</v>
      </c>
      <c r="J42" s="585"/>
      <c r="K42" s="585"/>
      <c r="L42" s="585"/>
      <c r="M42" s="86"/>
    </row>
    <row r="43" spans="1:17">
      <c r="A43" s="156" t="s">
        <v>1153</v>
      </c>
      <c r="B43" s="156" t="s">
        <v>673</v>
      </c>
      <c r="C43" s="583">
        <v>11.86</v>
      </c>
      <c r="D43" s="583"/>
      <c r="E43" s="584"/>
      <c r="F43" s="584">
        <v>2.8246175518918797</v>
      </c>
      <c r="G43" s="585">
        <v>538.17538244810794</v>
      </c>
      <c r="H43" s="585">
        <v>2223.4499999999998</v>
      </c>
      <c r="I43" s="585">
        <v>36.24</v>
      </c>
      <c r="J43" s="585"/>
      <c r="K43" s="585"/>
      <c r="L43" s="585"/>
      <c r="M43" s="86"/>
    </row>
    <row r="44" spans="1:17">
      <c r="A44" s="156" t="s">
        <v>1030</v>
      </c>
      <c r="B44" s="156" t="s">
        <v>673</v>
      </c>
      <c r="C44" s="583">
        <v>3581.72</v>
      </c>
      <c r="D44" s="583"/>
      <c r="E44" s="584"/>
      <c r="F44" s="584"/>
      <c r="G44" s="585"/>
      <c r="H44" s="585">
        <v>11759.58</v>
      </c>
      <c r="I44" s="585">
        <v>12.08</v>
      </c>
      <c r="J44" s="585"/>
      <c r="K44" s="585"/>
      <c r="L44" s="585"/>
      <c r="M44" s="86"/>
    </row>
    <row r="45" spans="1:17">
      <c r="A45" s="156"/>
      <c r="B45" s="156"/>
      <c r="C45" s="586"/>
      <c r="D45" s="586"/>
      <c r="E45" s="586"/>
      <c r="F45" s="586"/>
      <c r="G45" s="586"/>
      <c r="H45" s="586"/>
      <c r="I45" s="586"/>
      <c r="J45" s="586"/>
      <c r="K45" s="586"/>
      <c r="L45" s="586"/>
      <c r="M45" s="86"/>
    </row>
    <row r="46" spans="1:17">
      <c r="A46" s="156" t="s">
        <v>353</v>
      </c>
      <c r="B46" s="156" t="s">
        <v>677</v>
      </c>
      <c r="C46" s="583">
        <v>4174.72</v>
      </c>
      <c r="D46" s="583"/>
      <c r="E46" s="584"/>
      <c r="F46" s="584">
        <v>9368.1311249147584</v>
      </c>
      <c r="G46" s="585">
        <v>20807.868875085234</v>
      </c>
      <c r="H46" s="585">
        <v>9272.61</v>
      </c>
      <c r="I46" s="585"/>
      <c r="J46" s="585">
        <v>2884.15</v>
      </c>
      <c r="K46" s="585"/>
      <c r="L46" s="585"/>
      <c r="M46" s="86"/>
    </row>
    <row r="47" spans="1:17">
      <c r="A47" s="156" t="s">
        <v>1154</v>
      </c>
      <c r="B47" s="156" t="s">
        <v>677</v>
      </c>
      <c r="C47" s="583">
        <v>94.88</v>
      </c>
      <c r="D47" s="583"/>
      <c r="E47" s="584"/>
      <c r="F47" s="584">
        <v>494.9464988003661</v>
      </c>
      <c r="G47" s="585">
        <v>3723.0535011996344</v>
      </c>
      <c r="H47" s="585">
        <v>713.7</v>
      </c>
      <c r="I47" s="585"/>
      <c r="J47" s="585"/>
      <c r="K47" s="585"/>
      <c r="L47" s="585"/>
      <c r="M47" s="86"/>
    </row>
    <row r="48" spans="1:17">
      <c r="A48" s="156" t="s">
        <v>1031</v>
      </c>
      <c r="B48" s="156" t="s">
        <v>677</v>
      </c>
      <c r="C48" s="583">
        <v>2016.2</v>
      </c>
      <c r="D48" s="583"/>
      <c r="E48" s="584">
        <v>0</v>
      </c>
      <c r="F48" s="584">
        <v>1272.3360255977832</v>
      </c>
      <c r="G48" s="585">
        <v>1496.6639744022173</v>
      </c>
      <c r="H48" s="585">
        <v>2371.6799999999998</v>
      </c>
      <c r="I48" s="585"/>
      <c r="J48" s="585">
        <v>13793.6</v>
      </c>
      <c r="K48" s="585"/>
      <c r="L48" s="585"/>
      <c r="M48" s="86"/>
    </row>
    <row r="49" spans="1:16">
      <c r="A49" s="156" t="s">
        <v>354</v>
      </c>
      <c r="B49" s="156" t="s">
        <v>677</v>
      </c>
      <c r="C49" s="583"/>
      <c r="D49" s="583"/>
      <c r="E49" s="584">
        <v>125775.56</v>
      </c>
      <c r="F49" s="584"/>
      <c r="G49" s="585"/>
      <c r="H49" s="585"/>
      <c r="I49" s="585"/>
      <c r="J49" s="585">
        <v>21192.080000000002</v>
      </c>
      <c r="K49" s="585"/>
      <c r="L49" s="585"/>
      <c r="M49" s="86"/>
    </row>
    <row r="50" spans="1:16">
      <c r="A50" s="156" t="s">
        <v>943</v>
      </c>
      <c r="B50" s="156" t="s">
        <v>677</v>
      </c>
      <c r="C50" s="583">
        <v>1061.1300000000001</v>
      </c>
      <c r="D50" s="583"/>
      <c r="E50" s="584"/>
      <c r="F50" s="584"/>
      <c r="G50" s="585"/>
      <c r="H50" s="585">
        <v>1747.2</v>
      </c>
      <c r="I50" s="585"/>
      <c r="J50" s="585"/>
      <c r="K50" s="585"/>
      <c r="L50" s="585"/>
      <c r="M50" s="86"/>
    </row>
    <row r="51" spans="1:16">
      <c r="A51" s="156" t="s">
        <v>1156</v>
      </c>
      <c r="B51" s="156" t="s">
        <v>677</v>
      </c>
      <c r="C51" s="583">
        <v>1043.68</v>
      </c>
      <c r="D51" s="583"/>
      <c r="E51" s="584"/>
      <c r="F51" s="584">
        <v>3869.9259968367605</v>
      </c>
      <c r="G51" s="585">
        <v>3257.0740031632399</v>
      </c>
      <c r="H51" s="585">
        <v>878.4</v>
      </c>
      <c r="I51" s="585"/>
      <c r="J51" s="585"/>
      <c r="K51" s="585"/>
      <c r="L51" s="585"/>
      <c r="M51" s="86"/>
    </row>
    <row r="52" spans="1:16">
      <c r="A52" s="156" t="s">
        <v>1156</v>
      </c>
      <c r="B52" s="156" t="s">
        <v>677</v>
      </c>
      <c r="C52" s="583"/>
      <c r="D52" s="583"/>
      <c r="E52" s="584"/>
      <c r="F52" s="584"/>
      <c r="G52" s="585"/>
      <c r="H52" s="585">
        <v>186.66</v>
      </c>
      <c r="I52" s="585"/>
      <c r="J52" s="585"/>
      <c r="K52" s="585"/>
      <c r="L52" s="585"/>
      <c r="M52" s="86"/>
    </row>
    <row r="53" spans="1:16">
      <c r="A53" s="156" t="s">
        <v>903</v>
      </c>
      <c r="B53" s="156" t="s">
        <v>677</v>
      </c>
      <c r="C53" s="583"/>
      <c r="D53" s="583"/>
      <c r="E53" s="584"/>
      <c r="F53" s="584"/>
      <c r="G53" s="585"/>
      <c r="H53" s="585">
        <v>148.22999999999999</v>
      </c>
      <c r="I53" s="585"/>
      <c r="J53" s="585">
        <v>18.5</v>
      </c>
      <c r="K53" s="585"/>
      <c r="L53" s="585"/>
      <c r="M53" s="86"/>
    </row>
    <row r="54" spans="1:16">
      <c r="A54" s="156" t="s">
        <v>993</v>
      </c>
      <c r="B54" s="156" t="s">
        <v>677</v>
      </c>
      <c r="C54" s="583">
        <v>6736.48</v>
      </c>
      <c r="D54" s="583"/>
      <c r="E54" s="584"/>
      <c r="F54" s="584">
        <v>1840.8851210322475</v>
      </c>
      <c r="G54" s="585">
        <v>6478.1148789677509</v>
      </c>
      <c r="H54" s="585">
        <v>23705.82</v>
      </c>
      <c r="I54" s="585"/>
      <c r="J54" s="585">
        <v>86829.75</v>
      </c>
      <c r="K54" s="585"/>
      <c r="L54" s="585"/>
      <c r="M54" s="86"/>
    </row>
    <row r="55" spans="1:16">
      <c r="A55" s="156" t="s">
        <v>1155</v>
      </c>
      <c r="B55" s="156" t="s">
        <v>677</v>
      </c>
      <c r="C55" s="583"/>
      <c r="D55" s="583"/>
      <c r="E55" s="584"/>
      <c r="F55" s="584"/>
      <c r="G55" s="585"/>
      <c r="H55" s="585">
        <v>384.3</v>
      </c>
      <c r="I55" s="585"/>
      <c r="J55" s="585"/>
      <c r="K55" s="585"/>
      <c r="L55" s="585"/>
      <c r="M55" s="86"/>
    </row>
    <row r="56" spans="1:16">
      <c r="A56" s="156" t="s">
        <v>944</v>
      </c>
      <c r="B56" s="156" t="s">
        <v>677</v>
      </c>
      <c r="C56" s="583"/>
      <c r="D56" s="583"/>
      <c r="E56" s="584"/>
      <c r="F56" s="584"/>
      <c r="G56" s="585"/>
      <c r="H56" s="585">
        <v>547.20000000000005</v>
      </c>
      <c r="I56" s="585"/>
      <c r="J56" s="585"/>
      <c r="K56" s="585"/>
      <c r="L56" s="585"/>
      <c r="M56" s="86"/>
    </row>
    <row r="57" spans="1:16">
      <c r="A57" s="156" t="s">
        <v>995</v>
      </c>
      <c r="B57" s="156" t="s">
        <v>677</v>
      </c>
      <c r="C57" s="583"/>
      <c r="D57" s="583"/>
      <c r="E57" s="584"/>
      <c r="F57" s="584"/>
      <c r="G57" s="585"/>
      <c r="H57" s="585">
        <v>62.4</v>
      </c>
      <c r="I57" s="585"/>
      <c r="J57" s="585"/>
      <c r="K57" s="585"/>
      <c r="L57" s="585"/>
      <c r="M57" s="86"/>
    </row>
    <row r="58" spans="1:16">
      <c r="A58" s="156" t="s">
        <v>994</v>
      </c>
      <c r="B58" s="156" t="s">
        <v>677</v>
      </c>
      <c r="C58" s="583">
        <v>8230.84</v>
      </c>
      <c r="D58" s="583"/>
      <c r="E58" s="584"/>
      <c r="F58" s="584">
        <v>5085.1805698609423</v>
      </c>
      <c r="G58" s="585">
        <v>20011.819430139061</v>
      </c>
      <c r="H58" s="585">
        <v>32391</v>
      </c>
      <c r="I58" s="585"/>
      <c r="J58" s="585">
        <v>17432.55</v>
      </c>
      <c r="K58" s="585"/>
      <c r="L58" s="585"/>
      <c r="M58" s="86"/>
    </row>
    <row r="59" spans="1:16">
      <c r="A59" s="156"/>
      <c r="B59" s="156"/>
      <c r="C59" s="586"/>
      <c r="D59" s="586"/>
      <c r="E59" s="586"/>
      <c r="F59" s="586"/>
      <c r="G59" s="586"/>
      <c r="H59" s="586"/>
      <c r="I59" s="586"/>
      <c r="J59" s="586"/>
      <c r="K59" s="586"/>
      <c r="L59" s="586"/>
      <c r="M59" s="86"/>
    </row>
    <row r="60" spans="1:16">
      <c r="A60" s="156" t="s">
        <v>669</v>
      </c>
      <c r="B60" s="156" t="s">
        <v>1088</v>
      </c>
      <c r="C60" s="583">
        <v>11.25</v>
      </c>
      <c r="D60" s="583"/>
      <c r="E60" s="584"/>
      <c r="F60" s="584"/>
      <c r="G60" s="585"/>
      <c r="H60" s="585">
        <v>36.75</v>
      </c>
      <c r="I60" s="585"/>
      <c r="J60" s="585"/>
      <c r="K60" s="585"/>
      <c r="L60" s="585"/>
      <c r="M60" s="86"/>
    </row>
    <row r="61" spans="1:16">
      <c r="A61" s="156" t="s">
        <v>670</v>
      </c>
      <c r="B61" s="156" t="s">
        <v>1088</v>
      </c>
      <c r="C61" s="583">
        <v>177.9</v>
      </c>
      <c r="D61" s="583"/>
      <c r="E61" s="584"/>
      <c r="F61" s="584"/>
      <c r="G61" s="585"/>
      <c r="H61" s="585"/>
      <c r="I61" s="585"/>
      <c r="J61" s="585"/>
      <c r="K61" s="585"/>
      <c r="L61" s="585"/>
      <c r="M61" s="86"/>
    </row>
    <row r="62" spans="1:16" s="156" customFormat="1">
      <c r="A62" s="203" t="s">
        <v>671</v>
      </c>
      <c r="B62" s="156" t="s">
        <v>1088</v>
      </c>
      <c r="C62" s="583">
        <v>104.25</v>
      </c>
      <c r="D62" s="583"/>
      <c r="E62" s="584"/>
      <c r="F62" s="584"/>
      <c r="G62" s="585"/>
      <c r="H62" s="585"/>
      <c r="I62" s="585"/>
      <c r="J62" s="585"/>
      <c r="K62" s="585"/>
      <c r="L62" s="585"/>
      <c r="M62" s="86"/>
      <c r="N62" s="152"/>
      <c r="O62" s="152"/>
      <c r="P62" s="152"/>
    </row>
    <row r="63" spans="1:16">
      <c r="A63" s="156" t="s">
        <v>534</v>
      </c>
      <c r="B63" s="156" t="s">
        <v>1088</v>
      </c>
      <c r="C63" s="583"/>
      <c r="D63" s="583"/>
      <c r="E63" s="584"/>
      <c r="F63" s="584"/>
      <c r="G63" s="585"/>
      <c r="H63" s="585">
        <v>21.96</v>
      </c>
      <c r="I63" s="585"/>
      <c r="J63" s="585"/>
      <c r="K63" s="585"/>
      <c r="L63" s="585"/>
      <c r="M63" s="86"/>
    </row>
    <row r="64" spans="1:16">
      <c r="A64" s="156" t="s">
        <v>1089</v>
      </c>
      <c r="B64" s="156" t="s">
        <v>1088</v>
      </c>
      <c r="C64" s="583">
        <v>130.46</v>
      </c>
      <c r="D64" s="583"/>
      <c r="E64" s="584"/>
      <c r="F64" s="584"/>
      <c r="G64" s="585"/>
      <c r="H64" s="585"/>
      <c r="I64" s="585"/>
      <c r="J64" s="585"/>
      <c r="K64" s="585"/>
      <c r="L64" s="585"/>
      <c r="M64" s="86"/>
    </row>
    <row r="65" spans="1:13">
      <c r="A65" s="156"/>
      <c r="B65" s="156"/>
      <c r="C65" s="583"/>
      <c r="D65" s="583"/>
      <c r="E65" s="584"/>
      <c r="F65" s="584"/>
      <c r="G65" s="585"/>
      <c r="H65" s="585"/>
      <c r="I65" s="585"/>
      <c r="J65" s="585"/>
      <c r="K65" s="585"/>
      <c r="L65" s="585"/>
      <c r="M65" s="86"/>
    </row>
    <row r="66" spans="1:13">
      <c r="A66" s="156" t="s">
        <v>904</v>
      </c>
      <c r="B66" s="156" t="s">
        <v>1157</v>
      </c>
      <c r="C66" s="583"/>
      <c r="D66" s="583"/>
      <c r="E66" s="584"/>
      <c r="F66" s="584"/>
      <c r="G66" s="585"/>
      <c r="H66" s="585">
        <v>120.78</v>
      </c>
      <c r="I66" s="585"/>
      <c r="J66" s="585"/>
      <c r="K66" s="585"/>
      <c r="L66" s="585"/>
      <c r="M66" s="86"/>
    </row>
    <row r="67" spans="1:13">
      <c r="A67" s="156"/>
      <c r="B67" s="156"/>
      <c r="C67" s="583"/>
      <c r="D67" s="583"/>
      <c r="E67" s="584"/>
      <c r="F67" s="584"/>
      <c r="G67" s="585"/>
      <c r="H67" s="585"/>
      <c r="I67" s="585"/>
      <c r="J67" s="585"/>
      <c r="K67" s="585"/>
      <c r="L67" s="585"/>
      <c r="M67" s="86"/>
    </row>
    <row r="68" spans="1:13">
      <c r="A68" s="156" t="s">
        <v>681</v>
      </c>
      <c r="B68" s="156" t="s">
        <v>679</v>
      </c>
      <c r="C68" s="583"/>
      <c r="D68" s="583"/>
      <c r="E68" s="584"/>
      <c r="F68" s="584"/>
      <c r="G68" s="585"/>
      <c r="H68" s="585"/>
      <c r="I68" s="585"/>
      <c r="J68" s="585"/>
      <c r="K68" s="585">
        <v>17820</v>
      </c>
      <c r="L68" s="585"/>
      <c r="M68" s="86"/>
    </row>
    <row r="69" spans="1:13">
      <c r="A69" s="156" t="s">
        <v>678</v>
      </c>
      <c r="B69" s="156" t="s">
        <v>679</v>
      </c>
      <c r="C69" s="583"/>
      <c r="D69" s="583"/>
      <c r="E69" s="584"/>
      <c r="F69" s="584"/>
      <c r="G69" s="585"/>
      <c r="H69" s="585"/>
      <c r="I69" s="585"/>
      <c r="J69" s="585"/>
      <c r="K69" s="585">
        <v>4010.13</v>
      </c>
      <c r="L69" s="585"/>
      <c r="M69" s="86"/>
    </row>
    <row r="70" spans="1:13">
      <c r="A70" s="156" t="s">
        <v>905</v>
      </c>
      <c r="B70" s="156" t="s">
        <v>679</v>
      </c>
      <c r="C70" s="583"/>
      <c r="D70" s="583"/>
      <c r="E70" s="584"/>
      <c r="F70" s="584"/>
      <c r="G70" s="585"/>
      <c r="H70" s="585"/>
      <c r="I70" s="585"/>
      <c r="J70" s="585"/>
      <c r="K70" s="585">
        <v>2429.84</v>
      </c>
      <c r="L70" s="585"/>
      <c r="M70" s="86"/>
    </row>
    <row r="71" spans="1:13">
      <c r="A71" s="156" t="s">
        <v>355</v>
      </c>
      <c r="B71" s="156" t="s">
        <v>679</v>
      </c>
      <c r="C71" s="583"/>
      <c r="D71" s="583"/>
      <c r="E71" s="584"/>
      <c r="F71" s="584"/>
      <c r="G71" s="585"/>
      <c r="H71" s="585"/>
      <c r="I71" s="585"/>
      <c r="J71" s="585"/>
      <c r="K71" s="585">
        <v>8048.61</v>
      </c>
      <c r="L71" s="585"/>
      <c r="M71" s="86"/>
    </row>
    <row r="72" spans="1:13" s="177" customFormat="1">
      <c r="A72" s="156" t="s">
        <v>734</v>
      </c>
      <c r="B72" s="156" t="s">
        <v>679</v>
      </c>
      <c r="C72" s="587"/>
      <c r="D72" s="587"/>
      <c r="E72" s="588"/>
      <c r="F72" s="588"/>
      <c r="G72" s="589"/>
      <c r="H72" s="589"/>
      <c r="I72" s="589"/>
      <c r="J72" s="589"/>
      <c r="K72" s="589">
        <v>51689.15</v>
      </c>
      <c r="L72" s="589"/>
      <c r="M72" s="90"/>
    </row>
    <row r="73" spans="1:13" s="156" customFormat="1">
      <c r="A73" s="372" t="s">
        <v>680</v>
      </c>
      <c r="C73" s="373">
        <f>SUM(C7:C72)</f>
        <v>111889.56000000001</v>
      </c>
      <c r="D73" s="373">
        <f>SUM(D7:D72)</f>
        <v>1705.84</v>
      </c>
      <c r="E73" s="373">
        <f t="shared" ref="E73:L73" si="0">SUM(E7:E72)</f>
        <v>125775.56</v>
      </c>
      <c r="F73" s="373">
        <f>SUM(F7:F72)</f>
        <v>31023.509297693283</v>
      </c>
      <c r="G73" s="373">
        <f t="shared" si="0"/>
        <v>125657.49623315231</v>
      </c>
      <c r="H73" s="373">
        <f t="shared" si="0"/>
        <v>915764.95999999961</v>
      </c>
      <c r="I73" s="373">
        <f t="shared" si="0"/>
        <v>6486.78</v>
      </c>
      <c r="J73" s="373">
        <f t="shared" si="0"/>
        <v>143680.57999999999</v>
      </c>
      <c r="K73" s="373">
        <f t="shared" si="0"/>
        <v>83997.73000000001</v>
      </c>
      <c r="L73" s="373">
        <f t="shared" si="0"/>
        <v>0</v>
      </c>
      <c r="M73" s="374"/>
    </row>
    <row r="74" spans="1:13" s="156" customFormat="1">
      <c r="C74" s="375"/>
      <c r="D74" s="375"/>
      <c r="E74" s="375"/>
      <c r="F74" s="375"/>
      <c r="G74" s="375"/>
      <c r="K74" s="375"/>
    </row>
    <row r="75" spans="1:13" s="156" customFormat="1">
      <c r="A75" s="156" t="s">
        <v>519</v>
      </c>
      <c r="B75" s="156" t="s">
        <v>762</v>
      </c>
      <c r="D75" s="375"/>
      <c r="E75" s="376">
        <f>C73+E73+D73</f>
        <v>239370.96</v>
      </c>
      <c r="F75" s="377">
        <f>E75/E81</f>
        <v>0.1725824226616888</v>
      </c>
      <c r="G75" s="378" t="s">
        <v>790</v>
      </c>
    </row>
    <row r="76" spans="1:13" s="156" customFormat="1">
      <c r="D76" s="375"/>
      <c r="E76" s="375"/>
      <c r="F76" s="375"/>
      <c r="G76" s="375"/>
    </row>
    <row r="77" spans="1:13" s="156" customFormat="1">
      <c r="A77" s="156" t="s">
        <v>1191</v>
      </c>
      <c r="D77" s="379"/>
      <c r="E77" s="380">
        <f>SUM(C73:L73)</f>
        <v>1545982.0155308454</v>
      </c>
      <c r="G77" s="375"/>
      <c r="L77" s="374"/>
    </row>
    <row r="78" spans="1:13">
      <c r="B78" s="381"/>
      <c r="C78" s="152"/>
      <c r="D78" s="382" t="s">
        <v>877</v>
      </c>
      <c r="E78" s="383"/>
      <c r="G78" s="152"/>
    </row>
    <row r="79" spans="1:13">
      <c r="B79" s="385"/>
      <c r="C79" s="152"/>
      <c r="D79" s="386" t="s">
        <v>878</v>
      </c>
      <c r="E79" s="383">
        <v>0</v>
      </c>
      <c r="G79" s="152"/>
    </row>
    <row r="80" spans="1:13">
      <c r="B80" s="385"/>
      <c r="C80" s="152"/>
      <c r="D80" s="386" t="s">
        <v>879</v>
      </c>
      <c r="E80" s="387">
        <f>E90</f>
        <v>158987</v>
      </c>
      <c r="G80" s="152"/>
    </row>
    <row r="81" spans="2:7" ht="13.5" thickBot="1">
      <c r="B81" s="385"/>
      <c r="C81" s="152"/>
      <c r="D81" s="386" t="s">
        <v>889</v>
      </c>
      <c r="E81" s="388">
        <f>E77-E80</f>
        <v>1386995.0155308454</v>
      </c>
      <c r="G81" s="152"/>
    </row>
    <row r="82" spans="2:7" ht="13.5" thickTop="1">
      <c r="B82" s="384"/>
      <c r="C82" s="152"/>
      <c r="D82" s="473" t="s">
        <v>1192</v>
      </c>
      <c r="E82" s="635">
        <f>1331414.16+34692.24</f>
        <v>1366106.4</v>
      </c>
      <c r="G82" s="152"/>
    </row>
    <row r="83" spans="2:7">
      <c r="B83" s="384"/>
      <c r="C83" s="152"/>
      <c r="D83" s="60" t="s">
        <v>1016</v>
      </c>
      <c r="E83" s="476">
        <f>E82-E81</f>
        <v>-20888.615530845476</v>
      </c>
      <c r="G83" s="152"/>
    </row>
    <row r="84" spans="2:7">
      <c r="B84" s="384"/>
      <c r="C84" s="152"/>
      <c r="D84" s="473" t="s">
        <v>1090</v>
      </c>
      <c r="E84" s="476">
        <v>20888.62</v>
      </c>
      <c r="G84" s="152"/>
    </row>
    <row r="85" spans="2:7" ht="13.5" thickBot="1">
      <c r="C85" s="152"/>
      <c r="D85" s="473" t="s">
        <v>1017</v>
      </c>
      <c r="E85" s="477">
        <f>SUM(E83:E84)</f>
        <v>4.4691545226669405E-3</v>
      </c>
    </row>
    <row r="86" spans="2:7" ht="13.5" thickTop="1">
      <c r="C86" s="152"/>
      <c r="D86" s="474"/>
      <c r="E86" s="504"/>
    </row>
    <row r="87" spans="2:7">
      <c r="C87" s="152"/>
      <c r="D87" s="475" t="s">
        <v>1018</v>
      </c>
      <c r="E87" s="504"/>
    </row>
    <row r="88" spans="2:7">
      <c r="C88" s="152"/>
      <c r="D88" s="475" t="s">
        <v>1019</v>
      </c>
      <c r="E88" s="3">
        <f>SUM(F73:G73)</f>
        <v>156681.00553084561</v>
      </c>
    </row>
    <row r="89" spans="2:7">
      <c r="C89" s="152"/>
      <c r="D89" s="475" t="s">
        <v>1020</v>
      </c>
      <c r="E89" s="3">
        <f>G73+F73-158987</f>
        <v>-2305.9944691543933</v>
      </c>
    </row>
    <row r="90" spans="2:7" ht="13.5" thickBot="1">
      <c r="C90" s="152"/>
      <c r="D90" s="475" t="s">
        <v>879</v>
      </c>
      <c r="E90" s="477">
        <f>E88-E89</f>
        <v>158987</v>
      </c>
    </row>
    <row r="91" spans="2:7" ht="13.5" thickTop="1"/>
  </sheetData>
  <sheetProtection formatCells="0"/>
  <mergeCells count="2">
    <mergeCell ref="A1:L1"/>
    <mergeCell ref="A2:L2"/>
  </mergeCells>
  <phoneticPr fontId="18" type="noConversion"/>
  <printOptions horizontalCentered="1"/>
  <pageMargins left="0.75" right="0.75" top="1" bottom="1" header="0.5" footer="0.5"/>
  <pageSetup scale="49" fitToHeight="2" orientation="portrait" r:id="rId1"/>
  <headerFooter alignWithMargins="0">
    <oddHeader>&amp;CIDAHO POWER COMPANY
Transmission Cost of Service Rate Development
12 Months Ended 12/31/2017</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E22"/>
  <sheetViews>
    <sheetView zoomScaleNormal="100" zoomScaleSheetLayoutView="100" workbookViewId="0">
      <selection sqref="A1:E1"/>
    </sheetView>
  </sheetViews>
  <sheetFormatPr defaultRowHeight="12.75"/>
  <cols>
    <col min="1" max="1" width="26.28515625" style="152" customWidth="1"/>
    <col min="2" max="2" width="14.42578125" style="152" bestFit="1" customWidth="1"/>
    <col min="3" max="3" width="12.28515625" style="152" bestFit="1" customWidth="1"/>
    <col min="4" max="4" width="12" style="152" bestFit="1" customWidth="1"/>
    <col min="5" max="5" width="13.28515625" style="152" bestFit="1" customWidth="1"/>
    <col min="6" max="16384" width="9.140625" style="152"/>
  </cols>
  <sheetData>
    <row r="1" spans="1:5" ht="17.25" customHeight="1">
      <c r="A1" s="666" t="s">
        <v>578</v>
      </c>
      <c r="B1" s="666"/>
      <c r="C1" s="666"/>
      <c r="D1" s="666"/>
      <c r="E1" s="666"/>
    </row>
    <row r="2" spans="1:5">
      <c r="A2" s="666" t="s">
        <v>1115</v>
      </c>
      <c r="B2" s="666"/>
      <c r="C2" s="666"/>
      <c r="D2" s="666"/>
      <c r="E2" s="666"/>
    </row>
    <row r="3" spans="1:5">
      <c r="A3" s="666" t="s">
        <v>1116</v>
      </c>
      <c r="B3" s="666"/>
      <c r="C3" s="666"/>
      <c r="D3" s="666"/>
      <c r="E3" s="666"/>
    </row>
    <row r="4" spans="1:5">
      <c r="A4" s="621"/>
      <c r="B4" s="688"/>
      <c r="C4" s="688"/>
      <c r="D4" s="688"/>
      <c r="E4" s="688"/>
    </row>
    <row r="5" spans="1:5">
      <c r="A5" s="621"/>
      <c r="B5" s="219" t="s">
        <v>384</v>
      </c>
      <c r="C5" s="219" t="s">
        <v>519</v>
      </c>
      <c r="D5" s="219" t="s">
        <v>579</v>
      </c>
      <c r="E5" s="435" t="s">
        <v>537</v>
      </c>
    </row>
    <row r="6" spans="1:5" ht="12.75" customHeight="1">
      <c r="A6" s="621" t="s">
        <v>443</v>
      </c>
      <c r="B6" s="600">
        <v>71138.78</v>
      </c>
      <c r="C6" s="600">
        <v>56580.71</v>
      </c>
      <c r="D6" s="600">
        <v>1192.26</v>
      </c>
      <c r="E6" s="601">
        <f>SUM(B6:D6)</f>
        <v>128911.74999999999</v>
      </c>
    </row>
    <row r="7" spans="1:5">
      <c r="A7" s="621" t="s">
        <v>444</v>
      </c>
      <c r="B7" s="590">
        <v>69393.84</v>
      </c>
      <c r="C7" s="590">
        <v>28359.769999999997</v>
      </c>
      <c r="D7" s="590">
        <v>1192.26</v>
      </c>
      <c r="E7" s="481">
        <f t="shared" ref="E7:E17" si="0">SUM(B7:D7)</f>
        <v>98945.869999999981</v>
      </c>
    </row>
    <row r="8" spans="1:5">
      <c r="A8" s="621" t="s">
        <v>445</v>
      </c>
      <c r="B8" s="590">
        <v>69446.28</v>
      </c>
      <c r="C8" s="590">
        <v>28407.489999999998</v>
      </c>
      <c r="D8" s="590">
        <v>1192.26</v>
      </c>
      <c r="E8" s="481">
        <f t="shared" si="0"/>
        <v>99046.029999999984</v>
      </c>
    </row>
    <row r="9" spans="1:5">
      <c r="A9" s="621" t="s">
        <v>446</v>
      </c>
      <c r="B9" s="590">
        <v>69523.17</v>
      </c>
      <c r="C9" s="590">
        <v>28407.489999999998</v>
      </c>
      <c r="D9" s="590">
        <v>1192.26</v>
      </c>
      <c r="E9" s="481">
        <f t="shared" si="0"/>
        <v>99122.92</v>
      </c>
    </row>
    <row r="10" spans="1:5">
      <c r="A10" s="621" t="s">
        <v>447</v>
      </c>
      <c r="B10" s="590">
        <v>107591.99000000002</v>
      </c>
      <c r="C10" s="590">
        <v>28516.400000000001</v>
      </c>
      <c r="D10" s="590">
        <v>1192.26</v>
      </c>
      <c r="E10" s="481">
        <f t="shared" si="0"/>
        <v>137300.65000000002</v>
      </c>
    </row>
    <row r="11" spans="1:5">
      <c r="A11" s="621" t="s">
        <v>448</v>
      </c>
      <c r="B11" s="590">
        <v>74719.66</v>
      </c>
      <c r="C11" s="590">
        <v>28668.68</v>
      </c>
      <c r="D11" s="590">
        <v>1192.26</v>
      </c>
      <c r="E11" s="481">
        <f t="shared" si="0"/>
        <v>104580.59999999999</v>
      </c>
    </row>
    <row r="12" spans="1:5">
      <c r="A12" s="621" t="s">
        <v>449</v>
      </c>
      <c r="B12" s="590">
        <v>112934.22</v>
      </c>
      <c r="C12" s="590">
        <v>99413.860000000015</v>
      </c>
      <c r="D12" s="590">
        <v>1192.26</v>
      </c>
      <c r="E12" s="481">
        <f t="shared" si="0"/>
        <v>213540.34000000003</v>
      </c>
    </row>
    <row r="13" spans="1:5">
      <c r="A13" s="621" t="s">
        <v>450</v>
      </c>
      <c r="B13" s="590">
        <v>87368.99</v>
      </c>
      <c r="C13" s="590">
        <v>59978.359999999993</v>
      </c>
      <c r="D13" s="590">
        <v>1192.26</v>
      </c>
      <c r="E13" s="481">
        <f t="shared" si="0"/>
        <v>148539.61000000002</v>
      </c>
    </row>
    <row r="14" spans="1:5">
      <c r="A14" s="621" t="s">
        <v>451</v>
      </c>
      <c r="B14" s="590">
        <v>94070.1</v>
      </c>
      <c r="C14" s="590">
        <v>42699.08</v>
      </c>
      <c r="D14" s="590">
        <v>1192.26</v>
      </c>
      <c r="E14" s="481">
        <f t="shared" si="0"/>
        <v>137961.44</v>
      </c>
    </row>
    <row r="15" spans="1:5">
      <c r="A15" s="621" t="s">
        <v>452</v>
      </c>
      <c r="B15" s="590">
        <v>85638.49</v>
      </c>
      <c r="C15" s="590">
        <v>43184.729999999996</v>
      </c>
      <c r="D15" s="590">
        <v>1192.26</v>
      </c>
      <c r="E15" s="481">
        <f t="shared" si="0"/>
        <v>130015.48</v>
      </c>
    </row>
    <row r="16" spans="1:5">
      <c r="A16" s="621" t="s">
        <v>453</v>
      </c>
      <c r="B16" s="590">
        <v>85768.810000000012</v>
      </c>
      <c r="C16" s="590">
        <v>43274.25</v>
      </c>
      <c r="D16" s="590">
        <v>1192.26</v>
      </c>
      <c r="E16" s="481">
        <f t="shared" si="0"/>
        <v>130235.32</v>
      </c>
    </row>
    <row r="17" spans="1:5">
      <c r="A17" s="621" t="s">
        <v>454</v>
      </c>
      <c r="B17" s="591">
        <v>85931.380000000019</v>
      </c>
      <c r="C17" s="591">
        <v>43616.479999999996</v>
      </c>
      <c r="D17" s="591">
        <v>1192.26</v>
      </c>
      <c r="E17" s="480">
        <f t="shared" si="0"/>
        <v>130740.12000000001</v>
      </c>
    </row>
    <row r="18" spans="1:5">
      <c r="A18" s="621" t="s">
        <v>992</v>
      </c>
      <c r="B18" s="436">
        <f>SUM(B6:B17)</f>
        <v>1013525.7100000001</v>
      </c>
      <c r="C18" s="436">
        <f>SUM(C6:C17)</f>
        <v>531107.30000000005</v>
      </c>
      <c r="D18" s="436">
        <f>SUM(D6:D17)</f>
        <v>14307.12</v>
      </c>
      <c r="E18" s="436">
        <f>SUM(E6:E17)</f>
        <v>1558940.1300000001</v>
      </c>
    </row>
    <row r="19" spans="1:5" ht="25.5" customHeight="1">
      <c r="A19" s="430"/>
      <c r="B19" s="174"/>
      <c r="C19" s="174"/>
      <c r="D19" s="174"/>
      <c r="E19" s="174"/>
    </row>
    <row r="20" spans="1:5">
      <c r="A20" s="621"/>
      <c r="B20" s="437"/>
      <c r="C20" s="437"/>
      <c r="D20" s="437"/>
      <c r="E20" s="437"/>
    </row>
    <row r="21" spans="1:5">
      <c r="A21" s="177"/>
      <c r="B21" s="177"/>
      <c r="C21" s="177"/>
      <c r="D21" s="177"/>
      <c r="E21" s="177"/>
    </row>
    <row r="22" spans="1:5">
      <c r="A22" s="177"/>
      <c r="B22" s="177"/>
      <c r="C22" s="177"/>
      <c r="D22" s="177"/>
      <c r="E22" s="177"/>
    </row>
  </sheetData>
  <sheetProtection formatCells="0"/>
  <mergeCells count="4">
    <mergeCell ref="A1:E1"/>
    <mergeCell ref="A2:E2"/>
    <mergeCell ref="B4:E4"/>
    <mergeCell ref="A3:E3"/>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12/31/2017</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I18"/>
  <sheetViews>
    <sheetView zoomScaleNormal="100" zoomScaleSheetLayoutView="100" workbookViewId="0">
      <selection sqref="A1:I1"/>
    </sheetView>
  </sheetViews>
  <sheetFormatPr defaultRowHeight="12.75"/>
  <cols>
    <col min="1" max="1" width="3.5703125" style="196" customWidth="1"/>
    <col min="2" max="2" width="1.85546875" style="196" customWidth="1"/>
    <col min="3" max="3" width="3.42578125" style="608" customWidth="1"/>
    <col min="4" max="4" width="37.5703125" style="196" customWidth="1"/>
    <col min="5" max="5" width="10" style="196" customWidth="1"/>
    <col min="6" max="6" width="1.85546875" style="196" customWidth="1"/>
    <col min="7" max="7" width="16.28515625" style="196" customWidth="1"/>
    <col min="8" max="8" width="1.7109375" style="196" customWidth="1"/>
    <col min="9" max="9" width="49.140625" style="196" customWidth="1"/>
    <col min="10" max="16384" width="9.140625" style="196"/>
  </cols>
  <sheetData>
    <row r="1" spans="1:9">
      <c r="A1" s="657" t="s">
        <v>739</v>
      </c>
      <c r="B1" s="657"/>
      <c r="C1" s="657"/>
      <c r="D1" s="657"/>
      <c r="E1" s="657"/>
      <c r="F1" s="657"/>
      <c r="G1" s="657"/>
      <c r="H1" s="657"/>
      <c r="I1" s="657"/>
    </row>
    <row r="2" spans="1:9">
      <c r="A2" s="657" t="s">
        <v>1117</v>
      </c>
      <c r="B2" s="657"/>
      <c r="C2" s="657"/>
      <c r="D2" s="657"/>
      <c r="E2" s="657"/>
      <c r="F2" s="657"/>
      <c r="G2" s="657"/>
      <c r="H2" s="657"/>
      <c r="I2" s="657"/>
    </row>
    <row r="3" spans="1:9">
      <c r="C3" s="609"/>
      <c r="D3" s="609"/>
      <c r="E3" s="609"/>
      <c r="F3" s="609"/>
      <c r="G3" s="609"/>
      <c r="H3" s="609"/>
      <c r="I3" s="609"/>
    </row>
    <row r="4" spans="1:9">
      <c r="C4" s="609"/>
      <c r="D4" s="609"/>
      <c r="E4" s="609"/>
      <c r="F4" s="609"/>
      <c r="G4" s="609"/>
      <c r="H4" s="609"/>
      <c r="I4" s="609"/>
    </row>
    <row r="5" spans="1:9">
      <c r="D5" s="28"/>
      <c r="E5" s="609" t="s">
        <v>537</v>
      </c>
      <c r="F5" s="609"/>
      <c r="G5" s="609" t="s">
        <v>633</v>
      </c>
      <c r="H5" s="609"/>
      <c r="I5" s="609"/>
    </row>
    <row r="6" spans="1:9">
      <c r="C6" s="657" t="s">
        <v>634</v>
      </c>
      <c r="D6" s="657"/>
      <c r="E6" s="609" t="s">
        <v>230</v>
      </c>
      <c r="F6" s="609"/>
      <c r="G6" s="609" t="s">
        <v>635</v>
      </c>
      <c r="H6" s="609"/>
      <c r="I6" s="609" t="s">
        <v>636</v>
      </c>
    </row>
    <row r="7" spans="1:9">
      <c r="D7" s="609" t="s">
        <v>458</v>
      </c>
      <c r="E7" s="609" t="s">
        <v>459</v>
      </c>
      <c r="F7" s="609"/>
      <c r="G7" s="609" t="s">
        <v>637</v>
      </c>
      <c r="H7" s="609"/>
      <c r="I7" s="609" t="s">
        <v>638</v>
      </c>
    </row>
    <row r="8" spans="1:9">
      <c r="A8" s="134">
        <v>1</v>
      </c>
      <c r="B8" s="608"/>
      <c r="C8" s="29" t="s">
        <v>960</v>
      </c>
      <c r="D8" s="85"/>
      <c r="E8" s="17"/>
      <c r="F8" s="17"/>
      <c r="G8" s="17"/>
      <c r="H8" s="17"/>
      <c r="I8" s="30"/>
    </row>
    <row r="9" spans="1:9" ht="12.75" customHeight="1">
      <c r="A9" s="31">
        <f>A8+1</f>
        <v>2</v>
      </c>
      <c r="B9" s="133"/>
      <c r="C9" s="32"/>
      <c r="D9" s="18" t="s">
        <v>740</v>
      </c>
      <c r="E9" s="144">
        <f>'Schedule 4 Workpaper page 3'!E80</f>
        <v>158987</v>
      </c>
      <c r="F9" s="143"/>
      <c r="G9" s="144">
        <f>'Schedule 4 Workpaper page 3'!F73</f>
        <v>31023.509297693283</v>
      </c>
      <c r="H9" s="19"/>
      <c r="I9" s="20" t="s">
        <v>927</v>
      </c>
    </row>
    <row r="10" spans="1:9">
      <c r="A10" s="31">
        <f>A9+1</f>
        <v>3</v>
      </c>
      <c r="B10" s="133"/>
      <c r="C10" s="34"/>
      <c r="D10" s="18" t="s">
        <v>580</v>
      </c>
      <c r="E10" s="145">
        <f>'Schedule 4 Workpaper page 3'!E79</f>
        <v>0</v>
      </c>
      <c r="F10" s="145"/>
      <c r="G10" s="145">
        <f>E10*1</f>
        <v>0</v>
      </c>
      <c r="H10" s="19"/>
      <c r="I10" s="20" t="s">
        <v>157</v>
      </c>
    </row>
    <row r="11" spans="1:9" ht="15.75" customHeight="1">
      <c r="A11" s="31">
        <f>A10+1</f>
        <v>4</v>
      </c>
      <c r="B11" s="133"/>
      <c r="C11" s="35" t="s">
        <v>654</v>
      </c>
      <c r="D11" s="36"/>
      <c r="E11" s="144">
        <f>SUM(E9:E10)</f>
        <v>158987</v>
      </c>
      <c r="F11" s="144"/>
      <c r="G11" s="144">
        <f>SUM(G9:G10)</f>
        <v>31023.509297693283</v>
      </c>
      <c r="H11" s="19"/>
      <c r="I11" s="19" t="s">
        <v>33</v>
      </c>
    </row>
    <row r="12" spans="1:9">
      <c r="D12" s="140"/>
      <c r="E12" s="16"/>
      <c r="F12" s="16"/>
      <c r="G12" s="16"/>
      <c r="H12" s="16"/>
      <c r="I12" s="16"/>
    </row>
    <row r="13" spans="1:9">
      <c r="C13" s="197"/>
      <c r="D13" s="197" t="s">
        <v>961</v>
      </c>
      <c r="E13" s="16"/>
      <c r="F13" s="16"/>
      <c r="G13" s="16"/>
      <c r="H13" s="16"/>
      <c r="I13" s="16"/>
    </row>
    <row r="14" spans="1:9">
      <c r="D14" s="33"/>
      <c r="E14" s="16"/>
      <c r="F14" s="16"/>
      <c r="G14" s="16"/>
      <c r="H14" s="16"/>
      <c r="I14" s="16"/>
    </row>
    <row r="16" spans="1:9">
      <c r="D16" s="33"/>
      <c r="E16" s="16"/>
    </row>
    <row r="18" spans="4:5">
      <c r="D18" s="37"/>
      <c r="E18" s="16"/>
    </row>
  </sheetData>
  <sheetProtection formatCells="0"/>
  <mergeCells count="3">
    <mergeCell ref="C6:D6"/>
    <mergeCell ref="A1:I1"/>
    <mergeCell ref="A2:I2"/>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12/31/2017</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K43"/>
  <sheetViews>
    <sheetView zoomScaleNormal="100" zoomScaleSheetLayoutView="100" workbookViewId="0">
      <selection activeCell="E29" sqref="E29"/>
    </sheetView>
  </sheetViews>
  <sheetFormatPr defaultRowHeight="12.75"/>
  <cols>
    <col min="1" max="1" width="4.7109375" style="152" customWidth="1"/>
    <col min="2" max="2" width="57.85546875" style="152" customWidth="1"/>
    <col min="3" max="3" width="0.42578125" style="152" customWidth="1"/>
    <col min="4" max="4" width="1.5703125" style="152" customWidth="1"/>
    <col min="5" max="5" width="12.7109375" style="152" bestFit="1" customWidth="1"/>
    <col min="6" max="6" width="1.5703125" style="152" customWidth="1"/>
    <col min="7" max="7" width="12.7109375" style="152" bestFit="1" customWidth="1"/>
    <col min="8" max="8" width="1.5703125" style="152" customWidth="1"/>
    <col min="9" max="9" width="11.85546875" style="152" bestFit="1" customWidth="1"/>
    <col min="10" max="10" width="1.42578125" style="152" customWidth="1"/>
    <col min="11" max="11" width="15.7109375" style="152" customWidth="1"/>
    <col min="12" max="16384" width="9.140625" style="152"/>
  </cols>
  <sheetData>
    <row r="1" spans="1:11">
      <c r="A1" s="666" t="s">
        <v>373</v>
      </c>
      <c r="B1" s="666"/>
      <c r="C1" s="666"/>
      <c r="D1" s="666"/>
      <c r="E1" s="666"/>
      <c r="F1" s="666"/>
      <c r="G1" s="666"/>
      <c r="H1" s="666"/>
      <c r="I1" s="666"/>
      <c r="J1" s="666"/>
      <c r="K1" s="666"/>
    </row>
    <row r="2" spans="1:11" ht="12.75" customHeight="1">
      <c r="A2" s="666" t="s">
        <v>374</v>
      </c>
      <c r="B2" s="666"/>
      <c r="C2" s="666"/>
      <c r="D2" s="666"/>
      <c r="E2" s="666"/>
      <c r="F2" s="666"/>
      <c r="G2" s="666"/>
      <c r="H2" s="666"/>
      <c r="I2" s="666"/>
      <c r="J2" s="666"/>
      <c r="K2" s="666"/>
    </row>
    <row r="3" spans="1:11" ht="12.75" customHeight="1">
      <c r="A3" s="666" t="s">
        <v>1158</v>
      </c>
      <c r="B3" s="666"/>
      <c r="C3" s="666"/>
      <c r="D3" s="666"/>
      <c r="E3" s="666"/>
      <c r="F3" s="666"/>
      <c r="G3" s="666"/>
      <c r="H3" s="666"/>
      <c r="I3" s="666"/>
      <c r="J3" s="666"/>
      <c r="K3" s="666"/>
    </row>
    <row r="4" spans="1:11">
      <c r="B4" s="153"/>
      <c r="C4" s="153"/>
      <c r="D4" s="153"/>
      <c r="E4" s="153"/>
      <c r="F4" s="153"/>
      <c r="G4" s="153"/>
      <c r="H4" s="153"/>
      <c r="I4" s="153"/>
      <c r="J4" s="153"/>
      <c r="K4" s="153"/>
    </row>
    <row r="5" spans="1:11">
      <c r="B5" s="612"/>
      <c r="C5" s="612"/>
      <c r="D5" s="612"/>
      <c r="E5" s="612"/>
      <c r="F5" s="612"/>
      <c r="G5" s="612"/>
      <c r="H5" s="612"/>
      <c r="I5" s="612"/>
      <c r="J5" s="612"/>
      <c r="K5" s="612"/>
    </row>
    <row r="6" spans="1:11">
      <c r="B6" s="612"/>
      <c r="C6" s="612"/>
      <c r="D6" s="612"/>
      <c r="E6" s="612"/>
      <c r="F6" s="612"/>
      <c r="G6" s="612"/>
      <c r="H6" s="612"/>
      <c r="I6" s="612"/>
      <c r="J6" s="612"/>
      <c r="K6" s="612"/>
    </row>
    <row r="8" spans="1:11" ht="26.25" customHeight="1">
      <c r="C8" s="430"/>
      <c r="D8" s="621"/>
      <c r="E8" s="431" t="s">
        <v>185</v>
      </c>
      <c r="F8" s="621"/>
      <c r="G8" s="234" t="s">
        <v>184</v>
      </c>
      <c r="H8" s="621"/>
      <c r="I8" s="431" t="s">
        <v>906</v>
      </c>
      <c r="J8" s="621"/>
      <c r="K8" s="431" t="s">
        <v>537</v>
      </c>
    </row>
    <row r="9" spans="1:11">
      <c r="C9" s="621"/>
      <c r="D9" s="621"/>
      <c r="E9" s="621"/>
      <c r="F9" s="621"/>
      <c r="G9" s="621"/>
      <c r="H9" s="621"/>
      <c r="I9" s="621"/>
      <c r="J9" s="621"/>
      <c r="K9" s="621"/>
    </row>
    <row r="10" spans="1:11">
      <c r="A10" s="612"/>
      <c r="B10" s="432"/>
      <c r="C10" s="432"/>
      <c r="D10" s="432"/>
      <c r="E10" s="432"/>
      <c r="F10" s="432"/>
      <c r="G10" s="432"/>
      <c r="H10" s="432"/>
      <c r="I10" s="432"/>
      <c r="J10" s="432"/>
      <c r="K10" s="146"/>
    </row>
    <row r="11" spans="1:11">
      <c r="A11" s="612">
        <v>1</v>
      </c>
      <c r="B11" s="432" t="s">
        <v>1184</v>
      </c>
      <c r="C11" s="432"/>
      <c r="D11" s="432"/>
      <c r="E11" s="146"/>
      <c r="F11" s="592"/>
      <c r="G11" s="146">
        <v>127181.47</v>
      </c>
      <c r="H11" s="433"/>
      <c r="I11" s="634"/>
      <c r="J11" s="432"/>
      <c r="K11" s="146">
        <f>SUM(E11:I11)</f>
        <v>127181.47</v>
      </c>
    </row>
    <row r="12" spans="1:11">
      <c r="A12" s="612">
        <v>1</v>
      </c>
      <c r="B12" s="432" t="s">
        <v>1086</v>
      </c>
      <c r="C12" s="432"/>
      <c r="D12" s="432"/>
      <c r="E12" s="146"/>
      <c r="F12" s="592"/>
      <c r="G12" s="146">
        <v>1696.53</v>
      </c>
      <c r="H12" s="433"/>
      <c r="I12" s="634"/>
      <c r="J12" s="432"/>
      <c r="K12" s="146">
        <f>SUM(E12:I12)</f>
        <v>1696.53</v>
      </c>
    </row>
    <row r="13" spans="1:11">
      <c r="A13" s="612">
        <f>A11+1</f>
        <v>2</v>
      </c>
      <c r="B13" s="432" t="s">
        <v>940</v>
      </c>
      <c r="C13" s="432"/>
      <c r="D13" s="432"/>
      <c r="E13" s="146">
        <v>152620.32999999999</v>
      </c>
      <c r="F13" s="592"/>
      <c r="G13" s="146">
        <v>30251.51</v>
      </c>
      <c r="H13" s="433"/>
      <c r="I13" s="634"/>
      <c r="J13" s="432"/>
      <c r="K13" s="146">
        <f t="shared" ref="K13:K29" si="0">SUM(E13:I13)</f>
        <v>182871.84</v>
      </c>
    </row>
    <row r="14" spans="1:11">
      <c r="A14" s="612">
        <f t="shared" ref="A14:A33" si="1">A13+1</f>
        <v>3</v>
      </c>
      <c r="B14" s="432" t="s">
        <v>1182</v>
      </c>
      <c r="C14" s="432"/>
      <c r="D14" s="432"/>
      <c r="E14" s="146"/>
      <c r="F14" s="592"/>
      <c r="G14" s="146">
        <v>21568.31</v>
      </c>
      <c r="H14" s="433"/>
      <c r="I14" s="634"/>
      <c r="J14" s="432"/>
      <c r="K14" s="146">
        <f t="shared" si="0"/>
        <v>21568.31</v>
      </c>
    </row>
    <row r="15" spans="1:11">
      <c r="A15" s="612">
        <f t="shared" si="1"/>
        <v>4</v>
      </c>
      <c r="B15" s="432" t="s">
        <v>1185</v>
      </c>
      <c r="C15" s="432"/>
      <c r="D15" s="432"/>
      <c r="E15" s="146"/>
      <c r="F15" s="592"/>
      <c r="G15" s="146">
        <v>291</v>
      </c>
      <c r="H15" s="433"/>
      <c r="I15" s="634"/>
      <c r="J15" s="432"/>
      <c r="K15" s="146">
        <f>SUM(E15:I15)</f>
        <v>291</v>
      </c>
    </row>
    <row r="16" spans="1:11">
      <c r="A16" s="612">
        <f>A14+1</f>
        <v>4</v>
      </c>
      <c r="B16" s="432" t="s">
        <v>1186</v>
      </c>
      <c r="C16" s="432"/>
      <c r="D16" s="432"/>
      <c r="E16" s="146"/>
      <c r="F16" s="592"/>
      <c r="G16" s="146">
        <v>916.97</v>
      </c>
      <c r="H16" s="433"/>
      <c r="I16" s="634"/>
      <c r="J16" s="432"/>
      <c r="K16" s="146">
        <f>SUM(E16:I16)</f>
        <v>916.97</v>
      </c>
    </row>
    <row r="17" spans="1:11">
      <c r="A17" s="612">
        <f>A15+1</f>
        <v>5</v>
      </c>
      <c r="B17" s="432" t="s">
        <v>830</v>
      </c>
      <c r="C17" s="432"/>
      <c r="D17" s="432"/>
      <c r="E17" s="146">
        <v>1032979.91</v>
      </c>
      <c r="F17" s="592"/>
      <c r="G17" s="146">
        <v>2500179.98</v>
      </c>
      <c r="H17" s="433"/>
      <c r="I17" s="634"/>
      <c r="J17" s="432"/>
      <c r="K17" s="146">
        <f t="shared" si="0"/>
        <v>3533159.89</v>
      </c>
    </row>
    <row r="18" spans="1:11">
      <c r="A18" s="612">
        <f t="shared" si="1"/>
        <v>6</v>
      </c>
      <c r="B18" s="432" t="s">
        <v>1024</v>
      </c>
      <c r="C18" s="432"/>
      <c r="D18" s="432"/>
      <c r="E18" s="146"/>
      <c r="F18" s="592"/>
      <c r="G18" s="146">
        <v>419.04</v>
      </c>
      <c r="H18" s="433"/>
      <c r="I18" s="634"/>
      <c r="J18" s="432"/>
      <c r="K18" s="146">
        <f t="shared" si="0"/>
        <v>419.04</v>
      </c>
    </row>
    <row r="19" spans="1:11">
      <c r="A19" s="612">
        <f t="shared" si="1"/>
        <v>7</v>
      </c>
      <c r="B19" s="432" t="s">
        <v>1187</v>
      </c>
      <c r="C19" s="432"/>
      <c r="D19" s="432"/>
      <c r="E19" s="146"/>
      <c r="F19" s="592"/>
      <c r="G19" s="146">
        <v>781.5</v>
      </c>
      <c r="H19" s="433"/>
      <c r="I19" s="634"/>
      <c r="J19" s="432"/>
      <c r="K19" s="146">
        <f>SUM(E19:I19)</f>
        <v>781.5</v>
      </c>
    </row>
    <row r="20" spans="1:11">
      <c r="A20" s="612">
        <f>A18+1</f>
        <v>7</v>
      </c>
      <c r="B20" s="432" t="s">
        <v>1022</v>
      </c>
      <c r="C20" s="432"/>
      <c r="D20" s="432"/>
      <c r="E20" s="146">
        <v>5281.12</v>
      </c>
      <c r="F20" s="592"/>
      <c r="G20" s="146">
        <v>616982.18999999994</v>
      </c>
      <c r="H20" s="433"/>
      <c r="I20" s="634"/>
      <c r="J20" s="432"/>
      <c r="K20" s="146">
        <f t="shared" si="0"/>
        <v>622263.30999999994</v>
      </c>
    </row>
    <row r="21" spans="1:11">
      <c r="A21" s="612">
        <f>A18+1</f>
        <v>7</v>
      </c>
      <c r="B21" s="432" t="s">
        <v>1183</v>
      </c>
      <c r="C21" s="432"/>
      <c r="D21" s="432"/>
      <c r="E21" s="146"/>
      <c r="F21" s="592"/>
      <c r="G21" s="146">
        <v>7250.45</v>
      </c>
      <c r="H21" s="433"/>
      <c r="I21" s="634"/>
      <c r="J21" s="432"/>
      <c r="K21" s="146">
        <f>SUM(E21:I21)</f>
        <v>7250.45</v>
      </c>
    </row>
    <row r="22" spans="1:11">
      <c r="A22" s="612">
        <f>A20+1</f>
        <v>8</v>
      </c>
      <c r="B22" s="432" t="s">
        <v>831</v>
      </c>
      <c r="C22" s="432"/>
      <c r="D22" s="432"/>
      <c r="E22" s="146"/>
      <c r="F22" s="592"/>
      <c r="G22" s="146">
        <v>4105.4799999999996</v>
      </c>
      <c r="H22" s="433"/>
      <c r="I22" s="634"/>
      <c r="J22" s="432"/>
      <c r="K22" s="146">
        <f>SUM(E22:I22)</f>
        <v>4105.4799999999996</v>
      </c>
    </row>
    <row r="23" spans="1:11">
      <c r="A23" s="612">
        <f t="shared" si="1"/>
        <v>9</v>
      </c>
      <c r="B23" s="432" t="s">
        <v>1023</v>
      </c>
      <c r="C23" s="432"/>
      <c r="D23" s="432"/>
      <c r="E23" s="146"/>
      <c r="F23" s="592"/>
      <c r="G23" s="146">
        <v>171995.03</v>
      </c>
      <c r="H23" s="433"/>
      <c r="I23" s="634"/>
      <c r="J23" s="432"/>
      <c r="K23" s="146">
        <f t="shared" si="0"/>
        <v>171995.03</v>
      </c>
    </row>
    <row r="24" spans="1:11">
      <c r="A24" s="612">
        <f t="shared" si="1"/>
        <v>10</v>
      </c>
      <c r="B24" s="432" t="s">
        <v>1025</v>
      </c>
      <c r="C24" s="432"/>
      <c r="D24" s="432"/>
      <c r="E24" s="146">
        <v>337433.95</v>
      </c>
      <c r="F24" s="592"/>
      <c r="G24" s="146">
        <v>2173229.87</v>
      </c>
      <c r="H24" s="433"/>
      <c r="I24" s="634"/>
      <c r="J24" s="432"/>
      <c r="K24" s="146">
        <f>SUM(E24:I24)</f>
        <v>2510663.8200000003</v>
      </c>
    </row>
    <row r="25" spans="1:11">
      <c r="A25" s="612">
        <f t="shared" si="1"/>
        <v>11</v>
      </c>
      <c r="B25" s="432" t="s">
        <v>1083</v>
      </c>
      <c r="C25" s="432"/>
      <c r="D25" s="432"/>
      <c r="E25" s="146">
        <v>159502.5</v>
      </c>
      <c r="F25" s="592"/>
      <c r="G25" s="146"/>
      <c r="H25" s="433"/>
      <c r="I25" s="634"/>
      <c r="J25" s="432"/>
      <c r="K25" s="146">
        <f t="shared" si="0"/>
        <v>159502.5</v>
      </c>
    </row>
    <row r="26" spans="1:11">
      <c r="A26" s="612">
        <f t="shared" si="1"/>
        <v>12</v>
      </c>
      <c r="B26" s="432" t="s">
        <v>1084</v>
      </c>
      <c r="C26" s="432"/>
      <c r="D26" s="432"/>
      <c r="E26" s="146"/>
      <c r="F26" s="592"/>
      <c r="G26" s="146">
        <v>32902.31</v>
      </c>
      <c r="H26" s="433"/>
      <c r="I26" s="634"/>
      <c r="J26" s="432"/>
      <c r="K26" s="146">
        <f t="shared" si="0"/>
        <v>32902.31</v>
      </c>
    </row>
    <row r="27" spans="1:11">
      <c r="A27" s="612">
        <f t="shared" si="1"/>
        <v>13</v>
      </c>
      <c r="B27" s="432" t="s">
        <v>1085</v>
      </c>
      <c r="C27" s="432"/>
      <c r="D27" s="432"/>
      <c r="E27" s="146"/>
      <c r="F27" s="592"/>
      <c r="G27" s="146">
        <v>217995.88</v>
      </c>
      <c r="H27" s="433"/>
      <c r="I27" s="634"/>
      <c r="J27" s="432"/>
      <c r="K27" s="146">
        <f t="shared" si="0"/>
        <v>217995.88</v>
      </c>
    </row>
    <row r="28" spans="1:11">
      <c r="A28" s="612">
        <f t="shared" si="1"/>
        <v>14</v>
      </c>
      <c r="B28" s="432" t="s">
        <v>941</v>
      </c>
      <c r="C28" s="432"/>
      <c r="D28" s="432"/>
      <c r="E28" s="146">
        <v>12255.57</v>
      </c>
      <c r="F28" s="592"/>
      <c r="G28" s="146">
        <v>1296.47</v>
      </c>
      <c r="H28" s="433"/>
      <c r="I28" s="634"/>
      <c r="J28" s="432"/>
      <c r="K28" s="146">
        <f t="shared" si="0"/>
        <v>13552.039999999999</v>
      </c>
    </row>
    <row r="29" spans="1:11">
      <c r="A29" s="612">
        <f t="shared" si="1"/>
        <v>15</v>
      </c>
      <c r="B29" s="432" t="s">
        <v>928</v>
      </c>
      <c r="C29" s="432"/>
      <c r="D29" s="432"/>
      <c r="E29" s="146">
        <f>6484402.4+2589823.39</f>
        <v>9074225.790000001</v>
      </c>
      <c r="F29" s="592"/>
      <c r="G29" s="146">
        <f>2047331.3+4046846.69</f>
        <v>6094177.9900000002</v>
      </c>
      <c r="H29" s="433"/>
      <c r="I29" s="146"/>
      <c r="J29" s="432"/>
      <c r="K29" s="146">
        <f t="shared" si="0"/>
        <v>15168403.780000001</v>
      </c>
    </row>
    <row r="30" spans="1:11">
      <c r="A30" s="612">
        <f t="shared" si="1"/>
        <v>16</v>
      </c>
      <c r="B30" s="432"/>
      <c r="C30" s="432"/>
      <c r="D30" s="432"/>
      <c r="E30" s="432"/>
      <c r="F30" s="432"/>
      <c r="G30" s="432"/>
      <c r="H30" s="432"/>
      <c r="I30" s="432"/>
      <c r="J30" s="432"/>
      <c r="K30" s="146"/>
    </row>
    <row r="31" spans="1:11">
      <c r="A31" s="612">
        <f t="shared" si="1"/>
        <v>17</v>
      </c>
      <c r="B31" s="432" t="s">
        <v>537</v>
      </c>
      <c r="C31" s="146"/>
      <c r="D31" s="432"/>
      <c r="E31" s="434">
        <f>SUM(E11:E29)</f>
        <v>10774299.170000002</v>
      </c>
      <c r="F31" s="432"/>
      <c r="G31" s="434">
        <f>SUM(G11:G29)</f>
        <v>12003221.98</v>
      </c>
      <c r="H31" s="432"/>
      <c r="I31" s="434">
        <f>SUM(I11:I29)</f>
        <v>0</v>
      </c>
      <c r="J31" s="146">
        <f>SUM(J10:J28)</f>
        <v>0</v>
      </c>
      <c r="K31" s="146"/>
    </row>
    <row r="32" spans="1:11">
      <c r="A32" s="612">
        <f t="shared" si="1"/>
        <v>18</v>
      </c>
      <c r="K32" s="177"/>
    </row>
    <row r="33" spans="1:11">
      <c r="A33" s="612">
        <f t="shared" si="1"/>
        <v>19</v>
      </c>
      <c r="B33" s="432" t="s">
        <v>35</v>
      </c>
      <c r="K33" s="195">
        <f>SUM(K11:K29)</f>
        <v>22777521.150000002</v>
      </c>
    </row>
    <row r="34" spans="1:11">
      <c r="K34" s="177"/>
    </row>
    <row r="35" spans="1:11">
      <c r="K35" s="177"/>
    </row>
    <row r="36" spans="1:11">
      <c r="E36" s="192"/>
      <c r="F36" s="192"/>
      <c r="G36" s="192"/>
      <c r="H36" s="192"/>
      <c r="I36" s="192"/>
      <c r="J36" s="192"/>
      <c r="K36" s="192"/>
    </row>
    <row r="37" spans="1:11">
      <c r="B37" s="152" t="s">
        <v>929</v>
      </c>
    </row>
    <row r="38" spans="1:11">
      <c r="B38" s="152" t="s">
        <v>1026</v>
      </c>
    </row>
    <row r="41" spans="1:11">
      <c r="B41" s="177"/>
    </row>
    <row r="43" spans="1:11">
      <c r="B43" s="153"/>
    </row>
  </sheetData>
  <sheetProtection formatCells="0"/>
  <mergeCells count="3">
    <mergeCell ref="A1:K1"/>
    <mergeCell ref="A2:K2"/>
    <mergeCell ref="A3:K3"/>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12/31/2017</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N20"/>
  <sheetViews>
    <sheetView zoomScaleNormal="100" zoomScaleSheetLayoutView="100" workbookViewId="0">
      <selection sqref="A1:E1"/>
    </sheetView>
  </sheetViews>
  <sheetFormatPr defaultRowHeight="12.75"/>
  <cols>
    <col min="1" max="1" width="2.85546875" style="177" customWidth="1"/>
    <col min="2" max="2" width="32.42578125" style="177" bestFit="1" customWidth="1"/>
    <col min="3" max="3" width="9.140625" style="177"/>
    <col min="4" max="4" width="11.5703125" style="177" bestFit="1" customWidth="1"/>
    <col min="5" max="5" width="10.140625" style="177" bestFit="1" customWidth="1"/>
    <col min="6" max="6" width="11.140625" style="177" bestFit="1" customWidth="1"/>
    <col min="7" max="16384" width="9.140625" style="177"/>
  </cols>
  <sheetData>
    <row r="1" spans="1:14">
      <c r="A1" s="688" t="s">
        <v>377</v>
      </c>
      <c r="B1" s="688"/>
      <c r="C1" s="688"/>
      <c r="D1" s="688"/>
      <c r="E1" s="688"/>
      <c r="F1" s="348"/>
      <c r="G1" s="348"/>
      <c r="H1" s="348"/>
      <c r="I1" s="348"/>
      <c r="J1" s="348"/>
      <c r="K1" s="348"/>
      <c r="L1" s="348"/>
      <c r="M1" s="348"/>
      <c r="N1" s="348"/>
    </row>
    <row r="2" spans="1:14">
      <c r="A2" s="688" t="s">
        <v>375</v>
      </c>
      <c r="B2" s="688"/>
      <c r="C2" s="688"/>
      <c r="D2" s="688"/>
      <c r="E2" s="688"/>
      <c r="F2" s="348"/>
      <c r="G2" s="348"/>
      <c r="H2" s="348"/>
      <c r="I2" s="348"/>
      <c r="J2" s="348"/>
      <c r="K2" s="348"/>
      <c r="L2" s="348"/>
      <c r="M2" s="348"/>
      <c r="N2" s="348"/>
    </row>
    <row r="3" spans="1:14">
      <c r="A3" s="688" t="s">
        <v>1159</v>
      </c>
      <c r="B3" s="688"/>
      <c r="C3" s="688"/>
      <c r="D3" s="688"/>
      <c r="E3" s="688"/>
      <c r="F3" s="348"/>
      <c r="G3" s="348"/>
      <c r="H3" s="348"/>
      <c r="I3" s="348"/>
      <c r="J3" s="348"/>
      <c r="K3" s="348"/>
      <c r="L3" s="348"/>
      <c r="M3" s="348"/>
      <c r="N3" s="348"/>
    </row>
    <row r="4" spans="1:14" s="152" customFormat="1">
      <c r="A4" s="688" t="str">
        <f>'Schedule 4 Workpaper page 4'!A3:E3</f>
        <v>Retail Schedule 72 Recorded in Account 454</v>
      </c>
      <c r="B4" s="688"/>
      <c r="C4" s="688"/>
      <c r="D4" s="688"/>
      <c r="E4" s="688"/>
      <c r="F4" s="348"/>
      <c r="G4" s="348"/>
      <c r="H4" s="348"/>
      <c r="I4" s="348"/>
      <c r="J4" s="348"/>
      <c r="K4" s="348"/>
      <c r="L4" s="348"/>
      <c r="M4" s="348"/>
      <c r="N4" s="348"/>
    </row>
    <row r="6" spans="1:14">
      <c r="D6" s="241">
        <v>2017</v>
      </c>
    </row>
    <row r="7" spans="1:14">
      <c r="A7" s="621">
        <v>1</v>
      </c>
      <c r="B7" s="177" t="s">
        <v>930</v>
      </c>
      <c r="D7" s="90">
        <v>11745.06</v>
      </c>
      <c r="F7" s="90"/>
    </row>
    <row r="8" spans="1:14">
      <c r="A8" s="621">
        <f>A7+1</f>
        <v>2</v>
      </c>
      <c r="B8" s="177" t="s">
        <v>1032</v>
      </c>
      <c r="D8" s="260">
        <v>14211252</v>
      </c>
      <c r="F8" s="260"/>
    </row>
    <row r="9" spans="1:14">
      <c r="A9" s="621">
        <f t="shared" ref="A9:A10" si="0">A8+1</f>
        <v>3</v>
      </c>
      <c r="B9" s="177" t="s">
        <v>940</v>
      </c>
      <c r="D9" s="260">
        <v>5573040</v>
      </c>
      <c r="F9" s="90"/>
    </row>
    <row r="10" spans="1:14">
      <c r="A10" s="621">
        <f t="shared" si="0"/>
        <v>4</v>
      </c>
      <c r="B10" s="177" t="s">
        <v>1343</v>
      </c>
      <c r="D10" s="260">
        <v>2814385.2</v>
      </c>
      <c r="F10" s="260"/>
    </row>
    <row r="11" spans="1:14">
      <c r="A11" s="621">
        <f t="shared" ref="A11:A15" si="1">A10+1</f>
        <v>5</v>
      </c>
      <c r="B11" s="177" t="s">
        <v>915</v>
      </c>
      <c r="D11" s="260">
        <v>964003.57</v>
      </c>
      <c r="F11" s="260"/>
    </row>
    <row r="12" spans="1:14">
      <c r="A12" s="621">
        <f t="shared" si="1"/>
        <v>6</v>
      </c>
      <c r="B12" s="177" t="s">
        <v>978</v>
      </c>
      <c r="D12" s="260">
        <v>6488497</v>
      </c>
      <c r="E12" s="621"/>
      <c r="F12" s="260"/>
    </row>
    <row r="13" spans="1:14">
      <c r="A13" s="621">
        <f t="shared" si="1"/>
        <v>7</v>
      </c>
      <c r="B13" s="177" t="s">
        <v>916</v>
      </c>
      <c r="D13" s="260">
        <v>1822197</v>
      </c>
      <c r="F13" s="429"/>
    </row>
    <row r="14" spans="1:14">
      <c r="A14" s="621">
        <f t="shared" si="1"/>
        <v>8</v>
      </c>
      <c r="D14" s="174"/>
    </row>
    <row r="15" spans="1:14">
      <c r="A15" s="621">
        <f t="shared" si="1"/>
        <v>9</v>
      </c>
      <c r="B15" s="177" t="s">
        <v>537</v>
      </c>
      <c r="D15" s="90">
        <f>SUM(D7:D14)</f>
        <v>31885119.830000002</v>
      </c>
      <c r="F15" s="90"/>
    </row>
    <row r="16" spans="1:14">
      <c r="D16" s="90"/>
    </row>
    <row r="20" spans="2:2">
      <c r="B20" s="503"/>
    </row>
  </sheetData>
  <sheetProtection formatCells="0"/>
  <mergeCells count="4">
    <mergeCell ref="A1:E1"/>
    <mergeCell ref="A2:E2"/>
    <mergeCell ref="A3:E3"/>
    <mergeCell ref="A4:E4"/>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12/31/2017</oddHeader>
  </headerFooter>
  <ignoredErrors>
    <ignoredError sqref="D15" formulaRange="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J57"/>
  <sheetViews>
    <sheetView zoomScale="90" zoomScaleNormal="90" zoomScaleSheetLayoutView="100" workbookViewId="0">
      <selection sqref="A1:E1"/>
    </sheetView>
  </sheetViews>
  <sheetFormatPr defaultRowHeight="12.75"/>
  <cols>
    <col min="1" max="1" width="16.140625" style="158" customWidth="1"/>
    <col min="2" max="2" width="15.85546875" style="612" customWidth="1"/>
    <col min="3" max="3" width="13.85546875" style="612" customWidth="1"/>
    <col min="4" max="4" width="18.7109375" style="612" customWidth="1"/>
    <col min="5" max="5" width="15.85546875" style="612" customWidth="1"/>
    <col min="6" max="6" width="17.5703125" style="152" customWidth="1"/>
    <col min="7" max="7" width="15.42578125" style="152" customWidth="1"/>
    <col min="8" max="8" width="15" style="152" customWidth="1"/>
    <col min="9" max="16384" width="9.140625" style="152"/>
  </cols>
  <sheetData>
    <row r="1" spans="1:8">
      <c r="A1" s="666" t="s">
        <v>30</v>
      </c>
      <c r="B1" s="666"/>
      <c r="C1" s="666"/>
      <c r="D1" s="666"/>
      <c r="E1" s="666"/>
      <c r="F1" s="666"/>
      <c r="G1" s="666"/>
      <c r="H1" s="666"/>
    </row>
    <row r="2" spans="1:8">
      <c r="A2" s="666" t="s">
        <v>376</v>
      </c>
      <c r="B2" s="666"/>
      <c r="C2" s="666"/>
      <c r="D2" s="666"/>
      <c r="E2" s="666"/>
      <c r="F2" s="666"/>
      <c r="G2" s="666"/>
      <c r="H2" s="666"/>
    </row>
    <row r="3" spans="1:8">
      <c r="F3" s="612"/>
      <c r="G3" s="612"/>
      <c r="H3" s="612"/>
    </row>
    <row r="4" spans="1:8">
      <c r="C4" s="613"/>
      <c r="F4" s="612"/>
      <c r="G4" s="612"/>
      <c r="H4" s="612"/>
    </row>
    <row r="5" spans="1:8">
      <c r="A5" s="696" t="s">
        <v>931</v>
      </c>
      <c r="B5" s="668"/>
      <c r="C5" s="668"/>
      <c r="D5" s="668"/>
      <c r="E5" s="668"/>
      <c r="F5" s="697"/>
      <c r="G5" s="239"/>
      <c r="H5" s="239"/>
    </row>
    <row r="6" spans="1:8">
      <c r="A6" s="217"/>
      <c r="B6" s="621"/>
      <c r="C6" s="621" t="s">
        <v>455</v>
      </c>
      <c r="D6" s="621"/>
      <c r="E6" s="621"/>
      <c r="F6" s="622" t="s">
        <v>401</v>
      </c>
      <c r="G6" s="177"/>
      <c r="H6" s="177"/>
    </row>
    <row r="7" spans="1:8">
      <c r="A7" s="217"/>
      <c r="B7" s="621" t="s">
        <v>455</v>
      </c>
      <c r="C7" s="621" t="s">
        <v>456</v>
      </c>
      <c r="D7" s="621" t="s">
        <v>777</v>
      </c>
      <c r="E7" s="621" t="s">
        <v>518</v>
      </c>
      <c r="F7" s="622" t="s">
        <v>788</v>
      </c>
      <c r="G7" s="621"/>
      <c r="H7" s="621"/>
    </row>
    <row r="8" spans="1:8">
      <c r="A8" s="217"/>
      <c r="B8" s="219" t="s">
        <v>791</v>
      </c>
      <c r="C8" s="219" t="s">
        <v>457</v>
      </c>
      <c r="D8" s="219" t="s">
        <v>531</v>
      </c>
      <c r="E8" s="219" t="s">
        <v>519</v>
      </c>
      <c r="F8" s="220" t="s">
        <v>789</v>
      </c>
      <c r="G8" s="219"/>
      <c r="H8" s="219"/>
    </row>
    <row r="9" spans="1:8">
      <c r="A9" s="217"/>
      <c r="B9" s="621" t="s">
        <v>778</v>
      </c>
      <c r="C9" s="621" t="s">
        <v>779</v>
      </c>
      <c r="D9" s="621" t="s">
        <v>780</v>
      </c>
      <c r="E9" s="621" t="s">
        <v>781</v>
      </c>
      <c r="F9" s="622" t="s">
        <v>782</v>
      </c>
      <c r="G9" s="177"/>
      <c r="H9" s="621"/>
    </row>
    <row r="10" spans="1:8">
      <c r="A10" s="217" t="s">
        <v>443</v>
      </c>
      <c r="B10" s="621">
        <v>2177</v>
      </c>
      <c r="C10" s="228">
        <v>261</v>
      </c>
      <c r="D10" s="621">
        <v>973</v>
      </c>
      <c r="E10" s="621">
        <v>325</v>
      </c>
      <c r="F10" s="622">
        <f t="shared" ref="F10:F21" si="0">SUM(B10:E10)</f>
        <v>3736</v>
      </c>
      <c r="G10" s="621"/>
      <c r="H10" s="621"/>
    </row>
    <row r="11" spans="1:8">
      <c r="A11" s="217" t="s">
        <v>444</v>
      </c>
      <c r="B11" s="621">
        <v>1598</v>
      </c>
      <c r="C11" s="228">
        <v>219</v>
      </c>
      <c r="D11" s="621">
        <v>973</v>
      </c>
      <c r="E11" s="621">
        <v>498</v>
      </c>
      <c r="F11" s="622">
        <f t="shared" si="0"/>
        <v>3288</v>
      </c>
      <c r="G11" s="621"/>
      <c r="H11" s="621"/>
    </row>
    <row r="12" spans="1:8">
      <c r="A12" s="217" t="s">
        <v>445</v>
      </c>
      <c r="B12" s="621">
        <v>1309</v>
      </c>
      <c r="C12" s="228">
        <v>185</v>
      </c>
      <c r="D12" s="621">
        <v>973</v>
      </c>
      <c r="E12" s="621">
        <v>423</v>
      </c>
      <c r="F12" s="622">
        <f t="shared" si="0"/>
        <v>2890</v>
      </c>
      <c r="G12" s="621"/>
      <c r="H12" s="621"/>
    </row>
    <row r="13" spans="1:8">
      <c r="A13" s="217" t="s">
        <v>446</v>
      </c>
      <c r="B13" s="621">
        <v>1066</v>
      </c>
      <c r="C13" s="228">
        <v>178</v>
      </c>
      <c r="D13" s="621">
        <v>973</v>
      </c>
      <c r="E13" s="621">
        <v>596</v>
      </c>
      <c r="F13" s="622">
        <f t="shared" si="0"/>
        <v>2813</v>
      </c>
      <c r="G13" s="621"/>
      <c r="H13" s="621"/>
    </row>
    <row r="14" spans="1:8">
      <c r="A14" s="217" t="s">
        <v>447</v>
      </c>
      <c r="B14" s="621">
        <v>2031</v>
      </c>
      <c r="C14" s="228">
        <v>287</v>
      </c>
      <c r="D14" s="621">
        <v>973</v>
      </c>
      <c r="E14" s="621">
        <v>549</v>
      </c>
      <c r="F14" s="622">
        <f t="shared" si="0"/>
        <v>3840</v>
      </c>
      <c r="G14" s="621"/>
      <c r="H14" s="621"/>
    </row>
    <row r="15" spans="1:8">
      <c r="A15" s="217" t="s">
        <v>448</v>
      </c>
      <c r="B15" s="621">
        <v>2724</v>
      </c>
      <c r="C15" s="228">
        <v>357</v>
      </c>
      <c r="D15" s="621">
        <v>973</v>
      </c>
      <c r="E15" s="621">
        <v>414</v>
      </c>
      <c r="F15" s="622">
        <f t="shared" si="0"/>
        <v>4468</v>
      </c>
      <c r="G15" s="621"/>
      <c r="H15" s="621"/>
    </row>
    <row r="16" spans="1:8">
      <c r="A16" s="217" t="s">
        <v>449</v>
      </c>
      <c r="B16" s="621">
        <v>3163</v>
      </c>
      <c r="C16" s="228">
        <v>352</v>
      </c>
      <c r="D16" s="621">
        <v>973</v>
      </c>
      <c r="E16" s="621">
        <v>225</v>
      </c>
      <c r="F16" s="622">
        <f t="shared" si="0"/>
        <v>4713</v>
      </c>
      <c r="G16" s="621"/>
      <c r="H16" s="621"/>
    </row>
    <row r="17" spans="1:10">
      <c r="A17" s="217" t="s">
        <v>450</v>
      </c>
      <c r="B17" s="621">
        <v>2934</v>
      </c>
      <c r="C17" s="228">
        <v>339</v>
      </c>
      <c r="D17" s="621">
        <v>973</v>
      </c>
      <c r="E17" s="621">
        <v>218</v>
      </c>
      <c r="F17" s="622">
        <f t="shared" si="0"/>
        <v>4464</v>
      </c>
      <c r="G17" s="621"/>
      <c r="H17" s="621"/>
    </row>
    <row r="18" spans="1:10">
      <c r="A18" s="217" t="s">
        <v>451</v>
      </c>
      <c r="B18" s="621">
        <v>2445</v>
      </c>
      <c r="C18" s="228">
        <v>283</v>
      </c>
      <c r="D18" s="621">
        <v>973</v>
      </c>
      <c r="E18" s="621">
        <v>217</v>
      </c>
      <c r="F18" s="622">
        <f t="shared" si="0"/>
        <v>3918</v>
      </c>
      <c r="G18" s="621"/>
      <c r="H18" s="621"/>
    </row>
    <row r="19" spans="1:10">
      <c r="A19" s="217" t="s">
        <v>452</v>
      </c>
      <c r="B19" s="621">
        <v>1442</v>
      </c>
      <c r="C19" s="228">
        <v>185</v>
      </c>
      <c r="D19" s="621">
        <v>973</v>
      </c>
      <c r="E19" s="621">
        <v>286</v>
      </c>
      <c r="F19" s="622">
        <f t="shared" si="0"/>
        <v>2886</v>
      </c>
      <c r="G19" s="621"/>
      <c r="H19" s="621"/>
    </row>
    <row r="20" spans="1:10">
      <c r="A20" s="217" t="s">
        <v>453</v>
      </c>
      <c r="B20" s="621">
        <v>1555</v>
      </c>
      <c r="C20" s="228">
        <v>199</v>
      </c>
      <c r="D20" s="621">
        <v>973</v>
      </c>
      <c r="E20" s="621">
        <v>284</v>
      </c>
      <c r="F20" s="622">
        <f t="shared" si="0"/>
        <v>3011</v>
      </c>
      <c r="G20" s="621"/>
      <c r="H20" s="621"/>
    </row>
    <row r="21" spans="1:10">
      <c r="A21" s="217" t="s">
        <v>454</v>
      </c>
      <c r="B21" s="621">
        <v>1506</v>
      </c>
      <c r="C21" s="228">
        <v>218</v>
      </c>
      <c r="D21" s="621">
        <v>973</v>
      </c>
      <c r="E21" s="621">
        <v>591</v>
      </c>
      <c r="F21" s="622">
        <f t="shared" si="0"/>
        <v>3288</v>
      </c>
      <c r="G21" s="621"/>
      <c r="H21" s="621"/>
    </row>
    <row r="22" spans="1:10">
      <c r="A22" s="217"/>
      <c r="B22" s="621"/>
      <c r="C22" s="621"/>
      <c r="D22" s="621"/>
      <c r="E22" s="621"/>
      <c r="F22" s="622"/>
      <c r="G22" s="177"/>
      <c r="H22" s="177"/>
      <c r="J22" s="502"/>
    </row>
    <row r="23" spans="1:10">
      <c r="A23" s="217" t="s">
        <v>520</v>
      </c>
      <c r="B23" s="621">
        <f>ROUND(SUM(B10:B21)/12,0)</f>
        <v>1996</v>
      </c>
      <c r="C23" s="621">
        <f>ROUND(SUM(C10:C22)/12,0)</f>
        <v>255</v>
      </c>
      <c r="D23" s="621">
        <f>ROUND(SUM(D10:D22)/12,0)</f>
        <v>973</v>
      </c>
      <c r="E23" s="621">
        <f>ROUND(SUM(E10:E22)/12,0)</f>
        <v>386</v>
      </c>
      <c r="F23" s="229">
        <f>SUM(F10:F21)/12</f>
        <v>3609.5833333333335</v>
      </c>
      <c r="G23" s="228"/>
      <c r="H23" s="228"/>
      <c r="J23" s="502"/>
    </row>
    <row r="24" spans="1:10">
      <c r="A24" s="236"/>
      <c r="B24" s="234"/>
      <c r="C24" s="234"/>
      <c r="D24" s="234"/>
      <c r="E24" s="234"/>
      <c r="F24" s="595"/>
      <c r="G24" s="621"/>
      <c r="H24" s="621"/>
    </row>
    <row r="25" spans="1:10">
      <c r="B25" s="666"/>
      <c r="C25" s="666"/>
      <c r="D25" s="666"/>
      <c r="E25" s="666"/>
      <c r="F25" s="666"/>
      <c r="G25" s="666"/>
      <c r="H25" s="666"/>
    </row>
    <row r="26" spans="1:10">
      <c r="A26" s="690"/>
      <c r="B26" s="690"/>
      <c r="C26" s="690"/>
      <c r="D26" s="690"/>
      <c r="E26" s="690"/>
      <c r="F26" s="690"/>
      <c r="G26" s="690"/>
      <c r="H26" s="177"/>
    </row>
    <row r="27" spans="1:10">
      <c r="A27" s="362"/>
      <c r="B27" s="363"/>
      <c r="C27" s="363"/>
      <c r="D27" s="363"/>
      <c r="E27" s="363"/>
      <c r="F27" s="363"/>
      <c r="G27" s="363"/>
      <c r="H27" s="364"/>
    </row>
    <row r="28" spans="1:10">
      <c r="A28" s="689" t="s">
        <v>193</v>
      </c>
      <c r="B28" s="690"/>
      <c r="C28" s="690"/>
      <c r="D28" s="690"/>
      <c r="E28" s="690"/>
      <c r="F28" s="690"/>
      <c r="G28" s="690"/>
      <c r="H28" s="691"/>
    </row>
    <row r="29" spans="1:10">
      <c r="A29" s="365"/>
      <c r="B29" s="177"/>
      <c r="C29" s="177"/>
      <c r="D29" s="177"/>
      <c r="E29" s="177"/>
      <c r="F29" s="177"/>
      <c r="G29" s="177" t="s">
        <v>401</v>
      </c>
      <c r="H29" s="218"/>
    </row>
    <row r="30" spans="1:10">
      <c r="A30" s="365"/>
      <c r="B30" s="614"/>
      <c r="C30" s="614" t="s">
        <v>455</v>
      </c>
      <c r="D30" s="614"/>
      <c r="E30" s="614"/>
      <c r="F30" s="363"/>
      <c r="G30" s="363"/>
      <c r="H30" s="364"/>
    </row>
    <row r="31" spans="1:10">
      <c r="A31" s="365"/>
      <c r="B31" s="621" t="s">
        <v>455</v>
      </c>
      <c r="C31" s="621" t="s">
        <v>456</v>
      </c>
      <c r="D31" s="621" t="s">
        <v>777</v>
      </c>
      <c r="E31" s="621"/>
      <c r="F31" s="621" t="s">
        <v>795</v>
      </c>
      <c r="G31" s="177"/>
      <c r="H31" s="622"/>
    </row>
    <row r="32" spans="1:10">
      <c r="A32" s="365"/>
      <c r="B32" s="219" t="s">
        <v>31</v>
      </c>
      <c r="C32" s="219" t="s">
        <v>457</v>
      </c>
      <c r="D32" s="219" t="s">
        <v>531</v>
      </c>
      <c r="E32" s="219" t="s">
        <v>442</v>
      </c>
      <c r="F32" s="219" t="s">
        <v>793</v>
      </c>
      <c r="G32" s="219" t="s">
        <v>335</v>
      </c>
      <c r="H32" s="220" t="s">
        <v>442</v>
      </c>
    </row>
    <row r="33" spans="1:8">
      <c r="A33" s="365"/>
      <c r="B33" s="621" t="s">
        <v>783</v>
      </c>
      <c r="C33" s="621" t="s">
        <v>784</v>
      </c>
      <c r="D33" s="366" t="s">
        <v>15</v>
      </c>
      <c r="E33" s="621" t="s">
        <v>787</v>
      </c>
      <c r="F33" s="621" t="s">
        <v>786</v>
      </c>
      <c r="G33" s="621" t="s">
        <v>785</v>
      </c>
      <c r="H33" s="622" t="s">
        <v>794</v>
      </c>
    </row>
    <row r="34" spans="1:8">
      <c r="A34" s="365" t="s">
        <v>443</v>
      </c>
      <c r="B34" s="228">
        <f>'Schedule 5'!B11</f>
        <v>2502</v>
      </c>
      <c r="C34" s="228">
        <f>'Schedule 5'!C11</f>
        <v>261</v>
      </c>
      <c r="D34" s="228">
        <f>'Schedule 5'!D11</f>
        <v>973</v>
      </c>
      <c r="E34" s="228">
        <f>'Schedule 5'!E11</f>
        <v>3736</v>
      </c>
      <c r="F34" s="228">
        <v>0</v>
      </c>
      <c r="G34" s="228">
        <f>'Schedule 5'!F11</f>
        <v>330</v>
      </c>
      <c r="H34" s="229">
        <f>'Schedule 5'!G11</f>
        <v>4066</v>
      </c>
    </row>
    <row r="35" spans="1:8">
      <c r="A35" s="365" t="s">
        <v>444</v>
      </c>
      <c r="B35" s="228">
        <f>'Schedule 5'!B12</f>
        <v>2096</v>
      </c>
      <c r="C35" s="228">
        <f>'Schedule 5'!C12</f>
        <v>219</v>
      </c>
      <c r="D35" s="228">
        <f>'Schedule 5'!D12</f>
        <v>973</v>
      </c>
      <c r="E35" s="228">
        <f>'Schedule 5'!E12</f>
        <v>3288</v>
      </c>
      <c r="F35" s="228">
        <v>0</v>
      </c>
      <c r="G35" s="228">
        <f>'Schedule 5'!F12</f>
        <v>330</v>
      </c>
      <c r="H35" s="229">
        <f>'Schedule 5'!G12</f>
        <v>3618</v>
      </c>
    </row>
    <row r="36" spans="1:8">
      <c r="A36" s="365" t="s">
        <v>445</v>
      </c>
      <c r="B36" s="228">
        <f>'Schedule 5'!B13</f>
        <v>1732</v>
      </c>
      <c r="C36" s="228">
        <f>'Schedule 5'!C13</f>
        <v>185</v>
      </c>
      <c r="D36" s="228">
        <f>'Schedule 5'!D13</f>
        <v>973</v>
      </c>
      <c r="E36" s="228">
        <f>'Schedule 5'!E13</f>
        <v>2890</v>
      </c>
      <c r="F36" s="228">
        <v>0</v>
      </c>
      <c r="G36" s="228">
        <f>'Schedule 5'!F13</f>
        <v>330</v>
      </c>
      <c r="H36" s="229">
        <f>'Schedule 5'!G13</f>
        <v>3220</v>
      </c>
    </row>
    <row r="37" spans="1:8">
      <c r="A37" s="365" t="s">
        <v>446</v>
      </c>
      <c r="B37" s="228">
        <f>'Schedule 5'!B14</f>
        <v>1662</v>
      </c>
      <c r="C37" s="228">
        <f>'Schedule 5'!C14</f>
        <v>178</v>
      </c>
      <c r="D37" s="228">
        <f>'Schedule 5'!D14</f>
        <v>973</v>
      </c>
      <c r="E37" s="228">
        <f>'Schedule 5'!E14</f>
        <v>2813</v>
      </c>
      <c r="F37" s="228">
        <v>0</v>
      </c>
      <c r="G37" s="228">
        <f>'Schedule 5'!F14</f>
        <v>330</v>
      </c>
      <c r="H37" s="229">
        <f>'Schedule 5'!G14</f>
        <v>3143</v>
      </c>
    </row>
    <row r="38" spans="1:8">
      <c r="A38" s="365" t="s">
        <v>447</v>
      </c>
      <c r="B38" s="228">
        <f>'Schedule 5'!B15</f>
        <v>2580</v>
      </c>
      <c r="C38" s="228">
        <f>'Schedule 5'!C15</f>
        <v>287</v>
      </c>
      <c r="D38" s="228">
        <f>'Schedule 5'!D15</f>
        <v>973</v>
      </c>
      <c r="E38" s="228">
        <f>'Schedule 5'!E15</f>
        <v>3840</v>
      </c>
      <c r="F38" s="228">
        <v>0</v>
      </c>
      <c r="G38" s="228">
        <f>'Schedule 5'!F15</f>
        <v>330</v>
      </c>
      <c r="H38" s="229">
        <f>'Schedule 5'!G15</f>
        <v>4170</v>
      </c>
    </row>
    <row r="39" spans="1:8">
      <c r="A39" s="365" t="s">
        <v>448</v>
      </c>
      <c r="B39" s="228">
        <f>'Schedule 5'!B16</f>
        <v>3138</v>
      </c>
      <c r="C39" s="228">
        <f>'Schedule 5'!C16</f>
        <v>357</v>
      </c>
      <c r="D39" s="228">
        <f>'Schedule 5'!D16</f>
        <v>973</v>
      </c>
      <c r="E39" s="228">
        <f>'Schedule 5'!E16</f>
        <v>4468</v>
      </c>
      <c r="F39" s="228">
        <v>0</v>
      </c>
      <c r="G39" s="228">
        <f>'Schedule 5'!F16</f>
        <v>330</v>
      </c>
      <c r="H39" s="229">
        <f>'Schedule 5'!G16</f>
        <v>4798</v>
      </c>
    </row>
    <row r="40" spans="1:8">
      <c r="A40" s="365" t="s">
        <v>449</v>
      </c>
      <c r="B40" s="228">
        <f>'Schedule 5'!B17</f>
        <v>3388</v>
      </c>
      <c r="C40" s="228">
        <f>'Schedule 5'!C17</f>
        <v>352</v>
      </c>
      <c r="D40" s="228">
        <f>'Schedule 5'!D17</f>
        <v>973</v>
      </c>
      <c r="E40" s="228">
        <f>'Schedule 5'!E17</f>
        <v>4713</v>
      </c>
      <c r="F40" s="228">
        <v>0</v>
      </c>
      <c r="G40" s="228">
        <f>'Schedule 5'!F17</f>
        <v>330</v>
      </c>
      <c r="H40" s="229">
        <f>'Schedule 5'!G17</f>
        <v>5043</v>
      </c>
    </row>
    <row r="41" spans="1:8">
      <c r="A41" s="365" t="s">
        <v>450</v>
      </c>
      <c r="B41" s="228">
        <f>'Schedule 5'!B18</f>
        <v>3152</v>
      </c>
      <c r="C41" s="228">
        <f>'Schedule 5'!C18</f>
        <v>339</v>
      </c>
      <c r="D41" s="228">
        <f>'Schedule 5'!D18</f>
        <v>973</v>
      </c>
      <c r="E41" s="228">
        <f>'Schedule 5'!E18</f>
        <v>4464</v>
      </c>
      <c r="F41" s="228">
        <v>0</v>
      </c>
      <c r="G41" s="228">
        <f>'Schedule 5'!F18</f>
        <v>330</v>
      </c>
      <c r="H41" s="229">
        <f>'Schedule 5'!G18</f>
        <v>4794</v>
      </c>
    </row>
    <row r="42" spans="1:8">
      <c r="A42" s="365" t="s">
        <v>451</v>
      </c>
      <c r="B42" s="228">
        <f>'Schedule 5'!B19</f>
        <v>2662</v>
      </c>
      <c r="C42" s="228">
        <f>'Schedule 5'!C19</f>
        <v>283</v>
      </c>
      <c r="D42" s="228">
        <f>'Schedule 5'!D19</f>
        <v>973</v>
      </c>
      <c r="E42" s="228">
        <f>'Schedule 5'!E19</f>
        <v>3918</v>
      </c>
      <c r="F42" s="228">
        <v>0</v>
      </c>
      <c r="G42" s="228">
        <f>'Schedule 5'!F19</f>
        <v>330</v>
      </c>
      <c r="H42" s="229">
        <f>'Schedule 5'!G19</f>
        <v>4248</v>
      </c>
    </row>
    <row r="43" spans="1:8">
      <c r="A43" s="365" t="s">
        <v>452</v>
      </c>
      <c r="B43" s="228">
        <f>'Schedule 5'!B20</f>
        <v>1728</v>
      </c>
      <c r="C43" s="228">
        <f>'Schedule 5'!C20</f>
        <v>185</v>
      </c>
      <c r="D43" s="228">
        <f>'Schedule 5'!D20</f>
        <v>973</v>
      </c>
      <c r="E43" s="228">
        <f>'Schedule 5'!E20</f>
        <v>2886</v>
      </c>
      <c r="F43" s="228">
        <v>0</v>
      </c>
      <c r="G43" s="228">
        <f>'Schedule 5'!F20</f>
        <v>330</v>
      </c>
      <c r="H43" s="229">
        <f>'Schedule 5'!G20</f>
        <v>3216</v>
      </c>
    </row>
    <row r="44" spans="1:8">
      <c r="A44" s="365" t="s">
        <v>453</v>
      </c>
      <c r="B44" s="228">
        <f>'Schedule 5'!B21</f>
        <v>1839</v>
      </c>
      <c r="C44" s="228">
        <f>'Schedule 5'!C21</f>
        <v>199</v>
      </c>
      <c r="D44" s="228">
        <f>'Schedule 5'!D21</f>
        <v>973</v>
      </c>
      <c r="E44" s="228">
        <f>'Schedule 5'!E21</f>
        <v>3011</v>
      </c>
      <c r="F44" s="228">
        <v>0</v>
      </c>
      <c r="G44" s="228">
        <f>'Schedule 5'!F21</f>
        <v>330</v>
      </c>
      <c r="H44" s="229">
        <f>'Schedule 5'!G21</f>
        <v>3341</v>
      </c>
    </row>
    <row r="45" spans="1:8">
      <c r="A45" s="365" t="s">
        <v>454</v>
      </c>
      <c r="B45" s="228">
        <f>'Schedule 5'!B22</f>
        <v>2097</v>
      </c>
      <c r="C45" s="228">
        <f>'Schedule 5'!C22</f>
        <v>218</v>
      </c>
      <c r="D45" s="228">
        <f>'Schedule 5'!D22</f>
        <v>973</v>
      </c>
      <c r="E45" s="228">
        <f>'Schedule 5'!E22</f>
        <v>3288</v>
      </c>
      <c r="F45" s="228">
        <v>0</v>
      </c>
      <c r="G45" s="228">
        <f>'Schedule 5'!F22</f>
        <v>330</v>
      </c>
      <c r="H45" s="229">
        <f>'Schedule 5'!G22</f>
        <v>3618</v>
      </c>
    </row>
    <row r="46" spans="1:8">
      <c r="A46" s="365"/>
      <c r="B46" s="177"/>
      <c r="C46" s="177"/>
      <c r="D46" s="177"/>
      <c r="E46" s="177"/>
      <c r="F46" s="177"/>
      <c r="G46" s="177"/>
      <c r="H46" s="229"/>
    </row>
    <row r="47" spans="1:8">
      <c r="A47" s="365" t="s">
        <v>115</v>
      </c>
      <c r="B47" s="228">
        <f t="shared" ref="B47:G47" si="1">ROUND(SUM(B34:B45)/12,0)</f>
        <v>2381</v>
      </c>
      <c r="C47" s="228">
        <f t="shared" si="1"/>
        <v>255</v>
      </c>
      <c r="D47" s="228">
        <f t="shared" si="1"/>
        <v>973</v>
      </c>
      <c r="E47" s="228">
        <f t="shared" si="1"/>
        <v>3610</v>
      </c>
      <c r="F47" s="228">
        <f t="shared" si="1"/>
        <v>0</v>
      </c>
      <c r="G47" s="228">
        <f t="shared" si="1"/>
        <v>330</v>
      </c>
      <c r="H47" s="229">
        <f>'Schedule 5'!G24</f>
        <v>3939.5833333333335</v>
      </c>
    </row>
    <row r="48" spans="1:8">
      <c r="A48" s="365"/>
      <c r="B48" s="177"/>
      <c r="C48" s="177"/>
      <c r="D48" s="177"/>
      <c r="E48" s="177"/>
      <c r="F48" s="177"/>
      <c r="G48" s="177"/>
      <c r="H48" s="622"/>
    </row>
    <row r="49" spans="1:8">
      <c r="A49" s="692" t="s">
        <v>1046</v>
      </c>
      <c r="B49" s="693"/>
      <c r="C49" s="693"/>
      <c r="D49" s="693"/>
      <c r="E49" s="693"/>
      <c r="F49" s="693"/>
      <c r="G49" s="693"/>
      <c r="H49" s="218"/>
    </row>
    <row r="50" spans="1:8" s="612" customFormat="1">
      <c r="A50" s="692"/>
      <c r="B50" s="693"/>
      <c r="C50" s="693"/>
      <c r="D50" s="693"/>
      <c r="E50" s="693"/>
      <c r="F50" s="693"/>
      <c r="G50" s="693"/>
      <c r="H50" s="622"/>
    </row>
    <row r="51" spans="1:8">
      <c r="A51" s="692"/>
      <c r="B51" s="693"/>
      <c r="C51" s="693"/>
      <c r="D51" s="693"/>
      <c r="E51" s="693"/>
      <c r="F51" s="693"/>
      <c r="G51" s="693"/>
      <c r="H51" s="218"/>
    </row>
    <row r="52" spans="1:8">
      <c r="A52" s="692"/>
      <c r="B52" s="693"/>
      <c r="C52" s="693"/>
      <c r="D52" s="693"/>
      <c r="E52" s="693"/>
      <c r="F52" s="693"/>
      <c r="G52" s="693"/>
      <c r="H52" s="218"/>
    </row>
    <row r="53" spans="1:8">
      <c r="A53" s="692"/>
      <c r="B53" s="693"/>
      <c r="C53" s="693"/>
      <c r="D53" s="693"/>
      <c r="E53" s="693"/>
      <c r="F53" s="693"/>
      <c r="G53" s="693"/>
      <c r="H53" s="218"/>
    </row>
    <row r="54" spans="1:8" ht="40.5" customHeight="1">
      <c r="A54" s="694"/>
      <c r="B54" s="695"/>
      <c r="C54" s="695"/>
      <c r="D54" s="695"/>
      <c r="E54" s="695"/>
      <c r="F54" s="695"/>
      <c r="G54" s="695"/>
      <c r="H54" s="367"/>
    </row>
    <row r="55" spans="1:8">
      <c r="A55" s="180"/>
      <c r="B55" s="621"/>
      <c r="C55" s="621"/>
      <c r="D55" s="621"/>
      <c r="E55" s="621"/>
      <c r="F55" s="177"/>
      <c r="G55" s="177"/>
      <c r="H55" s="177"/>
    </row>
    <row r="56" spans="1:8">
      <c r="A56" s="178"/>
      <c r="B56" s="621"/>
      <c r="C56" s="621"/>
      <c r="D56" s="621"/>
      <c r="E56" s="621"/>
      <c r="F56" s="177"/>
      <c r="G56" s="177"/>
      <c r="H56" s="177"/>
    </row>
    <row r="57" spans="1:8">
      <c r="A57" s="663"/>
      <c r="B57" s="663"/>
      <c r="C57" s="663"/>
      <c r="D57" s="663"/>
      <c r="E57" s="663"/>
      <c r="F57" s="663"/>
      <c r="G57" s="663"/>
      <c r="H57" s="663"/>
    </row>
  </sheetData>
  <sheetProtection formatCells="0"/>
  <mergeCells count="9">
    <mergeCell ref="A57:H57"/>
    <mergeCell ref="A28:H28"/>
    <mergeCell ref="A1:H1"/>
    <mergeCell ref="A2:H2"/>
    <mergeCell ref="A26:G26"/>
    <mergeCell ref="B25:H25"/>
    <mergeCell ref="A49:G53"/>
    <mergeCell ref="A54:G54"/>
    <mergeCell ref="A5:F5"/>
  </mergeCells>
  <phoneticPr fontId="18" type="noConversion"/>
  <printOptions horizontalCentered="1"/>
  <pageMargins left="0.75" right="0.75" top="1" bottom="1" header="0.5" footer="0.5"/>
  <pageSetup scale="70" orientation="portrait" r:id="rId1"/>
  <headerFooter alignWithMargins="0">
    <oddHeader>&amp;CIDAHO POWER COMPANY
Transmission Cost of Service Rate Development
12 Months Ended 12/31/2017</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O44"/>
  <sheetViews>
    <sheetView zoomScale="75" zoomScaleNormal="75" zoomScaleSheetLayoutView="80" zoomScalePageLayoutView="75" workbookViewId="0">
      <selection sqref="A1:O1"/>
    </sheetView>
  </sheetViews>
  <sheetFormatPr defaultColWidth="11" defaultRowHeight="12.75"/>
  <cols>
    <col min="1" max="1" width="4" style="422" customWidth="1"/>
    <col min="2" max="2" width="42.85546875" style="422" customWidth="1"/>
    <col min="3" max="3" width="11.5703125" style="428" customWidth="1"/>
    <col min="4" max="4" width="10" style="422" customWidth="1"/>
    <col min="5" max="5" width="10.28515625" style="422" customWidth="1"/>
    <col min="6" max="6" width="11.5703125" style="422" customWidth="1"/>
    <col min="7" max="7" width="13.28515625" style="422" customWidth="1"/>
    <col min="8" max="11" width="11.5703125" style="422" customWidth="1"/>
    <col min="12" max="12" width="13.42578125" style="422" customWidth="1"/>
    <col min="13" max="13" width="11.5703125" style="422" customWidth="1"/>
    <col min="14" max="14" width="13.42578125" style="422" bestFit="1" customWidth="1"/>
    <col min="15" max="15" width="11.5703125" style="422" customWidth="1"/>
    <col min="16" max="16384" width="11" style="422"/>
  </cols>
  <sheetData>
    <row r="1" spans="1:15" s="152" customFormat="1">
      <c r="A1" s="666" t="s">
        <v>932</v>
      </c>
      <c r="B1" s="666"/>
      <c r="C1" s="666"/>
      <c r="D1" s="666"/>
      <c r="E1" s="666"/>
      <c r="F1" s="666"/>
      <c r="G1" s="666"/>
      <c r="H1" s="666"/>
      <c r="I1" s="666"/>
      <c r="J1" s="666"/>
      <c r="K1" s="666"/>
      <c r="L1" s="666"/>
      <c r="M1" s="666"/>
      <c r="N1" s="666"/>
      <c r="O1" s="666"/>
    </row>
    <row r="2" spans="1:15" s="152" customFormat="1">
      <c r="A2" s="666" t="s">
        <v>933</v>
      </c>
      <c r="B2" s="666"/>
      <c r="C2" s="666"/>
      <c r="D2" s="666"/>
      <c r="E2" s="666"/>
      <c r="F2" s="666"/>
      <c r="G2" s="666"/>
      <c r="H2" s="666"/>
      <c r="I2" s="666"/>
      <c r="J2" s="666"/>
      <c r="K2" s="666"/>
      <c r="L2" s="666"/>
      <c r="M2" s="666"/>
      <c r="N2" s="666"/>
      <c r="O2" s="666"/>
    </row>
    <row r="3" spans="1:15" s="488" customFormat="1">
      <c r="A3" s="666" t="s">
        <v>892</v>
      </c>
      <c r="B3" s="666"/>
      <c r="C3" s="666"/>
      <c r="D3" s="666"/>
      <c r="E3" s="666"/>
      <c r="F3" s="666"/>
      <c r="G3" s="666"/>
      <c r="H3" s="666"/>
      <c r="I3" s="666"/>
      <c r="J3" s="666"/>
      <c r="K3" s="666"/>
      <c r="L3" s="666"/>
      <c r="M3" s="666"/>
      <c r="N3" s="666"/>
      <c r="O3" s="666"/>
    </row>
    <row r="4" spans="1:15" s="152" customFormat="1">
      <c r="A4" s="613"/>
      <c r="B4" s="613"/>
      <c r="C4" s="613"/>
      <c r="D4" s="613"/>
      <c r="E4" s="613"/>
      <c r="F4" s="613"/>
      <c r="G4" s="613"/>
      <c r="H4" s="613"/>
      <c r="I4" s="613"/>
      <c r="J4" s="613"/>
      <c r="K4" s="613"/>
      <c r="L4" s="613"/>
      <c r="M4" s="613"/>
      <c r="N4" s="613"/>
      <c r="O4" s="613"/>
    </row>
    <row r="5" spans="1:15" ht="15">
      <c r="A5" s="571"/>
      <c r="B5" s="535" t="s">
        <v>844</v>
      </c>
      <c r="C5" s="535" t="s">
        <v>845</v>
      </c>
      <c r="D5" s="535" t="s">
        <v>846</v>
      </c>
      <c r="E5" s="535" t="s">
        <v>847</v>
      </c>
      <c r="F5" s="535" t="s">
        <v>848</v>
      </c>
      <c r="G5" s="535" t="s">
        <v>849</v>
      </c>
      <c r="H5" s="535" t="s">
        <v>850</v>
      </c>
      <c r="I5" s="535" t="s">
        <v>851</v>
      </c>
      <c r="J5" s="535" t="s">
        <v>852</v>
      </c>
      <c r="K5" s="535" t="s">
        <v>853</v>
      </c>
      <c r="L5" s="535" t="s">
        <v>854</v>
      </c>
      <c r="M5" s="535" t="s">
        <v>855</v>
      </c>
      <c r="N5" s="535" t="s">
        <v>856</v>
      </c>
      <c r="O5" s="535" t="s">
        <v>857</v>
      </c>
    </row>
    <row r="6" spans="1:15" ht="13.5" customHeight="1">
      <c r="A6" s="571"/>
      <c r="B6" s="536"/>
      <c r="C6" s="536"/>
      <c r="D6" s="537"/>
      <c r="E6" s="537"/>
      <c r="F6" s="536"/>
      <c r="G6" s="536"/>
      <c r="H6" s="538"/>
      <c r="I6" s="538" t="s">
        <v>542</v>
      </c>
      <c r="J6" s="538"/>
      <c r="K6" s="538"/>
      <c r="L6" s="538" t="s">
        <v>858</v>
      </c>
      <c r="M6" s="538"/>
      <c r="N6" s="538" t="s">
        <v>859</v>
      </c>
      <c r="O6" s="538" t="s">
        <v>860</v>
      </c>
    </row>
    <row r="7" spans="1:15" ht="15">
      <c r="A7" s="571"/>
      <c r="B7" s="571"/>
      <c r="C7" s="571"/>
      <c r="D7" s="537"/>
      <c r="E7" s="537"/>
      <c r="F7" s="536"/>
      <c r="G7" s="536"/>
      <c r="H7" s="538"/>
      <c r="I7" s="423"/>
      <c r="J7" s="536"/>
      <c r="K7" s="536"/>
      <c r="L7" s="538" t="s">
        <v>543</v>
      </c>
      <c r="M7" s="538"/>
      <c r="N7" s="538" t="s">
        <v>541</v>
      </c>
      <c r="O7" s="536"/>
    </row>
    <row r="8" spans="1:15" ht="15">
      <c r="A8" s="538" t="s">
        <v>544</v>
      </c>
      <c r="B8" s="571"/>
      <c r="C8" s="538" t="s">
        <v>861</v>
      </c>
      <c r="D8" s="539" t="s">
        <v>862</v>
      </c>
      <c r="E8" s="539" t="s">
        <v>863</v>
      </c>
      <c r="F8" s="698" t="s">
        <v>545</v>
      </c>
      <c r="G8" s="698"/>
      <c r="H8" s="538"/>
      <c r="I8" s="536" t="s">
        <v>864</v>
      </c>
      <c r="J8" s="538" t="s">
        <v>865</v>
      </c>
      <c r="K8" s="538" t="s">
        <v>546</v>
      </c>
      <c r="L8" s="538" t="s">
        <v>547</v>
      </c>
      <c r="M8" s="538"/>
      <c r="N8" s="538" t="s">
        <v>548</v>
      </c>
      <c r="O8" s="538" t="s">
        <v>549</v>
      </c>
    </row>
    <row r="9" spans="1:15" ht="15">
      <c r="A9" s="540" t="s">
        <v>550</v>
      </c>
      <c r="B9" s="540" t="s">
        <v>527</v>
      </c>
      <c r="C9" s="540" t="s">
        <v>554</v>
      </c>
      <c r="D9" s="541" t="s">
        <v>866</v>
      </c>
      <c r="E9" s="541" t="s">
        <v>866</v>
      </c>
      <c r="F9" s="540" t="s">
        <v>528</v>
      </c>
      <c r="G9" s="540" t="s">
        <v>529</v>
      </c>
      <c r="H9" s="540" t="s">
        <v>551</v>
      </c>
      <c r="I9" s="540" t="s">
        <v>530</v>
      </c>
      <c r="J9" s="540" t="s">
        <v>867</v>
      </c>
      <c r="K9" s="540" t="s">
        <v>552</v>
      </c>
      <c r="L9" s="540" t="s">
        <v>553</v>
      </c>
      <c r="M9" s="540" t="s">
        <v>868</v>
      </c>
      <c r="N9" s="540" t="s">
        <v>555</v>
      </c>
      <c r="O9" s="540" t="s">
        <v>556</v>
      </c>
    </row>
    <row r="10" spans="1:15" ht="15">
      <c r="A10" s="571"/>
      <c r="B10" s="542" t="s">
        <v>557</v>
      </c>
      <c r="C10" s="542"/>
      <c r="D10" s="424"/>
      <c r="E10" s="424"/>
      <c r="F10" s="571"/>
      <c r="G10" s="571"/>
      <c r="H10" s="571"/>
      <c r="I10" s="571"/>
      <c r="J10" s="571"/>
      <c r="K10" s="571"/>
      <c r="L10" s="571"/>
      <c r="M10" s="571"/>
      <c r="N10" s="571"/>
      <c r="O10" s="571"/>
    </row>
    <row r="11" spans="1:15" ht="15">
      <c r="A11" s="538">
        <v>1</v>
      </c>
      <c r="B11" s="543" t="s">
        <v>842</v>
      </c>
      <c r="C11" s="522">
        <v>0.06</v>
      </c>
      <c r="D11" s="544">
        <v>37575</v>
      </c>
      <c r="E11" s="544">
        <v>48533</v>
      </c>
      <c r="F11" s="545">
        <v>100000</v>
      </c>
      <c r="G11" s="545">
        <v>100000</v>
      </c>
      <c r="H11" s="533">
        <v>99.456000000000003</v>
      </c>
      <c r="I11" s="546">
        <f t="shared" ref="I11:I26" si="0">IF($H11&lt;100,$G11*(100-H11),0)/100</f>
        <v>543.99999999999693</v>
      </c>
      <c r="J11" s="572">
        <v>750</v>
      </c>
      <c r="K11" s="572">
        <v>441.21600000000001</v>
      </c>
      <c r="L11" s="547">
        <f t="shared" ref="L11:L18" si="1">(G11-I11-J11-K11)</f>
        <v>98264.784</v>
      </c>
      <c r="M11" s="548">
        <f>YIELD(D11,E11,C11,(L11/F11*100),100,2)</f>
        <v>6.127109345623246E-2</v>
      </c>
      <c r="N11" s="572">
        <f>G11*C11</f>
        <v>6000</v>
      </c>
      <c r="O11" s="573">
        <f>(N11/L11*100)</f>
        <v>6.1059514464510505</v>
      </c>
    </row>
    <row r="12" spans="1:15" ht="15">
      <c r="A12" s="538">
        <f>A11+1</f>
        <v>2</v>
      </c>
      <c r="B12" s="543" t="s">
        <v>558</v>
      </c>
      <c r="C12" s="522">
        <v>5.5E-2</v>
      </c>
      <c r="D12" s="544">
        <v>37754</v>
      </c>
      <c r="E12" s="544">
        <v>48670</v>
      </c>
      <c r="F12" s="545">
        <v>70000</v>
      </c>
      <c r="G12" s="545">
        <v>70000</v>
      </c>
      <c r="H12" s="533">
        <v>99.947999999999993</v>
      </c>
      <c r="I12" s="534">
        <f t="shared" si="0"/>
        <v>36.400000000004695</v>
      </c>
      <c r="J12" s="572">
        <v>525</v>
      </c>
      <c r="K12" s="572">
        <v>3810.2468900000003</v>
      </c>
      <c r="L12" s="547">
        <f t="shared" si="1"/>
        <v>65628.353109999996</v>
      </c>
      <c r="M12" s="548">
        <f t="shared" ref="M12:M20" si="2">YIELD(D12,E12,C12,(L12/F12*100),100,2)</f>
        <v>5.9489763374888566E-2</v>
      </c>
      <c r="N12" s="572">
        <f t="shared" ref="N12:N23" si="3">G12*C12</f>
        <v>3850</v>
      </c>
      <c r="O12" s="573">
        <f t="shared" ref="O12:O26" si="4">(N12/L12*100)</f>
        <v>5.8663669245927847</v>
      </c>
    </row>
    <row r="13" spans="1:15" ht="15">
      <c r="A13" s="538">
        <f t="shared" ref="A13:A26" si="5">A12+1</f>
        <v>3</v>
      </c>
      <c r="B13" s="543" t="s">
        <v>559</v>
      </c>
      <c r="C13" s="522">
        <v>5.5E-2</v>
      </c>
      <c r="D13" s="544">
        <v>38072</v>
      </c>
      <c r="E13" s="544">
        <v>49018</v>
      </c>
      <c r="F13" s="545">
        <v>50000</v>
      </c>
      <c r="G13" s="545">
        <v>50000</v>
      </c>
      <c r="H13" s="533">
        <v>99.233000000000004</v>
      </c>
      <c r="I13" s="534">
        <f t="shared" si="0"/>
        <v>383.49999999999795</v>
      </c>
      <c r="J13" s="547">
        <v>375</v>
      </c>
      <c r="K13" s="572">
        <v>149.41932</v>
      </c>
      <c r="L13" s="547">
        <f t="shared" si="1"/>
        <v>49092.080679999999</v>
      </c>
      <c r="M13" s="548">
        <f t="shared" si="2"/>
        <v>5.6259085786513958E-2</v>
      </c>
      <c r="N13" s="572">
        <f t="shared" si="3"/>
        <v>2750</v>
      </c>
      <c r="O13" s="573">
        <f t="shared" si="4"/>
        <v>5.6017181629059447</v>
      </c>
    </row>
    <row r="14" spans="1:15" ht="15">
      <c r="A14" s="538">
        <f t="shared" si="5"/>
        <v>4</v>
      </c>
      <c r="B14" s="543" t="s">
        <v>560</v>
      </c>
      <c r="C14" s="522">
        <v>5.8749999999999997E-2</v>
      </c>
      <c r="D14" s="544">
        <v>38215</v>
      </c>
      <c r="E14" s="544">
        <v>49171</v>
      </c>
      <c r="F14" s="549">
        <v>55000</v>
      </c>
      <c r="G14" s="549">
        <v>55000</v>
      </c>
      <c r="H14" s="550">
        <v>98.64</v>
      </c>
      <c r="I14" s="534">
        <f t="shared" si="0"/>
        <v>747.99999999999966</v>
      </c>
      <c r="J14" s="547">
        <v>412.5</v>
      </c>
      <c r="K14" s="572">
        <v>173.25947999999997</v>
      </c>
      <c r="L14" s="547">
        <f t="shared" si="1"/>
        <v>53666.240519999999</v>
      </c>
      <c r="M14" s="548">
        <f t="shared" si="2"/>
        <v>6.0511966969041583E-2</v>
      </c>
      <c r="N14" s="572">
        <f t="shared" si="3"/>
        <v>3231.25</v>
      </c>
      <c r="O14" s="573">
        <f t="shared" si="4"/>
        <v>6.0210105434827277</v>
      </c>
    </row>
    <row r="15" spans="1:15" ht="15">
      <c r="A15" s="538">
        <f t="shared" si="5"/>
        <v>5</v>
      </c>
      <c r="B15" s="543" t="s">
        <v>561</v>
      </c>
      <c r="C15" s="522">
        <v>5.2999999999999999E-2</v>
      </c>
      <c r="D15" s="544">
        <v>38590</v>
      </c>
      <c r="E15" s="544">
        <v>49536</v>
      </c>
      <c r="F15" s="545">
        <v>60000</v>
      </c>
      <c r="G15" s="545">
        <v>60000</v>
      </c>
      <c r="H15" s="533">
        <v>99.319000000000003</v>
      </c>
      <c r="I15" s="534">
        <f t="shared" si="0"/>
        <v>408.59999999999837</v>
      </c>
      <c r="J15" s="572">
        <v>450</v>
      </c>
      <c r="K15" s="572">
        <v>3399.7387599999997</v>
      </c>
      <c r="L15" s="547">
        <f t="shared" si="1"/>
        <v>55741.661240000001</v>
      </c>
      <c r="M15" s="548">
        <f t="shared" si="2"/>
        <v>5.8021037371971895E-2</v>
      </c>
      <c r="N15" s="572">
        <f t="shared" si="3"/>
        <v>3180</v>
      </c>
      <c r="O15" s="573">
        <f t="shared" si="4"/>
        <v>5.7048891785055806</v>
      </c>
    </row>
    <row r="16" spans="1:15" ht="15">
      <c r="A16" s="538">
        <f t="shared" si="5"/>
        <v>6</v>
      </c>
      <c r="B16" s="543" t="s">
        <v>833</v>
      </c>
      <c r="C16" s="522">
        <v>6.3E-2</v>
      </c>
      <c r="D16" s="544">
        <v>39255</v>
      </c>
      <c r="E16" s="544">
        <v>50206</v>
      </c>
      <c r="F16" s="545">
        <v>140000</v>
      </c>
      <c r="G16" s="545">
        <v>140000</v>
      </c>
      <c r="H16" s="533">
        <v>99.801000000000002</v>
      </c>
      <c r="I16" s="534">
        <f t="shared" si="0"/>
        <v>278.59999999999729</v>
      </c>
      <c r="J16" s="572">
        <v>1050</v>
      </c>
      <c r="K16" s="572">
        <v>450.03067999999996</v>
      </c>
      <c r="L16" s="547">
        <f t="shared" si="1"/>
        <v>138221.36932</v>
      </c>
      <c r="M16" s="548">
        <f t="shared" si="2"/>
        <v>6.3956176346651808E-2</v>
      </c>
      <c r="N16" s="572">
        <f t="shared" si="3"/>
        <v>8820</v>
      </c>
      <c r="O16" s="573">
        <f t="shared" si="4"/>
        <v>6.3810683133811104</v>
      </c>
    </row>
    <row r="17" spans="1:15" ht="15">
      <c r="A17" s="538">
        <f t="shared" si="5"/>
        <v>7</v>
      </c>
      <c r="B17" s="543" t="s">
        <v>834</v>
      </c>
      <c r="C17" s="522">
        <v>6.25E-2</v>
      </c>
      <c r="D17" s="544">
        <v>39373</v>
      </c>
      <c r="E17" s="544">
        <v>50328</v>
      </c>
      <c r="F17" s="545">
        <v>100000</v>
      </c>
      <c r="G17" s="545">
        <v>100000</v>
      </c>
      <c r="H17" s="533">
        <v>99.731999999999999</v>
      </c>
      <c r="I17" s="534">
        <f t="shared" si="0"/>
        <v>268.00000000000068</v>
      </c>
      <c r="J17" s="572">
        <v>750</v>
      </c>
      <c r="K17" s="572">
        <v>477.48976999999996</v>
      </c>
      <c r="L17" s="547">
        <f t="shared" si="1"/>
        <v>98504.51023</v>
      </c>
      <c r="M17" s="548">
        <f t="shared" si="2"/>
        <v>6.362251555849123E-2</v>
      </c>
      <c r="N17" s="572">
        <f t="shared" si="3"/>
        <v>6250</v>
      </c>
      <c r="O17" s="573">
        <f t="shared" si="4"/>
        <v>6.3448871380678504</v>
      </c>
    </row>
    <row r="18" spans="1:15" ht="15">
      <c r="A18" s="538">
        <f t="shared" si="5"/>
        <v>8</v>
      </c>
      <c r="B18" s="543" t="s">
        <v>843</v>
      </c>
      <c r="C18" s="522">
        <v>4.4999999999999998E-2</v>
      </c>
      <c r="D18" s="544">
        <v>40137</v>
      </c>
      <c r="E18" s="544">
        <v>43891</v>
      </c>
      <c r="F18" s="545">
        <v>130000</v>
      </c>
      <c r="G18" s="545">
        <v>130000</v>
      </c>
      <c r="H18" s="533">
        <v>99.819000000000003</v>
      </c>
      <c r="I18" s="534">
        <f t="shared" si="0"/>
        <v>235.29999999999663</v>
      </c>
      <c r="J18" s="572">
        <v>812.5</v>
      </c>
      <c r="K18" s="572">
        <v>386.88333999999998</v>
      </c>
      <c r="L18" s="547">
        <f t="shared" si="1"/>
        <v>128565.31666</v>
      </c>
      <c r="M18" s="548">
        <f t="shared" si="2"/>
        <v>4.6353839852438648E-2</v>
      </c>
      <c r="N18" s="572">
        <f t="shared" si="3"/>
        <v>5850</v>
      </c>
      <c r="O18" s="573">
        <f t="shared" si="4"/>
        <v>4.5502163040369092</v>
      </c>
    </row>
    <row r="19" spans="1:15" ht="15">
      <c r="A19" s="538">
        <f t="shared" si="5"/>
        <v>9</v>
      </c>
      <c r="B19" s="543" t="s">
        <v>893</v>
      </c>
      <c r="C19" s="522">
        <v>3.4000000000000002E-2</v>
      </c>
      <c r="D19" s="544">
        <v>40420</v>
      </c>
      <c r="E19" s="544">
        <v>44136</v>
      </c>
      <c r="F19" s="545">
        <v>100000</v>
      </c>
      <c r="G19" s="545">
        <v>100000</v>
      </c>
      <c r="H19" s="533">
        <v>99.501000000000005</v>
      </c>
      <c r="I19" s="534">
        <f t="shared" si="0"/>
        <v>498.99999999999523</v>
      </c>
      <c r="J19" s="572">
        <v>625</v>
      </c>
      <c r="K19" s="572">
        <v>534.87079000000006</v>
      </c>
      <c r="L19" s="547">
        <f>(G19-I19-J19-K19)</f>
        <v>98341.129209999999</v>
      </c>
      <c r="M19" s="548">
        <f t="shared" si="2"/>
        <v>3.5958058425209681E-2</v>
      </c>
      <c r="N19" s="572">
        <f t="shared" si="3"/>
        <v>3400.0000000000005</v>
      </c>
      <c r="O19" s="573">
        <f t="shared" si="4"/>
        <v>3.4573530193450996</v>
      </c>
    </row>
    <row r="20" spans="1:15" ht="15">
      <c r="A20" s="538">
        <f t="shared" si="5"/>
        <v>10</v>
      </c>
      <c r="B20" s="543" t="s">
        <v>894</v>
      </c>
      <c r="C20" s="522">
        <v>4.8500000000000001E-2</v>
      </c>
      <c r="D20" s="544">
        <v>40420</v>
      </c>
      <c r="E20" s="544">
        <v>51363</v>
      </c>
      <c r="F20" s="545">
        <v>100000</v>
      </c>
      <c r="G20" s="545">
        <v>100000</v>
      </c>
      <c r="H20" s="533">
        <v>99.83</v>
      </c>
      <c r="I20" s="534">
        <f t="shared" si="0"/>
        <v>170.00000000000171</v>
      </c>
      <c r="J20" s="572">
        <v>750</v>
      </c>
      <c r="K20" s="572">
        <v>534.87079999999992</v>
      </c>
      <c r="L20" s="547">
        <f t="shared" ref="L20:L26" si="6">(G20-I20-J20-K20)</f>
        <v>98545.129199999996</v>
      </c>
      <c r="M20" s="548">
        <f t="shared" si="2"/>
        <v>4.943446770003905E-2</v>
      </c>
      <c r="N20" s="572">
        <f t="shared" si="3"/>
        <v>4850</v>
      </c>
      <c r="O20" s="573">
        <f t="shared" si="4"/>
        <v>4.9216029644213002</v>
      </c>
    </row>
    <row r="21" spans="1:15" ht="15">
      <c r="A21" s="538">
        <f t="shared" si="5"/>
        <v>11</v>
      </c>
      <c r="B21" s="543" t="s">
        <v>981</v>
      </c>
      <c r="C21" s="522">
        <v>2.9499999999999998E-2</v>
      </c>
      <c r="D21" s="544">
        <v>41012</v>
      </c>
      <c r="E21" s="544">
        <v>44652</v>
      </c>
      <c r="F21" s="545">
        <v>75000</v>
      </c>
      <c r="G21" s="545">
        <v>75000</v>
      </c>
      <c r="H21" s="533">
        <v>99.828999999999994</v>
      </c>
      <c r="I21" s="534">
        <f t="shared" si="0"/>
        <v>128.25000000000486</v>
      </c>
      <c r="J21" s="572">
        <v>468.75</v>
      </c>
      <c r="K21" s="572">
        <v>1397.7900599999998</v>
      </c>
      <c r="L21" s="547">
        <f>(G21-I21-J21-K21)</f>
        <v>73005.209940000001</v>
      </c>
      <c r="M21" s="548">
        <f t="shared" ref="M21:M26" si="7">YIELD(D21,E21,C21,(L21/F21*100),100,2)</f>
        <v>3.2646932360604154E-2</v>
      </c>
      <c r="N21" s="572">
        <f t="shared" si="3"/>
        <v>2212.5</v>
      </c>
      <c r="O21" s="573">
        <f t="shared" si="4"/>
        <v>3.0306056263907237</v>
      </c>
    </row>
    <row r="22" spans="1:15" ht="15">
      <c r="A22" s="538">
        <f t="shared" si="5"/>
        <v>12</v>
      </c>
      <c r="B22" s="543" t="s">
        <v>982</v>
      </c>
      <c r="C22" s="522">
        <v>4.2999999999999997E-2</v>
      </c>
      <c r="D22" s="544">
        <v>41012</v>
      </c>
      <c r="E22" s="544">
        <v>51957</v>
      </c>
      <c r="F22" s="545">
        <v>75000</v>
      </c>
      <c r="G22" s="545">
        <v>75000</v>
      </c>
      <c r="H22" s="533">
        <v>99.933999999999997</v>
      </c>
      <c r="I22" s="534">
        <f t="shared" si="0"/>
        <v>49.500000000001876</v>
      </c>
      <c r="J22" s="572">
        <v>562.5</v>
      </c>
      <c r="K22" s="572">
        <v>1397.7900649999999</v>
      </c>
      <c r="L22" s="547">
        <f t="shared" si="6"/>
        <v>72990.209935000006</v>
      </c>
      <c r="M22" s="548">
        <f t="shared" si="7"/>
        <v>4.4629381714833362E-2</v>
      </c>
      <c r="N22" s="572">
        <f t="shared" si="3"/>
        <v>3224.9999999999995</v>
      </c>
      <c r="O22" s="573">
        <f>(N22/L22*100)</f>
        <v>4.418400773024163</v>
      </c>
    </row>
    <row r="23" spans="1:15" ht="15">
      <c r="A23" s="538">
        <f t="shared" si="5"/>
        <v>13</v>
      </c>
      <c r="B23" s="543" t="s">
        <v>1009</v>
      </c>
      <c r="C23" s="522">
        <v>2.5000000000000001E-2</v>
      </c>
      <c r="D23" s="544">
        <v>41372</v>
      </c>
      <c r="E23" s="544">
        <v>45017</v>
      </c>
      <c r="F23" s="545">
        <v>75000</v>
      </c>
      <c r="G23" s="545">
        <v>75000</v>
      </c>
      <c r="H23" s="533">
        <v>99.501000000000005</v>
      </c>
      <c r="I23" s="546">
        <f t="shared" si="0"/>
        <v>374.24999999999642</v>
      </c>
      <c r="J23" s="572">
        <v>468.75</v>
      </c>
      <c r="K23" s="572">
        <v>179.22790999999998</v>
      </c>
      <c r="L23" s="547">
        <f t="shared" si="6"/>
        <v>73977.772089999999</v>
      </c>
      <c r="M23" s="548">
        <f t="shared" si="7"/>
        <v>2.6563283800492249E-2</v>
      </c>
      <c r="N23" s="572">
        <f t="shared" si="3"/>
        <v>1875</v>
      </c>
      <c r="O23" s="573">
        <f t="shared" si="4"/>
        <v>2.5345451032492696</v>
      </c>
    </row>
    <row r="24" spans="1:15" ht="15">
      <c r="A24" s="538">
        <f t="shared" si="5"/>
        <v>14</v>
      </c>
      <c r="B24" s="543" t="s">
        <v>1010</v>
      </c>
      <c r="C24" s="522">
        <v>0.04</v>
      </c>
      <c r="D24" s="544">
        <v>41372</v>
      </c>
      <c r="E24" s="544">
        <v>52322</v>
      </c>
      <c r="F24" s="545">
        <v>75000</v>
      </c>
      <c r="G24" s="545">
        <v>75000</v>
      </c>
      <c r="H24" s="533">
        <v>99.741</v>
      </c>
      <c r="I24" s="546">
        <f t="shared" si="0"/>
        <v>194.25000000000026</v>
      </c>
      <c r="J24" s="572">
        <v>562.5</v>
      </c>
      <c r="K24" s="572">
        <v>179.22790999999998</v>
      </c>
      <c r="L24" s="547">
        <f t="shared" si="6"/>
        <v>74064.022089999999</v>
      </c>
      <c r="M24" s="548">
        <f t="shared" si="7"/>
        <v>4.0724145402409428E-2</v>
      </c>
      <c r="N24" s="572">
        <f>G24*C24</f>
        <v>3000</v>
      </c>
      <c r="O24" s="573">
        <f t="shared" si="4"/>
        <v>4.050549666820018</v>
      </c>
    </row>
    <row r="25" spans="1:15" ht="15">
      <c r="A25" s="538">
        <f t="shared" si="5"/>
        <v>15</v>
      </c>
      <c r="B25" s="543" t="s">
        <v>1078</v>
      </c>
      <c r="C25" s="522">
        <v>3.6499999999999998E-2</v>
      </c>
      <c r="D25" s="544">
        <v>42069</v>
      </c>
      <c r="E25" s="544">
        <v>53022</v>
      </c>
      <c r="F25" s="545">
        <v>250000</v>
      </c>
      <c r="G25" s="545">
        <v>250000</v>
      </c>
      <c r="H25" s="533">
        <v>99.313999999999993</v>
      </c>
      <c r="I25" s="546">
        <f t="shared" si="0"/>
        <v>1715.0000000000177</v>
      </c>
      <c r="J25" s="572">
        <v>1875</v>
      </c>
      <c r="K25" s="572">
        <v>19137.506000000001</v>
      </c>
      <c r="L25" s="547">
        <f t="shared" si="6"/>
        <v>227272.49399999998</v>
      </c>
      <c r="M25" s="548">
        <f t="shared" si="7"/>
        <v>4.1849295409802867E-2</v>
      </c>
      <c r="N25" s="572">
        <f>G25*C25</f>
        <v>9125</v>
      </c>
      <c r="O25" s="573">
        <f t="shared" si="4"/>
        <v>4.0150041210002305</v>
      </c>
    </row>
    <row r="26" spans="1:15" ht="15">
      <c r="A26" s="538">
        <f t="shared" si="5"/>
        <v>16</v>
      </c>
      <c r="B26" s="543" t="s">
        <v>1168</v>
      </c>
      <c r="C26" s="522">
        <v>4.0500000000000001E-2</v>
      </c>
      <c r="D26" s="544">
        <v>42439</v>
      </c>
      <c r="E26" s="544">
        <v>53387</v>
      </c>
      <c r="F26" s="551">
        <v>120000</v>
      </c>
      <c r="G26" s="551">
        <v>120000</v>
      </c>
      <c r="H26" s="552">
        <v>99.742000000000004</v>
      </c>
      <c r="I26" s="553">
        <f t="shared" si="0"/>
        <v>309.59999999999468</v>
      </c>
      <c r="J26" s="554">
        <v>900</v>
      </c>
      <c r="K26" s="554">
        <v>14689.402</v>
      </c>
      <c r="L26" s="554">
        <f t="shared" si="6"/>
        <v>104100.99800000001</v>
      </c>
      <c r="M26" s="599">
        <f t="shared" si="7"/>
        <v>4.8975753139243114E-2</v>
      </c>
      <c r="N26" s="554">
        <f>G26*C26</f>
        <v>4860</v>
      </c>
      <c r="O26" s="556">
        <f t="shared" si="4"/>
        <v>4.6685431392309988</v>
      </c>
    </row>
    <row r="27" spans="1:15" ht="15">
      <c r="A27" s="538"/>
      <c r="B27" s="543" t="s">
        <v>562</v>
      </c>
      <c r="C27" s="543"/>
      <c r="D27" s="425"/>
      <c r="E27" s="425"/>
      <c r="F27" s="549">
        <f>SUM(F11:F26)</f>
        <v>1575000</v>
      </c>
      <c r="G27" s="549">
        <f>SUM(G11:G26)</f>
        <v>1575000</v>
      </c>
      <c r="H27" s="550"/>
      <c r="I27" s="534">
        <f>SUM(I11:I26)</f>
        <v>6342.2500000000055</v>
      </c>
      <c r="J27" s="547">
        <f>SUM(J11:J26)</f>
        <v>11337.5</v>
      </c>
      <c r="K27" s="547">
        <f>SUM(K11:K26)</f>
        <v>47338.969775000005</v>
      </c>
      <c r="L27" s="547">
        <f>SUM(L11:L26)</f>
        <v>1509981.2802250001</v>
      </c>
      <c r="M27" s="560"/>
      <c r="N27" s="547">
        <f>SUM(N11:N26)</f>
        <v>72478.75</v>
      </c>
      <c r="O27" s="557">
        <f>(N27/L27)</f>
        <v>4.7999767248240351E-2</v>
      </c>
    </row>
    <row r="28" spans="1:15" ht="15">
      <c r="B28" s="543"/>
      <c r="C28" s="543"/>
      <c r="D28" s="425"/>
      <c r="E28" s="425"/>
      <c r="F28" s="549"/>
      <c r="G28" s="549"/>
      <c r="H28" s="550"/>
      <c r="I28" s="534"/>
      <c r="J28" s="547"/>
      <c r="K28" s="547"/>
      <c r="L28" s="547"/>
      <c r="M28" s="560"/>
      <c r="N28" s="547"/>
      <c r="O28" s="487"/>
    </row>
    <row r="29" spans="1:15" ht="15">
      <c r="A29" s="538"/>
      <c r="B29" s="543" t="s">
        <v>563</v>
      </c>
      <c r="C29" s="543"/>
      <c r="D29" s="425"/>
      <c r="E29" s="425"/>
      <c r="F29" s="549"/>
      <c r="G29" s="549"/>
      <c r="H29" s="550"/>
      <c r="I29" s="534"/>
      <c r="J29" s="547"/>
      <c r="K29" s="547"/>
      <c r="L29" s="547"/>
      <c r="M29" s="560"/>
      <c r="N29" s="547"/>
      <c r="O29" s="558"/>
    </row>
    <row r="30" spans="1:15" ht="15">
      <c r="A30" s="538">
        <v>17</v>
      </c>
      <c r="B30" s="426" t="s">
        <v>869</v>
      </c>
      <c r="C30" s="522">
        <v>5.2499999999999998E-2</v>
      </c>
      <c r="D30" s="544">
        <v>40045</v>
      </c>
      <c r="E30" s="544">
        <v>46218</v>
      </c>
      <c r="F30" s="545">
        <v>116300</v>
      </c>
      <c r="G30" s="545">
        <v>116300</v>
      </c>
      <c r="H30" s="550">
        <v>100</v>
      </c>
      <c r="I30" s="534">
        <v>0</v>
      </c>
      <c r="J30" s="572">
        <v>930.4</v>
      </c>
      <c r="K30" s="572">
        <v>7703.9115110000002</v>
      </c>
      <c r="L30" s="547">
        <f>(G30-I30-J30-K30)</f>
        <v>107665.68848900001</v>
      </c>
      <c r="M30" s="548">
        <f>YIELD(D30,E30,C30,(L30/F30*100),100,2)</f>
        <v>5.9520295507838376E-2</v>
      </c>
      <c r="N30" s="547">
        <f>G30*C30</f>
        <v>6105.75</v>
      </c>
      <c r="O30" s="558">
        <f>(N30/L30*100)</f>
        <v>5.6710267548456841</v>
      </c>
    </row>
    <row r="31" spans="1:15" ht="15">
      <c r="A31" s="538">
        <v>18</v>
      </c>
      <c r="B31" s="543" t="s">
        <v>870</v>
      </c>
      <c r="C31" s="522">
        <v>1.0041917808219177E-2</v>
      </c>
      <c r="D31" s="544">
        <v>36663</v>
      </c>
      <c r="E31" s="544">
        <v>46419</v>
      </c>
      <c r="F31" s="549">
        <v>4360</v>
      </c>
      <c r="G31" s="549">
        <v>4360</v>
      </c>
      <c r="H31" s="550">
        <v>100</v>
      </c>
      <c r="I31" s="534">
        <v>0</v>
      </c>
      <c r="J31" s="572">
        <v>50</v>
      </c>
      <c r="K31" s="572">
        <v>120.34312999999999</v>
      </c>
      <c r="L31" s="547">
        <f>(G31-I31-J31-K31)</f>
        <v>4189.6568699999998</v>
      </c>
      <c r="M31" s="548">
        <f>YIELD(D31,E31,C31,(L31/F31*100),100,2)</f>
        <v>1.1750523605990779E-2</v>
      </c>
      <c r="N31" s="547">
        <f>G31*C31</f>
        <v>43.782761643835613</v>
      </c>
      <c r="O31" s="558">
        <f>(N31/L31*100)</f>
        <v>1.0450202248623672</v>
      </c>
    </row>
    <row r="32" spans="1:15" ht="15">
      <c r="A32" s="538">
        <v>19</v>
      </c>
      <c r="B32" s="543" t="s">
        <v>871</v>
      </c>
      <c r="C32" s="522">
        <v>5.1499999999999997E-2</v>
      </c>
      <c r="D32" s="544">
        <v>40045</v>
      </c>
      <c r="E32" s="544">
        <v>45627</v>
      </c>
      <c r="F32" s="545">
        <v>49800</v>
      </c>
      <c r="G32" s="545">
        <v>49800</v>
      </c>
      <c r="H32" s="533">
        <v>100</v>
      </c>
      <c r="I32" s="546">
        <v>0</v>
      </c>
      <c r="J32" s="572">
        <v>398.4</v>
      </c>
      <c r="K32" s="572">
        <v>3956.6490389999999</v>
      </c>
      <c r="L32" s="547">
        <f>(G32-I32-J32-K32)</f>
        <v>45444.950960999995</v>
      </c>
      <c r="M32" s="548">
        <f>YIELD(D32,E32,C32,(L32/F32*100),100,2)</f>
        <v>6.033134456052873E-2</v>
      </c>
      <c r="N32" s="547">
        <f>G32*C32</f>
        <v>2564.6999999999998</v>
      </c>
      <c r="O32" s="573">
        <f>(N32/L32*100)</f>
        <v>5.6435312301271425</v>
      </c>
    </row>
    <row r="33" spans="1:15" ht="15">
      <c r="A33" s="538"/>
      <c r="B33" s="543"/>
      <c r="C33" s="543"/>
      <c r="D33" s="544"/>
      <c r="E33" s="544"/>
      <c r="F33" s="551"/>
      <c r="G33" s="551"/>
      <c r="H33" s="552"/>
      <c r="I33" s="553"/>
      <c r="J33" s="554"/>
      <c r="K33" s="554"/>
      <c r="L33" s="554"/>
      <c r="M33" s="555"/>
      <c r="N33" s="554"/>
      <c r="O33" s="556"/>
    </row>
    <row r="34" spans="1:15" ht="15">
      <c r="A34" s="538">
        <v>20</v>
      </c>
      <c r="B34" s="543" t="s">
        <v>564</v>
      </c>
      <c r="C34" s="543"/>
      <c r="D34" s="424"/>
      <c r="E34" s="424"/>
      <c r="F34" s="549">
        <f>SUM(F30:F33)</f>
        <v>170460</v>
      </c>
      <c r="G34" s="549">
        <f>SUM(G30:G33)</f>
        <v>170460</v>
      </c>
      <c r="H34" s="550"/>
      <c r="I34" s="534">
        <f>SUM(I30:I33)</f>
        <v>0</v>
      </c>
      <c r="J34" s="547">
        <f>SUM(J30:J33)</f>
        <v>1378.8</v>
      </c>
      <c r="K34" s="547">
        <f>SUM(K30:K33)</f>
        <v>11780.903679999999</v>
      </c>
      <c r="L34" s="547">
        <f>SUM(L30:L33)</f>
        <v>157300.29632000002</v>
      </c>
      <c r="M34" s="560"/>
      <c r="N34" s="547">
        <f>SUM(N30:N33)</f>
        <v>8714.2327616438342</v>
      </c>
      <c r="O34" s="558">
        <f>(N34/L34*100)</f>
        <v>5.5398705314046248</v>
      </c>
    </row>
    <row r="35" spans="1:15" ht="15">
      <c r="A35" s="538"/>
      <c r="B35" s="543"/>
      <c r="C35" s="543"/>
      <c r="D35" s="424"/>
      <c r="E35" s="424"/>
      <c r="F35" s="549"/>
      <c r="G35" s="549"/>
      <c r="H35" s="550"/>
      <c r="I35" s="534"/>
      <c r="J35" s="547"/>
      <c r="K35" s="547"/>
      <c r="L35" s="547"/>
      <c r="M35" s="560"/>
      <c r="N35" s="547"/>
      <c r="O35" s="558"/>
    </row>
    <row r="36" spans="1:15" ht="15">
      <c r="A36" s="538"/>
      <c r="B36" s="543"/>
      <c r="C36" s="543"/>
      <c r="D36" s="539"/>
      <c r="E36" s="539"/>
      <c r="F36" s="549"/>
      <c r="G36" s="547"/>
      <c r="H36" s="550"/>
      <c r="I36" s="561"/>
      <c r="J36" s="562"/>
      <c r="K36" s="562"/>
      <c r="L36" s="547"/>
      <c r="M36" s="560"/>
      <c r="N36" s="547"/>
      <c r="O36" s="558"/>
    </row>
    <row r="37" spans="1:15" ht="15">
      <c r="A37" s="571"/>
      <c r="B37" s="543"/>
      <c r="C37" s="543"/>
      <c r="D37" s="424"/>
      <c r="E37" s="424"/>
      <c r="F37" s="549"/>
      <c r="G37" s="549"/>
      <c r="H37" s="549"/>
      <c r="I37" s="563"/>
      <c r="J37" s="547"/>
      <c r="K37" s="547"/>
      <c r="L37" s="547"/>
      <c r="M37" s="547"/>
      <c r="N37" s="547"/>
      <c r="O37" s="564"/>
    </row>
    <row r="38" spans="1:15" ht="15.75" thickBot="1">
      <c r="A38" s="538">
        <v>21</v>
      </c>
      <c r="B38" s="543" t="s">
        <v>565</v>
      </c>
      <c r="C38" s="543"/>
      <c r="D38" s="424"/>
      <c r="E38" s="424"/>
      <c r="F38" s="565">
        <f>SUM(F27,F34)</f>
        <v>1745460</v>
      </c>
      <c r="G38" s="566">
        <f>SUM(G27,G34)</f>
        <v>1745460</v>
      </c>
      <c r="H38" s="427"/>
      <c r="I38" s="567">
        <f>SUM(I27,I34)</f>
        <v>6342.2500000000055</v>
      </c>
      <c r="J38" s="566">
        <f>SUM(J27,J34)</f>
        <v>12716.3</v>
      </c>
      <c r="K38" s="566">
        <f>SUM(K27,K34)</f>
        <v>59119.873455000008</v>
      </c>
      <c r="L38" s="566">
        <f>SUM(L27,L34)</f>
        <v>1667281.5765450001</v>
      </c>
      <c r="M38" s="566"/>
      <c r="N38" s="566">
        <f>SUM(N27,N34)</f>
        <v>81192.982761643827</v>
      </c>
      <c r="O38" s="568">
        <f>(N38/L38)</f>
        <v>4.8697822793612823E-2</v>
      </c>
    </row>
    <row r="39" spans="1:15" ht="15.75" thickTop="1">
      <c r="A39" s="538"/>
      <c r="B39" s="543"/>
      <c r="C39" s="543"/>
      <c r="D39" s="424"/>
      <c r="E39" s="424"/>
      <c r="F39" s="569"/>
      <c r="G39" s="569"/>
      <c r="H39" s="569"/>
      <c r="I39" s="570"/>
      <c r="J39" s="547"/>
      <c r="K39" s="547"/>
      <c r="L39" s="570"/>
      <c r="M39" s="570"/>
      <c r="N39" s="570"/>
      <c r="O39" s="559"/>
    </row>
    <row r="40" spans="1:15" ht="15">
      <c r="A40" s="543" t="s">
        <v>835</v>
      </c>
      <c r="B40" s="571" t="s">
        <v>1179</v>
      </c>
      <c r="C40" s="571"/>
      <c r="D40" s="424"/>
      <c r="E40" s="424"/>
      <c r="F40" s="571"/>
      <c r="G40" s="571"/>
      <c r="H40" s="571"/>
      <c r="I40" s="571"/>
      <c r="J40" s="547"/>
      <c r="K40" s="571"/>
      <c r="L40" s="571"/>
      <c r="M40" s="571"/>
      <c r="N40" s="571"/>
      <c r="O40" s="571"/>
    </row>
    <row r="41" spans="1:15" ht="15">
      <c r="B41" s="571" t="s">
        <v>872</v>
      </c>
      <c r="C41" s="571"/>
      <c r="D41" s="424"/>
      <c r="E41" s="424"/>
      <c r="F41" s="571"/>
      <c r="G41" s="571"/>
      <c r="H41" s="571"/>
      <c r="I41" s="571"/>
      <c r="J41" s="571"/>
      <c r="K41" s="571"/>
      <c r="L41" s="571"/>
      <c r="M41" s="571"/>
      <c r="N41" s="571"/>
      <c r="O41" s="571"/>
    </row>
    <row r="42" spans="1:15" ht="15">
      <c r="A42" s="571"/>
      <c r="M42" s="152"/>
      <c r="N42" s="152"/>
    </row>
    <row r="43" spans="1:15">
      <c r="A43" s="75"/>
      <c r="B43" s="152"/>
      <c r="C43" s="152"/>
      <c r="D43" s="152"/>
      <c r="E43" s="152"/>
      <c r="F43" s="152"/>
      <c r="G43" s="152"/>
      <c r="H43" s="152"/>
      <c r="I43" s="152"/>
      <c r="J43" s="152"/>
      <c r="K43" s="152"/>
      <c r="L43" s="152"/>
      <c r="M43" s="152"/>
      <c r="N43" s="152"/>
    </row>
    <row r="44" spans="1:15">
      <c r="A44" s="152"/>
      <c r="B44" s="75"/>
      <c r="C44" s="76"/>
      <c r="D44" s="77"/>
      <c r="E44" s="77"/>
      <c r="F44" s="78"/>
      <c r="G44" s="79"/>
      <c r="H44" s="80"/>
      <c r="I44" s="81"/>
      <c r="J44" s="81"/>
      <c r="K44" s="82"/>
      <c r="L44" s="83"/>
      <c r="M44" s="152"/>
      <c r="N44" s="152"/>
    </row>
  </sheetData>
  <sheetProtection formatCells="0"/>
  <mergeCells count="4">
    <mergeCell ref="F8:G8"/>
    <mergeCell ref="A3:O3"/>
    <mergeCell ref="A1:O1"/>
    <mergeCell ref="A2:O2"/>
  </mergeCells>
  <phoneticPr fontId="18" type="noConversion"/>
  <printOptions horizontalCentered="1"/>
  <pageMargins left="0.75" right="0.75" top="1" bottom="1" header="0.5" footer="0.5"/>
  <pageSetup scale="61" orientation="landscape" r:id="rId1"/>
  <headerFooter alignWithMargins="0">
    <oddHeader>&amp;CIDAHO POWER COMPANY
Transmission Cost of Service Rate Development
12 Months Ended 12/31/2017</oddHeader>
  </headerFooter>
  <ignoredErrors>
    <ignoredError sqref="B5:O5" numberStoredAsText="1"/>
    <ignoredError sqref="F27:O27 I33:O34 F34:G34 G38:O38" unlockedFormula="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1:F19"/>
  <sheetViews>
    <sheetView zoomScaleNormal="100" zoomScaleSheetLayoutView="100" workbookViewId="0">
      <selection sqref="A1:F1"/>
    </sheetView>
  </sheetViews>
  <sheetFormatPr defaultColWidth="9.85546875" defaultRowHeight="12.75"/>
  <cols>
    <col min="1" max="1" width="1.42578125" style="196" customWidth="1"/>
    <col min="2" max="2" width="28.42578125" style="196" bestFit="1" customWidth="1"/>
    <col min="3" max="6" width="12.7109375" style="196" customWidth="1"/>
    <col min="7" max="16384" width="9.85546875" style="196"/>
  </cols>
  <sheetData>
    <row r="1" spans="2:6">
      <c r="B1" s="657" t="s">
        <v>361</v>
      </c>
      <c r="C1" s="657"/>
      <c r="D1" s="657"/>
      <c r="E1" s="657"/>
      <c r="F1" s="657"/>
    </row>
    <row r="2" spans="2:6">
      <c r="B2" s="657" t="s">
        <v>104</v>
      </c>
      <c r="C2" s="657"/>
      <c r="D2" s="657"/>
      <c r="E2" s="657"/>
      <c r="F2" s="657"/>
    </row>
    <row r="3" spans="2:6">
      <c r="B3" s="656"/>
      <c r="C3" s="656"/>
      <c r="D3" s="656"/>
      <c r="E3" s="656"/>
      <c r="F3" s="656"/>
    </row>
    <row r="4" spans="2:6">
      <c r="B4" s="608"/>
      <c r="C4" s="608"/>
      <c r="D4" s="608"/>
      <c r="E4" s="608"/>
      <c r="F4" s="608"/>
    </row>
    <row r="7" spans="2:6">
      <c r="C7" s="607" t="s">
        <v>99</v>
      </c>
      <c r="D7" s="607" t="s">
        <v>100</v>
      </c>
      <c r="E7" s="607" t="s">
        <v>101</v>
      </c>
      <c r="F7" s="607" t="s">
        <v>102</v>
      </c>
    </row>
    <row r="9" spans="2:6">
      <c r="B9" s="196" t="s">
        <v>103</v>
      </c>
      <c r="C9" s="193">
        <v>5.8999999999999997E-2</v>
      </c>
      <c r="D9" s="193">
        <v>3.0000000000000001E-3</v>
      </c>
      <c r="E9" s="193">
        <v>1E-3</v>
      </c>
      <c r="F9" s="74">
        <f>SUM(C9:E9)</f>
        <v>6.3E-2</v>
      </c>
    </row>
    <row r="14" spans="2:6">
      <c r="B14" s="4" t="s">
        <v>326</v>
      </c>
    </row>
    <row r="15" spans="2:6">
      <c r="B15" s="196" t="s">
        <v>327</v>
      </c>
    </row>
    <row r="16" spans="2:6">
      <c r="B16" s="196" t="s">
        <v>1165</v>
      </c>
    </row>
    <row r="18" spans="2:2">
      <c r="B18" s="196" t="s">
        <v>1166</v>
      </c>
    </row>
    <row r="19" spans="2:2">
      <c r="B19" s="196" t="s">
        <v>1167</v>
      </c>
    </row>
  </sheetData>
  <sheetProtection formatCells="0"/>
  <mergeCells count="3">
    <mergeCell ref="B2:F2"/>
    <mergeCell ref="B1:F1"/>
    <mergeCell ref="B3:F3"/>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12/31/2017</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G17"/>
  <sheetViews>
    <sheetView zoomScaleNormal="100" zoomScaleSheetLayoutView="100" workbookViewId="0">
      <selection sqref="A1:E1"/>
    </sheetView>
  </sheetViews>
  <sheetFormatPr defaultRowHeight="12.75"/>
  <cols>
    <col min="1" max="2" width="9.140625" style="152"/>
    <col min="3" max="3" width="13" style="152" bestFit="1" customWidth="1"/>
    <col min="4" max="4" width="9.140625" style="152"/>
    <col min="5" max="5" width="13" style="152" bestFit="1" customWidth="1"/>
    <col min="6" max="6" width="9.140625" style="152"/>
    <col min="7" max="7" width="11.42578125" style="152" bestFit="1" customWidth="1"/>
    <col min="8" max="16384" width="9.140625" style="152"/>
  </cols>
  <sheetData>
    <row r="1" spans="1:7">
      <c r="A1" s="666" t="s">
        <v>362</v>
      </c>
      <c r="B1" s="666"/>
      <c r="C1" s="666"/>
      <c r="D1" s="666"/>
      <c r="E1" s="666"/>
      <c r="F1" s="666"/>
      <c r="G1" s="666"/>
    </row>
    <row r="2" spans="1:7">
      <c r="A2" s="666" t="s">
        <v>109</v>
      </c>
      <c r="B2" s="666"/>
      <c r="C2" s="666"/>
      <c r="D2" s="666"/>
      <c r="E2" s="666"/>
      <c r="F2" s="666"/>
      <c r="G2" s="666"/>
    </row>
    <row r="3" spans="1:7">
      <c r="A3" s="666" t="s">
        <v>1169</v>
      </c>
      <c r="B3" s="666"/>
      <c r="C3" s="666"/>
      <c r="D3" s="666"/>
      <c r="E3" s="666"/>
      <c r="F3" s="666"/>
      <c r="G3" s="666"/>
    </row>
    <row r="4" spans="1:7">
      <c r="A4" s="666" t="s">
        <v>699</v>
      </c>
      <c r="B4" s="666"/>
      <c r="C4" s="666"/>
      <c r="D4" s="666"/>
      <c r="E4" s="666"/>
      <c r="F4" s="666"/>
      <c r="G4" s="666"/>
    </row>
    <row r="5" spans="1:7">
      <c r="A5" s="612"/>
      <c r="B5" s="612"/>
      <c r="C5" s="612"/>
      <c r="D5" s="612"/>
      <c r="E5" s="612"/>
      <c r="F5" s="612"/>
      <c r="G5" s="612"/>
    </row>
    <row r="6" spans="1:7">
      <c r="A6" s="612"/>
      <c r="B6" s="612"/>
      <c r="C6" s="612"/>
      <c r="D6" s="612"/>
      <c r="E6" s="612"/>
      <c r="F6" s="612"/>
      <c r="G6" s="612"/>
    </row>
    <row r="7" spans="1:7">
      <c r="A7" s="612"/>
      <c r="B7" s="612"/>
      <c r="C7" s="612"/>
      <c r="D7" s="612"/>
      <c r="E7" s="612"/>
      <c r="F7" s="612"/>
      <c r="G7" s="612"/>
    </row>
    <row r="8" spans="1:7" ht="13.5" thickBot="1">
      <c r="A8" s="183"/>
      <c r="B8" s="183"/>
      <c r="C8" s="184" t="s">
        <v>110</v>
      </c>
      <c r="D8" s="184" t="s">
        <v>401</v>
      </c>
      <c r="E8" s="185" t="s">
        <v>111</v>
      </c>
    </row>
    <row r="9" spans="1:7">
      <c r="A9" s="183"/>
      <c r="B9" s="183"/>
      <c r="C9" s="183">
        <v>107000</v>
      </c>
      <c r="D9" s="183">
        <v>451</v>
      </c>
      <c r="E9" s="633">
        <v>4346113.43</v>
      </c>
    </row>
    <row r="10" spans="1:7" ht="13.5" thickBot="1">
      <c r="A10" s="186"/>
      <c r="B10" s="186"/>
      <c r="C10" s="187" t="s">
        <v>895</v>
      </c>
      <c r="D10" s="187"/>
      <c r="E10" s="188">
        <f>SUM(E9:E9)</f>
        <v>4346113.43</v>
      </c>
    </row>
    <row r="11" spans="1:7" ht="13.5" thickTop="1">
      <c r="A11" s="186"/>
      <c r="B11" s="186"/>
      <c r="C11" s="187"/>
      <c r="D11" s="187"/>
      <c r="E11" s="189"/>
    </row>
    <row r="13" spans="1:7">
      <c r="C13" s="152" t="s">
        <v>237</v>
      </c>
      <c r="E13" s="190"/>
    </row>
    <row r="14" spans="1:7">
      <c r="C14" s="152" t="s">
        <v>238</v>
      </c>
      <c r="E14" s="190"/>
    </row>
    <row r="15" spans="1:7">
      <c r="C15" s="193">
        <v>1.9400000000000001E-2</v>
      </c>
      <c r="E15" s="190"/>
    </row>
    <row r="17" spans="3:7">
      <c r="C17" s="192">
        <f>E10</f>
        <v>4346113.43</v>
      </c>
      <c r="D17" s="612" t="s">
        <v>112</v>
      </c>
      <c r="E17" s="193">
        <f>C15</f>
        <v>1.9400000000000001E-2</v>
      </c>
      <c r="F17" s="194" t="s">
        <v>113</v>
      </c>
      <c r="G17" s="195">
        <f>ROUND(C17*E17,0)</f>
        <v>84315</v>
      </c>
    </row>
  </sheetData>
  <sheetProtection formatCells="0"/>
  <mergeCells count="4">
    <mergeCell ref="A2:G2"/>
    <mergeCell ref="A1:G1"/>
    <mergeCell ref="A3:G3"/>
    <mergeCell ref="A4:G4"/>
  </mergeCells>
  <phoneticPr fontId="18" type="noConversion"/>
  <conditionalFormatting sqref="E9">
    <cfRule type="cellIs" dxfId="0" priority="2" operator="lessThan">
      <formula>0</formula>
    </cfRule>
  </conditionalFormatting>
  <printOptions horizontalCentered="1"/>
  <pageMargins left="0.75" right="0.75" top="1" bottom="1" header="0.5" footer="0.5"/>
  <pageSetup scale="71" orientation="portrait" r:id="rId1"/>
  <headerFooter alignWithMargins="0">
    <oddHeader>&amp;CIDAHO POWER COMPANY
Transmission Cost of Service Rate Development
12 Months Ended 12/31/2017</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X108"/>
  <sheetViews>
    <sheetView topLeftCell="I1" zoomScale="90" zoomScaleNormal="90" zoomScaleSheetLayoutView="70" zoomScalePageLayoutView="50" workbookViewId="0">
      <selection sqref="A1:E1"/>
    </sheetView>
  </sheetViews>
  <sheetFormatPr defaultColWidth="30.140625" defaultRowHeight="12.75"/>
  <cols>
    <col min="1" max="1" width="11.5703125" style="401" customWidth="1"/>
    <col min="2" max="2" width="30.140625" style="401" customWidth="1"/>
    <col min="3" max="3" width="9.28515625" style="404" bestFit="1" customWidth="1"/>
    <col min="4" max="4" width="5.85546875" style="405" bestFit="1" customWidth="1"/>
    <col min="5" max="5" width="14.28515625" style="401" bestFit="1" customWidth="1"/>
    <col min="6" max="6" width="12.7109375" style="404" bestFit="1" customWidth="1"/>
    <col min="7" max="7" width="8.42578125" style="401" bestFit="1" customWidth="1"/>
    <col min="8" max="8" width="13" style="401" bestFit="1" customWidth="1"/>
    <col min="9" max="9" width="12.7109375" style="404" bestFit="1" customWidth="1"/>
    <col min="10" max="10" width="8.42578125" style="401" bestFit="1" customWidth="1"/>
    <col min="11" max="11" width="14.42578125" style="401" bestFit="1" customWidth="1"/>
    <col min="12" max="12" width="13.7109375" style="404" customWidth="1"/>
    <col min="13" max="13" width="8.42578125" style="404" customWidth="1"/>
    <col min="14" max="14" width="14.42578125" style="401" customWidth="1"/>
    <col min="15" max="15" width="13.7109375" style="404" bestFit="1" customWidth="1"/>
    <col min="16" max="16" width="11.140625" style="404" bestFit="1" customWidth="1"/>
    <col min="17" max="17" width="14.42578125" style="401" bestFit="1" customWidth="1"/>
    <col min="18" max="18" width="18.42578125" style="401" bestFit="1" customWidth="1"/>
    <col min="19" max="19" width="14.28515625" style="401" bestFit="1" customWidth="1"/>
    <col min="20" max="20" width="11.28515625" style="403" bestFit="1" customWidth="1"/>
    <col min="21" max="31" width="9.140625" style="401" customWidth="1"/>
    <col min="32" max="32" width="11.5703125" style="401" customWidth="1"/>
    <col min="33" max="16384" width="30.140625" style="401"/>
  </cols>
  <sheetData>
    <row r="1" spans="1:24">
      <c r="A1" s="702" t="s">
        <v>11</v>
      </c>
      <c r="B1" s="702"/>
      <c r="C1" s="702"/>
      <c r="D1" s="702"/>
      <c r="E1" s="702"/>
      <c r="F1" s="702"/>
      <c r="G1" s="702"/>
      <c r="H1" s="702"/>
      <c r="I1" s="702"/>
      <c r="J1" s="702"/>
      <c r="K1" s="702"/>
      <c r="L1" s="702"/>
      <c r="M1" s="702"/>
      <c r="N1" s="702"/>
      <c r="O1" s="702"/>
      <c r="P1" s="702"/>
      <c r="Q1" s="702"/>
      <c r="R1" s="702"/>
      <c r="S1" s="702"/>
      <c r="T1" s="702"/>
    </row>
    <row r="2" spans="1:24">
      <c r="A2" s="666" t="s">
        <v>698</v>
      </c>
      <c r="B2" s="666"/>
      <c r="C2" s="666"/>
      <c r="D2" s="666"/>
      <c r="E2" s="666"/>
      <c r="F2" s="666"/>
      <c r="G2" s="666"/>
      <c r="H2" s="666"/>
      <c r="I2" s="666"/>
      <c r="J2" s="666"/>
      <c r="K2" s="666"/>
      <c r="L2" s="666"/>
      <c r="M2" s="666"/>
      <c r="N2" s="666"/>
      <c r="O2" s="666"/>
      <c r="P2" s="666"/>
      <c r="Q2" s="666"/>
      <c r="R2" s="666"/>
      <c r="S2" s="666"/>
      <c r="T2" s="666"/>
    </row>
    <row r="3" spans="1:24">
      <c r="A3" s="673" t="s">
        <v>704</v>
      </c>
      <c r="B3" s="673"/>
      <c r="C3" s="673"/>
      <c r="D3" s="673"/>
      <c r="E3" s="673"/>
      <c r="F3" s="673"/>
      <c r="G3" s="673"/>
      <c r="H3" s="673"/>
      <c r="I3" s="673"/>
      <c r="J3" s="673"/>
      <c r="K3" s="673"/>
      <c r="L3" s="673"/>
      <c r="M3" s="673"/>
      <c r="N3" s="673"/>
      <c r="O3" s="673"/>
      <c r="P3" s="673"/>
      <c r="Q3" s="673"/>
      <c r="R3" s="673"/>
      <c r="S3" s="673"/>
      <c r="T3" s="673"/>
    </row>
    <row r="4" spans="1:24">
      <c r="A4" s="673" t="s">
        <v>700</v>
      </c>
      <c r="B4" s="673"/>
      <c r="C4" s="673"/>
      <c r="D4" s="673"/>
      <c r="E4" s="673"/>
      <c r="F4" s="673"/>
      <c r="G4" s="673"/>
      <c r="H4" s="673"/>
      <c r="I4" s="673"/>
      <c r="J4" s="673"/>
      <c r="K4" s="673"/>
      <c r="L4" s="673"/>
      <c r="M4" s="673"/>
      <c r="N4" s="673"/>
      <c r="O4" s="673"/>
      <c r="P4" s="673"/>
      <c r="Q4" s="673"/>
      <c r="R4" s="673"/>
      <c r="S4" s="673"/>
      <c r="T4" s="673"/>
    </row>
    <row r="5" spans="1:24">
      <c r="A5" s="616"/>
      <c r="B5" s="616"/>
      <c r="C5" s="616"/>
      <c r="D5" s="402"/>
      <c r="E5" s="616"/>
      <c r="F5" s="616"/>
      <c r="G5" s="616"/>
      <c r="H5" s="623"/>
      <c r="I5" s="623"/>
      <c r="J5" s="623"/>
      <c r="K5" s="623"/>
      <c r="L5" s="623"/>
      <c r="M5" s="593"/>
      <c r="N5" s="623"/>
      <c r="O5" s="623"/>
      <c r="P5" s="593"/>
      <c r="Q5" s="623"/>
      <c r="R5" s="623"/>
      <c r="S5" s="623"/>
    </row>
    <row r="6" spans="1:24">
      <c r="F6" s="699" t="s">
        <v>979</v>
      </c>
      <c r="G6" s="700"/>
      <c r="H6" s="701"/>
      <c r="I6" s="699" t="s">
        <v>980</v>
      </c>
      <c r="J6" s="700"/>
      <c r="K6" s="701"/>
      <c r="L6" s="699" t="s">
        <v>1180</v>
      </c>
      <c r="M6" s="700"/>
      <c r="N6" s="701"/>
      <c r="O6" s="699" t="s">
        <v>1181</v>
      </c>
      <c r="P6" s="700"/>
      <c r="Q6" s="701"/>
      <c r="R6" s="406"/>
    </row>
    <row r="7" spans="1:24" ht="26.25" thickBot="1">
      <c r="A7" s="407" t="s">
        <v>40</v>
      </c>
      <c r="B7" s="407" t="s">
        <v>688</v>
      </c>
      <c r="C7" s="407" t="s">
        <v>799</v>
      </c>
      <c r="D7" s="408" t="s">
        <v>800</v>
      </c>
      <c r="E7" s="407" t="s">
        <v>801</v>
      </c>
      <c r="F7" s="407" t="s">
        <v>802</v>
      </c>
      <c r="G7" s="407" t="s">
        <v>159</v>
      </c>
      <c r="H7" s="409" t="s">
        <v>160</v>
      </c>
      <c r="I7" s="407" t="s">
        <v>802</v>
      </c>
      <c r="J7" s="407" t="s">
        <v>159</v>
      </c>
      <c r="K7" s="409" t="s">
        <v>160</v>
      </c>
      <c r="L7" s="407" t="s">
        <v>802</v>
      </c>
      <c r="M7" s="407" t="s">
        <v>159</v>
      </c>
      <c r="N7" s="409" t="s">
        <v>160</v>
      </c>
      <c r="O7" s="407" t="s">
        <v>802</v>
      </c>
      <c r="P7" s="407" t="s">
        <v>159</v>
      </c>
      <c r="Q7" s="409" t="s">
        <v>160</v>
      </c>
      <c r="R7" s="409" t="s">
        <v>803</v>
      </c>
      <c r="S7" s="409" t="s">
        <v>804</v>
      </c>
      <c r="T7" s="409" t="s">
        <v>805</v>
      </c>
    </row>
    <row r="8" spans="1:24">
      <c r="A8" s="186" t="s">
        <v>817</v>
      </c>
      <c r="B8" s="186" t="s">
        <v>161</v>
      </c>
      <c r="C8" s="276">
        <v>353</v>
      </c>
      <c r="D8" s="294">
        <v>1978</v>
      </c>
      <c r="E8" s="632">
        <f>648863.15-968.78</f>
        <v>647894.37</v>
      </c>
      <c r="F8" s="411">
        <v>2.12E-2</v>
      </c>
      <c r="G8" s="594">
        <f>IF((2008-$D8)+0.58&lt;0, 0,(2008-$D8)+0.58)</f>
        <v>30.58</v>
      </c>
      <c r="H8" s="403">
        <f>ROUND(E8*G8*F8,2)</f>
        <v>420027.33</v>
      </c>
      <c r="I8" s="411">
        <v>2.06E-2</v>
      </c>
      <c r="J8" s="413">
        <f t="shared" ref="J8:J17" si="0">IF(G8=0,IF($J$97=D8,$J$97-D8+0.42,($J$97+0.42-D8)-G8),$J$97+0.42-D8)-G8</f>
        <v>3.8400000000000745</v>
      </c>
      <c r="K8" s="403">
        <f>ROUND(E8*J8*I8,2)</f>
        <v>51251.040000000001</v>
      </c>
      <c r="L8" s="411">
        <v>1.9E-2</v>
      </c>
      <c r="M8" s="413">
        <f>IF(($J$102+1-D8-J8-G8)&gt;5, 5, ($J$102+1-D8-J8-G8))</f>
        <v>5</v>
      </c>
      <c r="N8" s="403">
        <f>ROUND(E8*L8*M8,2)</f>
        <v>61549.97</v>
      </c>
      <c r="O8" s="411">
        <v>1.9699999999999999E-2</v>
      </c>
      <c r="P8" s="413">
        <f>IF(J8=0,(2017+1.58-D8)-J8-G8-M8,(2017+1-D8)-J8-G8-M8)</f>
        <v>0.57999999999992724</v>
      </c>
      <c r="Q8" s="403">
        <f>ROUND(E8*O8*P8,2)</f>
        <v>7402.84</v>
      </c>
      <c r="R8" s="403">
        <f>SUM(H8,K8,N8,Q8)</f>
        <v>540231.17999999993</v>
      </c>
      <c r="S8" s="410">
        <f t="shared" ref="S8:S70" si="1">E8-R8</f>
        <v>107663.19000000006</v>
      </c>
      <c r="T8" s="403">
        <f>ROUND(E8*O8,2)</f>
        <v>12763.52</v>
      </c>
      <c r="V8" s="526">
        <f>2015+1-D8</f>
        <v>38</v>
      </c>
      <c r="W8" s="527">
        <f>G8+J8+P8</f>
        <v>35</v>
      </c>
      <c r="X8" s="527" t="str">
        <f>IF(V8-W8=0, "ok","error")</f>
        <v>error</v>
      </c>
    </row>
    <row r="9" spans="1:24">
      <c r="A9" s="186" t="s">
        <v>817</v>
      </c>
      <c r="B9" s="186" t="s">
        <v>161</v>
      </c>
      <c r="C9" s="276">
        <v>353</v>
      </c>
      <c r="D9" s="294">
        <v>2013</v>
      </c>
      <c r="E9" s="632">
        <v>10928.33</v>
      </c>
      <c r="F9" s="411">
        <v>2.12E-2</v>
      </c>
      <c r="G9" s="612">
        <f>IF((2008-$D9)+0.58&lt;0, 0,(2008-$D9)+0.58)</f>
        <v>0</v>
      </c>
      <c r="H9" s="403">
        <f>ROUND(E9*G9*F9,2)</f>
        <v>0</v>
      </c>
      <c r="I9" s="411">
        <v>2.06E-2</v>
      </c>
      <c r="J9" s="413">
        <v>0</v>
      </c>
      <c r="K9" s="403">
        <f>ROUND(E9*J9*I9,2)</f>
        <v>0</v>
      </c>
      <c r="L9" s="411">
        <v>1.9E-2</v>
      </c>
      <c r="M9" s="413">
        <f t="shared" ref="M9:M73" si="2">IF(($J$102+1-D9-J9-G9)&gt;5, 5, ($J$102+1-D9-J9-G9))</f>
        <v>5</v>
      </c>
      <c r="N9" s="403">
        <f t="shared" ref="N9:N73" si="3">ROUND(E9*L9*M9,2)</f>
        <v>1038.19</v>
      </c>
      <c r="O9" s="411">
        <v>1.9699999999999999E-2</v>
      </c>
      <c r="P9" s="413">
        <f>IF(J9=0,(2017+1.58-D9)-J9-G9-M9,(2017+1-D9)-J9-G9-M9)</f>
        <v>0.57999999999992724</v>
      </c>
      <c r="Q9" s="403">
        <f>ROUND(E9*O9*P9,2)</f>
        <v>124.87</v>
      </c>
      <c r="R9" s="403">
        <f t="shared" ref="R9:R73" si="4">SUM(H9,K9,N9,Q9)</f>
        <v>1163.06</v>
      </c>
      <c r="S9" s="410">
        <f>E9-R9</f>
        <v>9765.27</v>
      </c>
      <c r="T9" s="403">
        <f>ROUND(E9*O9,2)</f>
        <v>215.29</v>
      </c>
      <c r="V9" s="526">
        <f>2015+1-D9</f>
        <v>3</v>
      </c>
      <c r="W9" s="527">
        <f>G9+J9+P9</f>
        <v>0.57999999999992724</v>
      </c>
      <c r="X9" s="527" t="str">
        <f>IF(V9-W9=0, "ok","error")</f>
        <v>error</v>
      </c>
    </row>
    <row r="10" spans="1:24">
      <c r="A10" s="186" t="s">
        <v>806</v>
      </c>
      <c r="B10" s="186" t="s">
        <v>162</v>
      </c>
      <c r="C10" s="276">
        <v>353</v>
      </c>
      <c r="D10" s="294">
        <v>1959</v>
      </c>
      <c r="E10" s="632">
        <f>748173.1-275.63</f>
        <v>747897.47</v>
      </c>
      <c r="F10" s="411">
        <v>2.12E-2</v>
      </c>
      <c r="G10" s="612">
        <f t="shared" ref="G10:G76" si="5">IF((2008-D10)+0.58&lt;0, 0,(2008-D10)+0.58)</f>
        <v>49.58</v>
      </c>
      <c r="H10" s="403">
        <f>ROUND(E10*G10*F10,2)</f>
        <v>786112.04</v>
      </c>
      <c r="I10" s="411">
        <v>2.06E-2</v>
      </c>
      <c r="J10" s="413">
        <f t="shared" si="0"/>
        <v>3.8400000000000745</v>
      </c>
      <c r="K10" s="403">
        <f t="shared" ref="K10:K70" si="6">ROUND(E10*J10*I10,2)</f>
        <v>59161.68</v>
      </c>
      <c r="L10" s="411">
        <v>1.9E-2</v>
      </c>
      <c r="M10" s="413">
        <f t="shared" si="2"/>
        <v>5</v>
      </c>
      <c r="N10" s="403">
        <f t="shared" si="3"/>
        <v>71050.259999999995</v>
      </c>
      <c r="O10" s="411">
        <v>1.9699999999999999E-2</v>
      </c>
      <c r="P10" s="413">
        <f t="shared" ref="P10:P74" si="7">IF(J10=0,(2017+1.58-D10)-J10-G10-M10,(2017+1-D10)-J10-G10-M10)</f>
        <v>0.57999999999992724</v>
      </c>
      <c r="Q10" s="403">
        <f t="shared" ref="Q10:Q57" si="8">ROUND(E10*O10*P10,2)</f>
        <v>8545.48</v>
      </c>
      <c r="R10" s="403">
        <f t="shared" si="4"/>
        <v>924869.46000000008</v>
      </c>
      <c r="S10" s="410">
        <f t="shared" si="1"/>
        <v>-176971.99000000011</v>
      </c>
      <c r="T10" s="403">
        <f t="shared" ref="T10:T70" si="9">ROUND(E10*O10,2)</f>
        <v>14733.58</v>
      </c>
      <c r="V10" s="526">
        <f t="shared" ref="V10:V80" si="10">2015+1-D10</f>
        <v>57</v>
      </c>
      <c r="W10" s="527">
        <f t="shared" ref="W10:W69" si="11">G10+J10+P10</f>
        <v>54</v>
      </c>
      <c r="X10" s="527" t="str">
        <f t="shared" ref="X10:X69" si="12">IF(V10-W10=0, "ok","error")</f>
        <v>error</v>
      </c>
    </row>
    <row r="11" spans="1:24">
      <c r="A11" s="186" t="s">
        <v>806</v>
      </c>
      <c r="B11" s="186" t="s">
        <v>162</v>
      </c>
      <c r="C11" s="276">
        <v>353</v>
      </c>
      <c r="D11" s="294">
        <v>1980</v>
      </c>
      <c r="E11" s="632">
        <v>1541721.69</v>
      </c>
      <c r="F11" s="411">
        <v>2.12E-2</v>
      </c>
      <c r="G11" s="612">
        <f t="shared" si="5"/>
        <v>28.58</v>
      </c>
      <c r="H11" s="403">
        <f>ROUND(E11*G11*F11,2)</f>
        <v>934123.01</v>
      </c>
      <c r="I11" s="411">
        <v>2.06E-2</v>
      </c>
      <c r="J11" s="413">
        <f t="shared" si="0"/>
        <v>3.8400000000000745</v>
      </c>
      <c r="K11" s="403">
        <f t="shared" si="6"/>
        <v>121956.35</v>
      </c>
      <c r="L11" s="411">
        <v>1.9E-2</v>
      </c>
      <c r="M11" s="413">
        <f t="shared" si="2"/>
        <v>5</v>
      </c>
      <c r="N11" s="403">
        <f t="shared" si="3"/>
        <v>146463.56</v>
      </c>
      <c r="O11" s="411">
        <v>1.9699999999999999E-2</v>
      </c>
      <c r="P11" s="413">
        <f t="shared" si="7"/>
        <v>0.57999999999992724</v>
      </c>
      <c r="Q11" s="403">
        <f t="shared" si="8"/>
        <v>17615.71</v>
      </c>
      <c r="R11" s="403">
        <f t="shared" si="4"/>
        <v>1220158.6300000001</v>
      </c>
      <c r="S11" s="410">
        <f t="shared" si="1"/>
        <v>321563.05999999982</v>
      </c>
      <c r="T11" s="403">
        <f t="shared" si="9"/>
        <v>30371.919999999998</v>
      </c>
      <c r="V11" s="526">
        <f t="shared" si="10"/>
        <v>36</v>
      </c>
      <c r="W11" s="527">
        <f t="shared" si="11"/>
        <v>33</v>
      </c>
      <c r="X11" s="527" t="str">
        <f t="shared" si="12"/>
        <v>error</v>
      </c>
    </row>
    <row r="12" spans="1:24">
      <c r="A12" s="186" t="s">
        <v>806</v>
      </c>
      <c r="B12" s="186" t="s">
        <v>162</v>
      </c>
      <c r="C12" s="276">
        <v>353</v>
      </c>
      <c r="D12" s="294">
        <v>2000</v>
      </c>
      <c r="E12" s="632">
        <v>11284.55</v>
      </c>
      <c r="F12" s="411">
        <v>2.12E-2</v>
      </c>
      <c r="G12" s="612">
        <f t="shared" si="5"/>
        <v>8.58</v>
      </c>
      <c r="H12" s="403">
        <f t="shared" ref="H12:H22" si="13">ROUND(E12*G12*F12,2)</f>
        <v>2052.61</v>
      </c>
      <c r="I12" s="411">
        <v>2.06E-2</v>
      </c>
      <c r="J12" s="413">
        <f t="shared" si="0"/>
        <v>3.8400000000000727</v>
      </c>
      <c r="K12" s="403">
        <f t="shared" si="6"/>
        <v>892.65</v>
      </c>
      <c r="L12" s="411">
        <v>1.9E-2</v>
      </c>
      <c r="M12" s="413">
        <f t="shared" si="2"/>
        <v>5</v>
      </c>
      <c r="N12" s="403">
        <f t="shared" si="3"/>
        <v>1072.03</v>
      </c>
      <c r="O12" s="411">
        <v>1.9699999999999999E-2</v>
      </c>
      <c r="P12" s="413">
        <f t="shared" si="7"/>
        <v>0.57999999999992724</v>
      </c>
      <c r="Q12" s="403">
        <f t="shared" si="8"/>
        <v>128.94</v>
      </c>
      <c r="R12" s="403">
        <f t="shared" si="4"/>
        <v>4146.2299999999996</v>
      </c>
      <c r="S12" s="410">
        <f t="shared" si="1"/>
        <v>7138.32</v>
      </c>
      <c r="T12" s="403">
        <f t="shared" si="9"/>
        <v>222.31</v>
      </c>
      <c r="V12" s="526">
        <f t="shared" si="10"/>
        <v>16</v>
      </c>
      <c r="W12" s="527">
        <f t="shared" si="11"/>
        <v>13</v>
      </c>
      <c r="X12" s="527" t="str">
        <f t="shared" si="12"/>
        <v>error</v>
      </c>
    </row>
    <row r="13" spans="1:24">
      <c r="A13" s="186" t="s">
        <v>806</v>
      </c>
      <c r="B13" s="186" t="s">
        <v>162</v>
      </c>
      <c r="C13" s="276">
        <v>353</v>
      </c>
      <c r="D13" s="294">
        <v>2003</v>
      </c>
      <c r="E13" s="632">
        <v>15167.15</v>
      </c>
      <c r="F13" s="411">
        <v>2.12E-2</v>
      </c>
      <c r="G13" s="612">
        <f t="shared" si="5"/>
        <v>5.58</v>
      </c>
      <c r="H13" s="403">
        <f t="shared" si="13"/>
        <v>1794.21</v>
      </c>
      <c r="I13" s="411">
        <v>2.06E-2</v>
      </c>
      <c r="J13" s="413">
        <f t="shared" si="0"/>
        <v>3.8400000000000727</v>
      </c>
      <c r="K13" s="403">
        <f t="shared" si="6"/>
        <v>1199.78</v>
      </c>
      <c r="L13" s="411">
        <v>1.9E-2</v>
      </c>
      <c r="M13" s="413">
        <f t="shared" si="2"/>
        <v>5</v>
      </c>
      <c r="N13" s="403">
        <f t="shared" si="3"/>
        <v>1440.88</v>
      </c>
      <c r="O13" s="411">
        <v>1.9699999999999999E-2</v>
      </c>
      <c r="P13" s="413">
        <f t="shared" si="7"/>
        <v>0.57999999999992724</v>
      </c>
      <c r="Q13" s="403">
        <f t="shared" si="8"/>
        <v>173.3</v>
      </c>
      <c r="R13" s="403">
        <f t="shared" si="4"/>
        <v>4608.17</v>
      </c>
      <c r="S13" s="410">
        <f t="shared" si="1"/>
        <v>10558.98</v>
      </c>
      <c r="T13" s="403">
        <f t="shared" si="9"/>
        <v>298.79000000000002</v>
      </c>
      <c r="V13" s="526">
        <f t="shared" si="10"/>
        <v>13</v>
      </c>
      <c r="W13" s="527">
        <f t="shared" si="11"/>
        <v>10</v>
      </c>
      <c r="X13" s="527" t="str">
        <f t="shared" si="12"/>
        <v>error</v>
      </c>
    </row>
    <row r="14" spans="1:24">
      <c r="A14" s="186" t="s">
        <v>806</v>
      </c>
      <c r="B14" s="186" t="s">
        <v>162</v>
      </c>
      <c r="C14" s="276">
        <v>353</v>
      </c>
      <c r="D14" s="294">
        <v>2012</v>
      </c>
      <c r="E14" s="632">
        <v>1855783.59</v>
      </c>
      <c r="F14" s="411">
        <v>2.12E-2</v>
      </c>
      <c r="G14" s="612">
        <f t="shared" si="5"/>
        <v>0</v>
      </c>
      <c r="H14" s="403">
        <f t="shared" si="13"/>
        <v>0</v>
      </c>
      <c r="I14" s="411">
        <v>2.06E-2</v>
      </c>
      <c r="J14" s="413">
        <f t="shared" si="0"/>
        <v>0.42</v>
      </c>
      <c r="K14" s="403">
        <f t="shared" si="6"/>
        <v>16056.24</v>
      </c>
      <c r="L14" s="411">
        <v>1.9E-2</v>
      </c>
      <c r="M14" s="413">
        <f t="shared" si="2"/>
        <v>5</v>
      </c>
      <c r="N14" s="403">
        <f t="shared" si="3"/>
        <v>176299.44</v>
      </c>
      <c r="O14" s="411">
        <v>1.9699999999999999E-2</v>
      </c>
      <c r="P14" s="413">
        <f t="shared" si="7"/>
        <v>0.58000000000000007</v>
      </c>
      <c r="Q14" s="403">
        <f t="shared" si="8"/>
        <v>21204.18</v>
      </c>
      <c r="R14" s="403">
        <f t="shared" si="4"/>
        <v>213559.86</v>
      </c>
      <c r="S14" s="410">
        <f t="shared" si="1"/>
        <v>1642223.73</v>
      </c>
      <c r="T14" s="403">
        <f t="shared" si="9"/>
        <v>36558.94</v>
      </c>
      <c r="V14" s="526">
        <f t="shared" si="10"/>
        <v>4</v>
      </c>
      <c r="W14" s="527">
        <f t="shared" si="11"/>
        <v>1</v>
      </c>
      <c r="X14" s="527" t="str">
        <f t="shared" si="12"/>
        <v>error</v>
      </c>
    </row>
    <row r="15" spans="1:24">
      <c r="A15" s="186" t="s">
        <v>806</v>
      </c>
      <c r="B15" s="186" t="s">
        <v>162</v>
      </c>
      <c r="C15" s="276">
        <v>353</v>
      </c>
      <c r="D15" s="294">
        <v>2014</v>
      </c>
      <c r="E15" s="632">
        <v>205853.64</v>
      </c>
      <c r="F15" s="411">
        <v>2.12E-2</v>
      </c>
      <c r="G15" s="612">
        <f>IF((2008-D15)+0.58&lt;0, 0,(2008-D15)+0.58)</f>
        <v>0</v>
      </c>
      <c r="H15" s="403">
        <f>ROUND(E15*G15*F15,2)</f>
        <v>0</v>
      </c>
      <c r="I15" s="411">
        <v>2.06E-2</v>
      </c>
      <c r="J15" s="413">
        <v>0</v>
      </c>
      <c r="K15" s="403">
        <f>ROUND(E15*J15*I15,2)</f>
        <v>0</v>
      </c>
      <c r="L15" s="411">
        <v>1.9E-2</v>
      </c>
      <c r="M15" s="413">
        <f t="shared" si="2"/>
        <v>4</v>
      </c>
      <c r="N15" s="403">
        <f t="shared" si="3"/>
        <v>15644.88</v>
      </c>
      <c r="O15" s="411">
        <v>1.9699999999999999E-2</v>
      </c>
      <c r="P15" s="413">
        <f t="shared" si="7"/>
        <v>0.57999999999992724</v>
      </c>
      <c r="Q15" s="403">
        <f>ROUND(E15*O15*P15,2)</f>
        <v>2352.08</v>
      </c>
      <c r="R15" s="403">
        <f t="shared" si="4"/>
        <v>17996.96</v>
      </c>
      <c r="S15" s="410">
        <f>E15-R15</f>
        <v>187856.68000000002</v>
      </c>
      <c r="T15" s="403">
        <f>ROUND(E15*O15,2)</f>
        <v>4055.32</v>
      </c>
      <c r="V15" s="526">
        <f>2015+1-D15</f>
        <v>2</v>
      </c>
      <c r="W15" s="527">
        <f>G15+J15+P15</f>
        <v>0.57999999999992724</v>
      </c>
      <c r="X15" s="527" t="str">
        <f>IF(V15-W15=0, "ok","error")</f>
        <v>error</v>
      </c>
    </row>
    <row r="16" spans="1:24">
      <c r="A16" s="186" t="s">
        <v>819</v>
      </c>
      <c r="B16" s="186" t="s">
        <v>163</v>
      </c>
      <c r="C16" s="276">
        <v>353</v>
      </c>
      <c r="D16" s="294">
        <v>1950</v>
      </c>
      <c r="E16" s="632">
        <v>316403.89</v>
      </c>
      <c r="F16" s="411">
        <v>2.12E-2</v>
      </c>
      <c r="G16" s="612">
        <f t="shared" si="5"/>
        <v>58.58</v>
      </c>
      <c r="H16" s="403">
        <f t="shared" si="13"/>
        <v>392940.73</v>
      </c>
      <c r="I16" s="411">
        <v>2.06E-2</v>
      </c>
      <c r="J16" s="413">
        <f t="shared" si="0"/>
        <v>3.8400000000000745</v>
      </c>
      <c r="K16" s="403">
        <f t="shared" si="6"/>
        <v>25028.81</v>
      </c>
      <c r="L16" s="411">
        <v>1.9E-2</v>
      </c>
      <c r="M16" s="413">
        <f t="shared" si="2"/>
        <v>5</v>
      </c>
      <c r="N16" s="403">
        <f t="shared" si="3"/>
        <v>30058.37</v>
      </c>
      <c r="O16" s="411">
        <v>1.9699999999999999E-2</v>
      </c>
      <c r="P16" s="413">
        <f t="shared" si="7"/>
        <v>0.57999999999992724</v>
      </c>
      <c r="Q16" s="403">
        <f t="shared" si="8"/>
        <v>3615.23</v>
      </c>
      <c r="R16" s="403">
        <f t="shared" si="4"/>
        <v>451643.13999999996</v>
      </c>
      <c r="S16" s="410">
        <f t="shared" si="1"/>
        <v>-135239.24999999994</v>
      </c>
      <c r="T16" s="403">
        <f t="shared" si="9"/>
        <v>6233.16</v>
      </c>
      <c r="V16" s="526">
        <f t="shared" si="10"/>
        <v>66</v>
      </c>
      <c r="W16" s="527">
        <f t="shared" si="11"/>
        <v>63</v>
      </c>
      <c r="X16" s="527" t="str">
        <f t="shared" si="12"/>
        <v>error</v>
      </c>
    </row>
    <row r="17" spans="1:24">
      <c r="A17" s="186" t="s">
        <v>819</v>
      </c>
      <c r="B17" s="186" t="s">
        <v>163</v>
      </c>
      <c r="C17" s="276">
        <v>353</v>
      </c>
      <c r="D17" s="294">
        <v>1964</v>
      </c>
      <c r="E17" s="632">
        <v>1416.21</v>
      </c>
      <c r="F17" s="411">
        <v>2.12E-2</v>
      </c>
      <c r="G17" s="612">
        <f t="shared" si="5"/>
        <v>44.58</v>
      </c>
      <c r="H17" s="403">
        <f t="shared" si="13"/>
        <v>1338.45</v>
      </c>
      <c r="I17" s="411">
        <v>2.06E-2</v>
      </c>
      <c r="J17" s="413">
        <f t="shared" si="0"/>
        <v>3.8400000000000745</v>
      </c>
      <c r="K17" s="403">
        <f t="shared" si="6"/>
        <v>112.03</v>
      </c>
      <c r="L17" s="411">
        <v>1.9E-2</v>
      </c>
      <c r="M17" s="413">
        <f t="shared" si="2"/>
        <v>5</v>
      </c>
      <c r="N17" s="403">
        <f t="shared" si="3"/>
        <v>134.54</v>
      </c>
      <c r="O17" s="411">
        <v>1.9699999999999999E-2</v>
      </c>
      <c r="P17" s="413">
        <f t="shared" si="7"/>
        <v>0.57999999999992724</v>
      </c>
      <c r="Q17" s="403">
        <f t="shared" si="8"/>
        <v>16.18</v>
      </c>
      <c r="R17" s="403">
        <f t="shared" si="4"/>
        <v>1601.2</v>
      </c>
      <c r="S17" s="410">
        <f t="shared" si="1"/>
        <v>-184.99</v>
      </c>
      <c r="T17" s="403">
        <f t="shared" si="9"/>
        <v>27.9</v>
      </c>
      <c r="V17" s="526">
        <f t="shared" si="10"/>
        <v>52</v>
      </c>
      <c r="W17" s="527">
        <f t="shared" si="11"/>
        <v>49</v>
      </c>
      <c r="X17" s="527" t="str">
        <f t="shared" si="12"/>
        <v>error</v>
      </c>
    </row>
    <row r="18" spans="1:24">
      <c r="A18" s="186" t="s">
        <v>815</v>
      </c>
      <c r="B18" s="186" t="s">
        <v>164</v>
      </c>
      <c r="C18" s="276">
        <v>353</v>
      </c>
      <c r="D18" s="294">
        <v>1983</v>
      </c>
      <c r="E18" s="632">
        <v>257772.45</v>
      </c>
      <c r="F18" s="411">
        <v>2.12E-2</v>
      </c>
      <c r="G18" s="612">
        <f t="shared" si="5"/>
        <v>25.58</v>
      </c>
      <c r="H18" s="403">
        <f t="shared" si="13"/>
        <v>139788.97</v>
      </c>
      <c r="I18" s="411">
        <v>2.06E-2</v>
      </c>
      <c r="J18" s="413">
        <f>IF(G18=0,IF($J$97=D18,$J$97-D18+0.42,($J$97+0.42-D18)-G18),$J$97+0.42-D18)-G18</f>
        <v>3.8400000000000745</v>
      </c>
      <c r="K18" s="403">
        <f t="shared" si="6"/>
        <v>20390.830000000002</v>
      </c>
      <c r="L18" s="411">
        <v>1.9E-2</v>
      </c>
      <c r="M18" s="413">
        <f t="shared" si="2"/>
        <v>5</v>
      </c>
      <c r="N18" s="403">
        <f t="shared" si="3"/>
        <v>24488.38</v>
      </c>
      <c r="O18" s="411">
        <v>1.9699999999999999E-2</v>
      </c>
      <c r="P18" s="413">
        <f t="shared" si="7"/>
        <v>0.57999999999992724</v>
      </c>
      <c r="Q18" s="403">
        <f t="shared" si="8"/>
        <v>2945.31</v>
      </c>
      <c r="R18" s="403">
        <f t="shared" si="4"/>
        <v>187613.49</v>
      </c>
      <c r="S18" s="410">
        <f t="shared" si="1"/>
        <v>70158.960000000021</v>
      </c>
      <c r="T18" s="403">
        <f t="shared" si="9"/>
        <v>5078.12</v>
      </c>
      <c r="V18" s="526">
        <f t="shared" si="10"/>
        <v>33</v>
      </c>
      <c r="W18" s="527">
        <f t="shared" si="11"/>
        <v>30</v>
      </c>
      <c r="X18" s="527" t="str">
        <f t="shared" si="12"/>
        <v>error</v>
      </c>
    </row>
    <row r="19" spans="1:24">
      <c r="A19" s="186" t="s">
        <v>818</v>
      </c>
      <c r="B19" s="186" t="s">
        <v>165</v>
      </c>
      <c r="C19" s="276">
        <v>353</v>
      </c>
      <c r="D19" s="294">
        <v>1965</v>
      </c>
      <c r="E19" s="632">
        <v>19807.669999999998</v>
      </c>
      <c r="F19" s="411">
        <v>2.12E-2</v>
      </c>
      <c r="G19" s="612">
        <f t="shared" si="5"/>
        <v>43.58</v>
      </c>
      <c r="H19" s="403">
        <f t="shared" si="13"/>
        <v>18300.23</v>
      </c>
      <c r="I19" s="411">
        <v>2.06E-2</v>
      </c>
      <c r="J19" s="413">
        <f>IF(G19=0,IF($J$97=D19,$J$97-D19+0.42,($J$97+0.42-D19)-G19),$J$97+0.42-D19)-G19</f>
        <v>3.8400000000000745</v>
      </c>
      <c r="K19" s="403">
        <f t="shared" si="6"/>
        <v>1566.87</v>
      </c>
      <c r="L19" s="411">
        <v>1.9E-2</v>
      </c>
      <c r="M19" s="413">
        <f t="shared" si="2"/>
        <v>5</v>
      </c>
      <c r="N19" s="403">
        <f t="shared" si="3"/>
        <v>1881.73</v>
      </c>
      <c r="O19" s="411">
        <v>1.9699999999999999E-2</v>
      </c>
      <c r="P19" s="413">
        <f t="shared" si="7"/>
        <v>0.57999999999992724</v>
      </c>
      <c r="Q19" s="403">
        <f t="shared" si="8"/>
        <v>226.32</v>
      </c>
      <c r="R19" s="403">
        <f t="shared" si="4"/>
        <v>21975.149999999998</v>
      </c>
      <c r="S19" s="410">
        <f t="shared" si="1"/>
        <v>-2167.4799999999996</v>
      </c>
      <c r="T19" s="403">
        <f t="shared" si="9"/>
        <v>390.21</v>
      </c>
      <c r="V19" s="526">
        <f t="shared" si="10"/>
        <v>51</v>
      </c>
      <c r="W19" s="527">
        <f t="shared" si="11"/>
        <v>48</v>
      </c>
      <c r="X19" s="527" t="str">
        <f t="shared" si="12"/>
        <v>error</v>
      </c>
    </row>
    <row r="20" spans="1:24">
      <c r="A20" s="186" t="s">
        <v>807</v>
      </c>
      <c r="B20" s="186" t="s">
        <v>166</v>
      </c>
      <c r="C20" s="276">
        <v>353</v>
      </c>
      <c r="D20" s="294">
        <v>2001</v>
      </c>
      <c r="E20" s="632">
        <v>259219.44</v>
      </c>
      <c r="F20" s="411">
        <v>2.12E-2</v>
      </c>
      <c r="G20" s="612">
        <f t="shared" si="5"/>
        <v>7.58</v>
      </c>
      <c r="H20" s="403">
        <f t="shared" si="13"/>
        <v>41655.53</v>
      </c>
      <c r="I20" s="411">
        <v>2.06E-2</v>
      </c>
      <c r="J20" s="413">
        <f>IF(G20=0,IF($J$97=D20,$J$97-D20+0.42,($J$97+0.42-D20)-G20),$J$97+0.42-D20)-G20</f>
        <v>3.8400000000000727</v>
      </c>
      <c r="K20" s="403">
        <f t="shared" si="6"/>
        <v>20505.29</v>
      </c>
      <c r="L20" s="411">
        <v>1.9E-2</v>
      </c>
      <c r="M20" s="413">
        <f t="shared" si="2"/>
        <v>5</v>
      </c>
      <c r="N20" s="403">
        <f t="shared" si="3"/>
        <v>24625.85</v>
      </c>
      <c r="O20" s="411">
        <v>1.9699999999999999E-2</v>
      </c>
      <c r="P20" s="413">
        <f t="shared" si="7"/>
        <v>0.57999999999992724</v>
      </c>
      <c r="Q20" s="403">
        <f t="shared" si="8"/>
        <v>2961.84</v>
      </c>
      <c r="R20" s="403">
        <f t="shared" si="4"/>
        <v>89748.51</v>
      </c>
      <c r="S20" s="410">
        <f t="shared" si="1"/>
        <v>169470.93</v>
      </c>
      <c r="T20" s="403">
        <f t="shared" si="9"/>
        <v>5106.62</v>
      </c>
      <c r="V20" s="526">
        <f t="shared" si="10"/>
        <v>15</v>
      </c>
      <c r="W20" s="527">
        <f t="shared" si="11"/>
        <v>12</v>
      </c>
      <c r="X20" s="527" t="str">
        <f t="shared" si="12"/>
        <v>error</v>
      </c>
    </row>
    <row r="21" spans="1:24">
      <c r="A21" s="186" t="s">
        <v>807</v>
      </c>
      <c r="B21" s="186" t="s">
        <v>166</v>
      </c>
      <c r="C21" s="276">
        <v>353</v>
      </c>
      <c r="D21" s="294">
        <v>2008</v>
      </c>
      <c r="E21" s="632">
        <v>7041.17</v>
      </c>
      <c r="F21" s="411">
        <v>2.12E-2</v>
      </c>
      <c r="G21" s="612">
        <f t="shared" si="5"/>
        <v>0.57999999999999996</v>
      </c>
      <c r="H21" s="403">
        <f t="shared" si="13"/>
        <v>86.58</v>
      </c>
      <c r="I21" s="411">
        <v>2.06E-2</v>
      </c>
      <c r="J21" s="413">
        <f t="shared" ref="J21:J56" si="14">IF(G21=0,IF($J$97=D21,$J$97-D21+0.42,($J$97+0.42-D21)-G21),$J$97+0.42-D21)-G21</f>
        <v>3.8400000000000727</v>
      </c>
      <c r="K21" s="403">
        <f t="shared" si="6"/>
        <v>556.98</v>
      </c>
      <c r="L21" s="411">
        <v>1.9E-2</v>
      </c>
      <c r="M21" s="413">
        <f t="shared" si="2"/>
        <v>5</v>
      </c>
      <c r="N21" s="403">
        <f t="shared" si="3"/>
        <v>668.91</v>
      </c>
      <c r="O21" s="411">
        <v>1.9699999999999999E-2</v>
      </c>
      <c r="P21" s="413">
        <f t="shared" si="7"/>
        <v>0.57999999999992724</v>
      </c>
      <c r="Q21" s="403">
        <f t="shared" si="8"/>
        <v>80.45</v>
      </c>
      <c r="R21" s="403">
        <f t="shared" si="4"/>
        <v>1392.92</v>
      </c>
      <c r="S21" s="410">
        <f t="shared" si="1"/>
        <v>5648.25</v>
      </c>
      <c r="T21" s="403">
        <f t="shared" si="9"/>
        <v>138.71</v>
      </c>
      <c r="V21" s="526">
        <f t="shared" si="10"/>
        <v>8</v>
      </c>
      <c r="W21" s="527">
        <f t="shared" si="11"/>
        <v>5</v>
      </c>
      <c r="X21" s="527" t="str">
        <f t="shared" si="12"/>
        <v>error</v>
      </c>
    </row>
    <row r="22" spans="1:24">
      <c r="A22" s="186" t="s">
        <v>807</v>
      </c>
      <c r="B22" s="186" t="s">
        <v>166</v>
      </c>
      <c r="C22" s="276">
        <v>353</v>
      </c>
      <c r="D22" s="479">
        <v>2009</v>
      </c>
      <c r="E22" s="632">
        <v>3878240.38</v>
      </c>
      <c r="F22" s="411">
        <v>2.12E-2</v>
      </c>
      <c r="G22" s="612">
        <f t="shared" si="5"/>
        <v>0</v>
      </c>
      <c r="H22" s="403">
        <f t="shared" si="13"/>
        <v>0</v>
      </c>
      <c r="I22" s="411">
        <v>2.06E-2</v>
      </c>
      <c r="J22" s="413">
        <f t="shared" si="14"/>
        <v>3.4200000000000728</v>
      </c>
      <c r="K22" s="403">
        <f t="shared" si="6"/>
        <v>273229.78999999998</v>
      </c>
      <c r="L22" s="411">
        <v>1.9E-2</v>
      </c>
      <c r="M22" s="413">
        <f t="shared" si="2"/>
        <v>5</v>
      </c>
      <c r="N22" s="403">
        <f t="shared" si="3"/>
        <v>368432.84</v>
      </c>
      <c r="O22" s="411">
        <v>1.9699999999999999E-2</v>
      </c>
      <c r="P22" s="413">
        <f t="shared" si="7"/>
        <v>0.57999999999992724</v>
      </c>
      <c r="Q22" s="403">
        <f t="shared" si="8"/>
        <v>44312.77</v>
      </c>
      <c r="R22" s="403">
        <f t="shared" si="4"/>
        <v>685975.4</v>
      </c>
      <c r="S22" s="410">
        <f t="shared" si="1"/>
        <v>3192264.98</v>
      </c>
      <c r="T22" s="403">
        <f t="shared" si="9"/>
        <v>76401.34</v>
      </c>
      <c r="V22" s="526">
        <f t="shared" si="10"/>
        <v>7</v>
      </c>
      <c r="W22" s="527">
        <f t="shared" si="11"/>
        <v>4</v>
      </c>
      <c r="X22" s="527" t="str">
        <f t="shared" si="12"/>
        <v>error</v>
      </c>
    </row>
    <row r="23" spans="1:24">
      <c r="A23" s="186" t="s">
        <v>808</v>
      </c>
      <c r="B23" s="186" t="s">
        <v>167</v>
      </c>
      <c r="C23" s="276">
        <v>353</v>
      </c>
      <c r="D23" s="294">
        <v>1967</v>
      </c>
      <c r="E23" s="632">
        <v>315299.05</v>
      </c>
      <c r="F23" s="411">
        <v>2.12E-2</v>
      </c>
      <c r="G23" s="612">
        <f t="shared" si="5"/>
        <v>41.58</v>
      </c>
      <c r="H23" s="403">
        <f>ROUND(E23*G23*F23,2)</f>
        <v>277934.84999999998</v>
      </c>
      <c r="I23" s="411">
        <v>2.06E-2</v>
      </c>
      <c r="J23" s="413">
        <f t="shared" si="14"/>
        <v>3.8400000000000745</v>
      </c>
      <c r="K23" s="403">
        <f t="shared" si="6"/>
        <v>24941.42</v>
      </c>
      <c r="L23" s="411">
        <v>1.9E-2</v>
      </c>
      <c r="M23" s="413">
        <f t="shared" si="2"/>
        <v>5</v>
      </c>
      <c r="N23" s="403">
        <f t="shared" si="3"/>
        <v>29953.41</v>
      </c>
      <c r="O23" s="411">
        <v>1.9699999999999999E-2</v>
      </c>
      <c r="P23" s="413">
        <f t="shared" si="7"/>
        <v>0.57999999999992724</v>
      </c>
      <c r="Q23" s="403">
        <f t="shared" si="8"/>
        <v>3602.61</v>
      </c>
      <c r="R23" s="403">
        <f t="shared" si="4"/>
        <v>336432.28999999992</v>
      </c>
      <c r="S23" s="410">
        <f t="shared" si="1"/>
        <v>-21133.239999999932</v>
      </c>
      <c r="T23" s="403">
        <f t="shared" si="9"/>
        <v>6211.39</v>
      </c>
      <c r="V23" s="526">
        <f t="shared" si="10"/>
        <v>49</v>
      </c>
      <c r="W23" s="527">
        <f t="shared" si="11"/>
        <v>46</v>
      </c>
      <c r="X23" s="527" t="str">
        <f t="shared" si="12"/>
        <v>error</v>
      </c>
    </row>
    <row r="24" spans="1:24">
      <c r="A24" s="186" t="s">
        <v>808</v>
      </c>
      <c r="B24" s="186" t="s">
        <v>167</v>
      </c>
      <c r="C24" s="276">
        <v>353</v>
      </c>
      <c r="D24" s="294">
        <v>2000</v>
      </c>
      <c r="E24" s="632">
        <v>893.65</v>
      </c>
      <c r="F24" s="411">
        <v>2.12E-2</v>
      </c>
      <c r="G24" s="612">
        <f t="shared" si="5"/>
        <v>8.58</v>
      </c>
      <c r="H24" s="403">
        <f>ROUND(E24*G24*F24,2)</f>
        <v>162.55000000000001</v>
      </c>
      <c r="I24" s="411">
        <v>2.06E-2</v>
      </c>
      <c r="J24" s="413">
        <f t="shared" si="14"/>
        <v>3.8400000000000727</v>
      </c>
      <c r="K24" s="403">
        <f t="shared" si="6"/>
        <v>70.69</v>
      </c>
      <c r="L24" s="411">
        <v>1.9E-2</v>
      </c>
      <c r="M24" s="413">
        <f t="shared" si="2"/>
        <v>5</v>
      </c>
      <c r="N24" s="403">
        <f t="shared" si="3"/>
        <v>84.9</v>
      </c>
      <c r="O24" s="411">
        <v>1.9699999999999999E-2</v>
      </c>
      <c r="P24" s="413">
        <f t="shared" si="7"/>
        <v>0.57999999999992724</v>
      </c>
      <c r="Q24" s="403">
        <f t="shared" si="8"/>
        <v>10.210000000000001</v>
      </c>
      <c r="R24" s="403">
        <f t="shared" si="4"/>
        <v>328.34999999999997</v>
      </c>
      <c r="S24" s="410">
        <f t="shared" si="1"/>
        <v>565.29999999999995</v>
      </c>
      <c r="T24" s="403">
        <f t="shared" si="9"/>
        <v>17.600000000000001</v>
      </c>
      <c r="V24" s="526">
        <f t="shared" si="10"/>
        <v>16</v>
      </c>
      <c r="W24" s="527">
        <f t="shared" si="11"/>
        <v>13</v>
      </c>
      <c r="X24" s="527" t="str">
        <f t="shared" si="12"/>
        <v>error</v>
      </c>
    </row>
    <row r="25" spans="1:24">
      <c r="A25" s="186" t="s">
        <v>808</v>
      </c>
      <c r="B25" s="186" t="s">
        <v>167</v>
      </c>
      <c r="C25" s="276">
        <v>353</v>
      </c>
      <c r="D25" s="294">
        <v>2015</v>
      </c>
      <c r="E25" s="632">
        <f>1780138.04+1852610.71</f>
        <v>3632748.75</v>
      </c>
      <c r="F25" s="411">
        <v>2.12E-2</v>
      </c>
      <c r="G25" s="612">
        <f t="shared" si="5"/>
        <v>0</v>
      </c>
      <c r="H25" s="403">
        <f>ROUND(E25*G25*F25,2)</f>
        <v>0</v>
      </c>
      <c r="I25" s="411">
        <v>2.06E-2</v>
      </c>
      <c r="J25" s="413">
        <v>0</v>
      </c>
      <c r="K25" s="403">
        <f t="shared" si="6"/>
        <v>0</v>
      </c>
      <c r="L25" s="411">
        <v>1.9E-2</v>
      </c>
      <c r="M25" s="413">
        <f t="shared" si="2"/>
        <v>3</v>
      </c>
      <c r="N25" s="403">
        <f t="shared" si="3"/>
        <v>207066.68</v>
      </c>
      <c r="O25" s="411">
        <v>1.9699999999999999E-2</v>
      </c>
      <c r="P25" s="413">
        <f t="shared" si="7"/>
        <v>0.57999999999992724</v>
      </c>
      <c r="Q25" s="403">
        <f t="shared" si="8"/>
        <v>41507.79</v>
      </c>
      <c r="R25" s="403">
        <f t="shared" si="4"/>
        <v>248574.47</v>
      </c>
      <c r="S25" s="410">
        <f t="shared" si="1"/>
        <v>3384174.28</v>
      </c>
      <c r="T25" s="403">
        <f t="shared" si="9"/>
        <v>71565.149999999994</v>
      </c>
      <c r="V25" s="526">
        <f t="shared" si="10"/>
        <v>1</v>
      </c>
      <c r="W25" s="527">
        <f t="shared" si="11"/>
        <v>0.57999999999992724</v>
      </c>
      <c r="X25" s="527" t="str">
        <f t="shared" si="12"/>
        <v>error</v>
      </c>
    </row>
    <row r="26" spans="1:24">
      <c r="A26" s="186" t="s">
        <v>808</v>
      </c>
      <c r="B26" s="186" t="s">
        <v>167</v>
      </c>
      <c r="C26" s="276">
        <v>353</v>
      </c>
      <c r="D26" s="294">
        <v>2016</v>
      </c>
      <c r="E26" s="632">
        <f>19441.5+4119.44+260.03-6060.94+101.26+1826525.33+2526.14</f>
        <v>1846912.76</v>
      </c>
      <c r="F26" s="411">
        <v>2.12E-2</v>
      </c>
      <c r="G26" s="612">
        <f>IF((2008-D26)+0.58&lt;0, 0,(2008-D26)+0.58)</f>
        <v>0</v>
      </c>
      <c r="H26" s="403">
        <f>ROUND(E26*G26*F26,2)</f>
        <v>0</v>
      </c>
      <c r="I26" s="411">
        <v>2.06E-2</v>
      </c>
      <c r="J26" s="413">
        <v>0</v>
      </c>
      <c r="K26" s="403">
        <f>ROUND(E26*J26*I26,2)</f>
        <v>0</v>
      </c>
      <c r="L26" s="411">
        <v>1.9E-2</v>
      </c>
      <c r="M26" s="413">
        <f t="shared" si="2"/>
        <v>2</v>
      </c>
      <c r="N26" s="403">
        <f t="shared" si="3"/>
        <v>70182.679999999993</v>
      </c>
      <c r="O26" s="411">
        <v>1.9699999999999999E-2</v>
      </c>
      <c r="P26" s="413">
        <f t="shared" si="7"/>
        <v>0.57999999999992724</v>
      </c>
      <c r="Q26" s="403">
        <f>ROUND(E26*O26*P26,2)</f>
        <v>21102.83</v>
      </c>
      <c r="R26" s="403">
        <f t="shared" si="4"/>
        <v>91285.51</v>
      </c>
      <c r="S26" s="410">
        <f>E26-R26</f>
        <v>1755627.25</v>
      </c>
      <c r="T26" s="403">
        <f>ROUND(E26*O26,2)</f>
        <v>36384.18</v>
      </c>
      <c r="V26" s="526">
        <f>2015+1-D26</f>
        <v>0</v>
      </c>
      <c r="W26" s="527">
        <f>G26+J26+P26</f>
        <v>0.57999999999992724</v>
      </c>
      <c r="X26" s="527" t="str">
        <f>IF(V26-W26=0, "ok","error")</f>
        <v>error</v>
      </c>
    </row>
    <row r="27" spans="1:24">
      <c r="A27" s="186" t="s">
        <v>820</v>
      </c>
      <c r="B27" s="186" t="s">
        <v>168</v>
      </c>
      <c r="C27" s="276">
        <v>353</v>
      </c>
      <c r="D27" s="294">
        <v>1948</v>
      </c>
      <c r="E27" s="632">
        <v>81118.75</v>
      </c>
      <c r="F27" s="411">
        <v>2.12E-2</v>
      </c>
      <c r="G27" s="612">
        <f t="shared" si="5"/>
        <v>60.58</v>
      </c>
      <c r="H27" s="403">
        <f t="shared" ref="H27:H34" si="15">ROUND(E27*G27*F27,2)</f>
        <v>104180.49</v>
      </c>
      <c r="I27" s="411">
        <v>2.06E-2</v>
      </c>
      <c r="J27" s="413">
        <f t="shared" si="14"/>
        <v>3.8400000000000745</v>
      </c>
      <c r="K27" s="403">
        <f t="shared" si="6"/>
        <v>6416.82</v>
      </c>
      <c r="L27" s="411">
        <v>1.9E-2</v>
      </c>
      <c r="M27" s="413">
        <f t="shared" si="2"/>
        <v>5</v>
      </c>
      <c r="N27" s="403">
        <f t="shared" si="3"/>
        <v>7706.28</v>
      </c>
      <c r="O27" s="411">
        <v>1.9699999999999999E-2</v>
      </c>
      <c r="P27" s="413">
        <f t="shared" si="7"/>
        <v>0.57999999999992724</v>
      </c>
      <c r="Q27" s="403">
        <f t="shared" si="8"/>
        <v>926.86</v>
      </c>
      <c r="R27" s="403">
        <f t="shared" si="4"/>
        <v>119230.45</v>
      </c>
      <c r="S27" s="410">
        <f t="shared" si="1"/>
        <v>-38111.699999999997</v>
      </c>
      <c r="T27" s="403">
        <f t="shared" si="9"/>
        <v>1598.04</v>
      </c>
      <c r="V27" s="526">
        <f t="shared" si="10"/>
        <v>68</v>
      </c>
      <c r="W27" s="527">
        <f t="shared" si="11"/>
        <v>65</v>
      </c>
      <c r="X27" s="527" t="str">
        <f t="shared" si="12"/>
        <v>error</v>
      </c>
    </row>
    <row r="28" spans="1:24">
      <c r="A28" s="186" t="s">
        <v>820</v>
      </c>
      <c r="B28" s="186" t="s">
        <v>168</v>
      </c>
      <c r="C28" s="276">
        <v>353</v>
      </c>
      <c r="D28" s="294">
        <v>1958</v>
      </c>
      <c r="E28" s="632">
        <v>1551.05</v>
      </c>
      <c r="F28" s="411">
        <v>2.12E-2</v>
      </c>
      <c r="G28" s="612">
        <f t="shared" si="5"/>
        <v>50.58</v>
      </c>
      <c r="H28" s="403">
        <f t="shared" si="15"/>
        <v>1663.18</v>
      </c>
      <c r="I28" s="411">
        <v>2.06E-2</v>
      </c>
      <c r="J28" s="413">
        <f t="shared" si="14"/>
        <v>3.8400000000000745</v>
      </c>
      <c r="K28" s="403">
        <f t="shared" si="6"/>
        <v>122.69</v>
      </c>
      <c r="L28" s="411">
        <v>1.9E-2</v>
      </c>
      <c r="M28" s="413">
        <f t="shared" si="2"/>
        <v>5</v>
      </c>
      <c r="N28" s="403">
        <f t="shared" si="3"/>
        <v>147.35</v>
      </c>
      <c r="O28" s="411">
        <v>1.9699999999999999E-2</v>
      </c>
      <c r="P28" s="413">
        <f t="shared" si="7"/>
        <v>0.57999999999992724</v>
      </c>
      <c r="Q28" s="403">
        <f t="shared" si="8"/>
        <v>17.72</v>
      </c>
      <c r="R28" s="403">
        <f t="shared" si="4"/>
        <v>1950.94</v>
      </c>
      <c r="S28" s="410">
        <f t="shared" si="1"/>
        <v>-399.8900000000001</v>
      </c>
      <c r="T28" s="403">
        <f t="shared" si="9"/>
        <v>30.56</v>
      </c>
      <c r="V28" s="526">
        <f t="shared" si="10"/>
        <v>58</v>
      </c>
      <c r="W28" s="527">
        <f t="shared" si="11"/>
        <v>55</v>
      </c>
      <c r="X28" s="527" t="str">
        <f t="shared" si="12"/>
        <v>error</v>
      </c>
    </row>
    <row r="29" spans="1:24">
      <c r="A29" s="186" t="s">
        <v>823</v>
      </c>
      <c r="B29" s="186" t="s">
        <v>169</v>
      </c>
      <c r="C29" s="276">
        <v>353</v>
      </c>
      <c r="D29" s="294">
        <v>1949</v>
      </c>
      <c r="E29" s="632">
        <v>303512.28999999998</v>
      </c>
      <c r="F29" s="411">
        <v>2.12E-2</v>
      </c>
      <c r="G29" s="612">
        <f t="shared" si="5"/>
        <v>59.58</v>
      </c>
      <c r="H29" s="403">
        <f t="shared" si="15"/>
        <v>383365.16</v>
      </c>
      <c r="I29" s="411">
        <v>2.06E-2</v>
      </c>
      <c r="J29" s="413">
        <f t="shared" si="14"/>
        <v>3.8400000000000745</v>
      </c>
      <c r="K29" s="403">
        <f t="shared" si="6"/>
        <v>24009.040000000001</v>
      </c>
      <c r="L29" s="411">
        <v>1.9E-2</v>
      </c>
      <c r="M29" s="413">
        <f t="shared" si="2"/>
        <v>5</v>
      </c>
      <c r="N29" s="403">
        <f t="shared" si="3"/>
        <v>28833.67</v>
      </c>
      <c r="O29" s="411">
        <v>1.9699999999999999E-2</v>
      </c>
      <c r="P29" s="413">
        <f t="shared" si="7"/>
        <v>0.57999999999992724</v>
      </c>
      <c r="Q29" s="403">
        <f t="shared" si="8"/>
        <v>3467.93</v>
      </c>
      <c r="R29" s="403">
        <f t="shared" si="4"/>
        <v>439675.79999999993</v>
      </c>
      <c r="S29" s="410">
        <f t="shared" si="1"/>
        <v>-136163.50999999995</v>
      </c>
      <c r="T29" s="403">
        <f t="shared" si="9"/>
        <v>5979.19</v>
      </c>
      <c r="V29" s="526">
        <f t="shared" si="10"/>
        <v>67</v>
      </c>
      <c r="W29" s="527">
        <f t="shared" si="11"/>
        <v>64</v>
      </c>
      <c r="X29" s="527" t="str">
        <f t="shared" si="12"/>
        <v>error</v>
      </c>
    </row>
    <row r="30" spans="1:24">
      <c r="A30" s="186" t="s">
        <v>812</v>
      </c>
      <c r="B30" s="186" t="s">
        <v>170</v>
      </c>
      <c r="C30" s="276">
        <v>353</v>
      </c>
      <c r="D30" s="294">
        <v>1992</v>
      </c>
      <c r="E30" s="632">
        <v>664293.88</v>
      </c>
      <c r="F30" s="411">
        <v>2.12E-2</v>
      </c>
      <c r="G30" s="612">
        <f t="shared" si="5"/>
        <v>16.579999999999998</v>
      </c>
      <c r="H30" s="403">
        <f t="shared" si="15"/>
        <v>233496.64</v>
      </c>
      <c r="I30" s="411">
        <v>2.06E-2</v>
      </c>
      <c r="J30" s="413">
        <f t="shared" si="14"/>
        <v>3.8400000000000745</v>
      </c>
      <c r="K30" s="403">
        <f t="shared" si="6"/>
        <v>52548.3</v>
      </c>
      <c r="L30" s="411">
        <v>1.9E-2</v>
      </c>
      <c r="M30" s="413">
        <f t="shared" si="2"/>
        <v>5</v>
      </c>
      <c r="N30" s="403">
        <f t="shared" si="3"/>
        <v>63107.92</v>
      </c>
      <c r="O30" s="411">
        <v>1.9699999999999999E-2</v>
      </c>
      <c r="P30" s="413">
        <f t="shared" si="7"/>
        <v>0.57999999999992724</v>
      </c>
      <c r="Q30" s="403">
        <f t="shared" si="8"/>
        <v>7590.22</v>
      </c>
      <c r="R30" s="403">
        <f t="shared" si="4"/>
        <v>356743.07999999996</v>
      </c>
      <c r="S30" s="410">
        <f t="shared" si="1"/>
        <v>307550.80000000005</v>
      </c>
      <c r="T30" s="403">
        <f t="shared" si="9"/>
        <v>13086.59</v>
      </c>
      <c r="V30" s="526">
        <f t="shared" si="10"/>
        <v>24</v>
      </c>
      <c r="W30" s="527">
        <f t="shared" si="11"/>
        <v>21</v>
      </c>
      <c r="X30" s="527" t="str">
        <f t="shared" si="12"/>
        <v>error</v>
      </c>
    </row>
    <row r="31" spans="1:24">
      <c r="A31" s="186" t="s">
        <v>809</v>
      </c>
      <c r="B31" s="186" t="s">
        <v>171</v>
      </c>
      <c r="C31" s="276">
        <v>353</v>
      </c>
      <c r="D31" s="294">
        <v>1949</v>
      </c>
      <c r="E31" s="632">
        <v>100827.22</v>
      </c>
      <c r="F31" s="411">
        <v>2.12E-2</v>
      </c>
      <c r="G31" s="612">
        <f t="shared" si="5"/>
        <v>59.58</v>
      </c>
      <c r="H31" s="403">
        <f t="shared" si="15"/>
        <v>127354.46</v>
      </c>
      <c r="I31" s="411">
        <v>2.06E-2</v>
      </c>
      <c r="J31" s="413">
        <f t="shared" si="14"/>
        <v>3.8400000000000745</v>
      </c>
      <c r="K31" s="403">
        <f t="shared" si="6"/>
        <v>7975.84</v>
      </c>
      <c r="L31" s="411">
        <v>1.9E-2</v>
      </c>
      <c r="M31" s="413">
        <f t="shared" si="2"/>
        <v>5</v>
      </c>
      <c r="N31" s="403">
        <f t="shared" si="3"/>
        <v>9578.59</v>
      </c>
      <c r="O31" s="411">
        <v>1.9699999999999999E-2</v>
      </c>
      <c r="P31" s="413">
        <f t="shared" si="7"/>
        <v>0.57999999999992724</v>
      </c>
      <c r="Q31" s="403">
        <f t="shared" si="8"/>
        <v>1152.05</v>
      </c>
      <c r="R31" s="403">
        <f t="shared" si="4"/>
        <v>146060.94</v>
      </c>
      <c r="S31" s="410">
        <f t="shared" si="1"/>
        <v>-45233.72</v>
      </c>
      <c r="T31" s="403">
        <f t="shared" si="9"/>
        <v>1986.3</v>
      </c>
      <c r="V31" s="526">
        <f t="shared" si="10"/>
        <v>67</v>
      </c>
      <c r="W31" s="527">
        <f t="shared" si="11"/>
        <v>64</v>
      </c>
      <c r="X31" s="527" t="str">
        <f t="shared" si="12"/>
        <v>error</v>
      </c>
    </row>
    <row r="32" spans="1:24">
      <c r="A32" s="186" t="s">
        <v>809</v>
      </c>
      <c r="B32" s="186" t="s">
        <v>171</v>
      </c>
      <c r="C32" s="276">
        <v>353</v>
      </c>
      <c r="D32" s="294">
        <v>1951</v>
      </c>
      <c r="E32" s="632">
        <v>43216.23</v>
      </c>
      <c r="F32" s="411">
        <v>2.12E-2</v>
      </c>
      <c r="G32" s="612">
        <f t="shared" si="5"/>
        <v>57.58</v>
      </c>
      <c r="H32" s="403">
        <f t="shared" si="15"/>
        <v>52753.88</v>
      </c>
      <c r="I32" s="411">
        <v>2.06E-2</v>
      </c>
      <c r="J32" s="413">
        <f t="shared" si="14"/>
        <v>3.8400000000000745</v>
      </c>
      <c r="K32" s="403">
        <f t="shared" si="6"/>
        <v>3418.58</v>
      </c>
      <c r="L32" s="411">
        <v>1.9E-2</v>
      </c>
      <c r="M32" s="413">
        <f t="shared" si="2"/>
        <v>5</v>
      </c>
      <c r="N32" s="403">
        <f t="shared" si="3"/>
        <v>4105.54</v>
      </c>
      <c r="O32" s="411">
        <v>1.9699999999999999E-2</v>
      </c>
      <c r="P32" s="413">
        <f t="shared" si="7"/>
        <v>0.57999999999992724</v>
      </c>
      <c r="Q32" s="403">
        <f t="shared" si="8"/>
        <v>493.79</v>
      </c>
      <c r="R32" s="403">
        <f t="shared" si="4"/>
        <v>60771.79</v>
      </c>
      <c r="S32" s="410">
        <f t="shared" si="1"/>
        <v>-17555.559999999998</v>
      </c>
      <c r="T32" s="403">
        <f t="shared" si="9"/>
        <v>851.36</v>
      </c>
      <c r="V32" s="526">
        <f t="shared" si="10"/>
        <v>65</v>
      </c>
      <c r="W32" s="527">
        <f t="shared" si="11"/>
        <v>62</v>
      </c>
      <c r="X32" s="527" t="str">
        <f t="shared" si="12"/>
        <v>error</v>
      </c>
    </row>
    <row r="33" spans="1:24">
      <c r="A33" s="186" t="s">
        <v>809</v>
      </c>
      <c r="B33" s="186" t="s">
        <v>171</v>
      </c>
      <c r="C33" s="276">
        <v>353</v>
      </c>
      <c r="D33" s="294">
        <v>1957</v>
      </c>
      <c r="E33" s="632">
        <v>208866.2</v>
      </c>
      <c r="F33" s="411">
        <v>2.12E-2</v>
      </c>
      <c r="G33" s="612">
        <f t="shared" si="5"/>
        <v>51.58</v>
      </c>
      <c r="H33" s="403">
        <f t="shared" si="15"/>
        <v>228394.35</v>
      </c>
      <c r="I33" s="411">
        <v>2.06E-2</v>
      </c>
      <c r="J33" s="413">
        <f t="shared" si="14"/>
        <v>3.8400000000000745</v>
      </c>
      <c r="K33" s="403">
        <f t="shared" si="6"/>
        <v>16522.150000000001</v>
      </c>
      <c r="L33" s="411">
        <v>1.9E-2</v>
      </c>
      <c r="M33" s="413">
        <f t="shared" si="2"/>
        <v>5</v>
      </c>
      <c r="N33" s="403">
        <f t="shared" si="3"/>
        <v>19842.29</v>
      </c>
      <c r="O33" s="411">
        <v>1.9699999999999999E-2</v>
      </c>
      <c r="P33" s="413">
        <f t="shared" si="7"/>
        <v>0.57999999999992724</v>
      </c>
      <c r="Q33" s="403">
        <f t="shared" si="8"/>
        <v>2386.5100000000002</v>
      </c>
      <c r="R33" s="403">
        <f t="shared" si="4"/>
        <v>267145.3</v>
      </c>
      <c r="S33" s="410">
        <f t="shared" si="1"/>
        <v>-58279.099999999977</v>
      </c>
      <c r="T33" s="403">
        <f t="shared" si="9"/>
        <v>4114.66</v>
      </c>
      <c r="V33" s="526">
        <f t="shared" si="10"/>
        <v>59</v>
      </c>
      <c r="W33" s="527">
        <f t="shared" si="11"/>
        <v>56</v>
      </c>
      <c r="X33" s="527" t="str">
        <f t="shared" si="12"/>
        <v>error</v>
      </c>
    </row>
    <row r="34" spans="1:24">
      <c r="A34" s="186" t="s">
        <v>809</v>
      </c>
      <c r="B34" s="186" t="s">
        <v>171</v>
      </c>
      <c r="C34" s="276">
        <v>353</v>
      </c>
      <c r="D34" s="294">
        <v>1961</v>
      </c>
      <c r="E34" s="632">
        <v>423845.86</v>
      </c>
      <c r="F34" s="411">
        <v>2.12E-2</v>
      </c>
      <c r="G34" s="612">
        <f t="shared" si="5"/>
        <v>47.58</v>
      </c>
      <c r="H34" s="403">
        <f t="shared" si="15"/>
        <v>427531.62</v>
      </c>
      <c r="I34" s="411">
        <v>2.06E-2</v>
      </c>
      <c r="J34" s="413">
        <f t="shared" si="14"/>
        <v>3.8400000000000745</v>
      </c>
      <c r="K34" s="403">
        <f t="shared" si="6"/>
        <v>33527.9</v>
      </c>
      <c r="L34" s="411">
        <v>1.9E-2</v>
      </c>
      <c r="M34" s="413">
        <f t="shared" si="2"/>
        <v>5</v>
      </c>
      <c r="N34" s="403">
        <f t="shared" si="3"/>
        <v>40265.360000000001</v>
      </c>
      <c r="O34" s="411">
        <v>1.9699999999999999E-2</v>
      </c>
      <c r="P34" s="413">
        <f t="shared" si="7"/>
        <v>0.57999999999992724</v>
      </c>
      <c r="Q34" s="403">
        <f t="shared" si="8"/>
        <v>4842.8599999999997</v>
      </c>
      <c r="R34" s="403">
        <f t="shared" si="4"/>
        <v>506167.74</v>
      </c>
      <c r="S34" s="410">
        <f t="shared" si="1"/>
        <v>-82321.88</v>
      </c>
      <c r="T34" s="403">
        <f t="shared" si="9"/>
        <v>8349.76</v>
      </c>
      <c r="V34" s="526">
        <f t="shared" si="10"/>
        <v>55</v>
      </c>
      <c r="W34" s="527">
        <f t="shared" si="11"/>
        <v>52</v>
      </c>
      <c r="X34" s="527" t="str">
        <f t="shared" si="12"/>
        <v>error</v>
      </c>
    </row>
    <row r="35" spans="1:24">
      <c r="A35" s="186" t="s">
        <v>809</v>
      </c>
      <c r="B35" s="186" t="s">
        <v>171</v>
      </c>
      <c r="C35" s="276">
        <v>353</v>
      </c>
      <c r="D35" s="294">
        <v>1979</v>
      </c>
      <c r="E35" s="632">
        <v>2963.82</v>
      </c>
      <c r="F35" s="411">
        <v>2.12E-2</v>
      </c>
      <c r="G35" s="612">
        <f t="shared" si="5"/>
        <v>29.58</v>
      </c>
      <c r="H35" s="403">
        <f>ROUND(E35*G35*F35,2)</f>
        <v>1858.6</v>
      </c>
      <c r="I35" s="411">
        <v>2.06E-2</v>
      </c>
      <c r="J35" s="413">
        <f t="shared" si="14"/>
        <v>3.8400000000000745</v>
      </c>
      <c r="K35" s="403">
        <f t="shared" si="6"/>
        <v>234.45</v>
      </c>
      <c r="L35" s="411">
        <v>1.9E-2</v>
      </c>
      <c r="M35" s="413">
        <f t="shared" si="2"/>
        <v>5</v>
      </c>
      <c r="N35" s="403">
        <f t="shared" si="3"/>
        <v>281.56</v>
      </c>
      <c r="O35" s="411">
        <v>1.9699999999999999E-2</v>
      </c>
      <c r="P35" s="413">
        <f t="shared" si="7"/>
        <v>0.57999999999992724</v>
      </c>
      <c r="Q35" s="403">
        <f t="shared" si="8"/>
        <v>33.86</v>
      </c>
      <c r="R35" s="403">
        <f t="shared" si="4"/>
        <v>2408.4699999999998</v>
      </c>
      <c r="S35" s="410">
        <f t="shared" si="1"/>
        <v>555.35000000000036</v>
      </c>
      <c r="T35" s="403">
        <f t="shared" si="9"/>
        <v>58.39</v>
      </c>
      <c r="V35" s="526">
        <f t="shared" si="10"/>
        <v>37</v>
      </c>
      <c r="W35" s="527">
        <f t="shared" si="11"/>
        <v>34</v>
      </c>
      <c r="X35" s="527" t="str">
        <f t="shared" si="12"/>
        <v>error</v>
      </c>
    </row>
    <row r="36" spans="1:24">
      <c r="A36" s="186" t="s">
        <v>809</v>
      </c>
      <c r="B36" s="186" t="s">
        <v>171</v>
      </c>
      <c r="C36" s="276">
        <v>353</v>
      </c>
      <c r="D36" s="294">
        <v>1980</v>
      </c>
      <c r="E36" s="632">
        <v>6099.17</v>
      </c>
      <c r="F36" s="411">
        <v>2.12E-2</v>
      </c>
      <c r="G36" s="612">
        <f t="shared" si="5"/>
        <v>28.58</v>
      </c>
      <c r="H36" s="403">
        <f>ROUND(E36*G36*F36,2)</f>
        <v>3695.46</v>
      </c>
      <c r="I36" s="411">
        <v>2.06E-2</v>
      </c>
      <c r="J36" s="413">
        <f t="shared" si="14"/>
        <v>3.8400000000000745</v>
      </c>
      <c r="K36" s="403">
        <f t="shared" si="6"/>
        <v>482.47</v>
      </c>
      <c r="L36" s="411">
        <v>1.9E-2</v>
      </c>
      <c r="M36" s="413">
        <f t="shared" si="2"/>
        <v>5</v>
      </c>
      <c r="N36" s="403">
        <f t="shared" si="3"/>
        <v>579.41999999999996</v>
      </c>
      <c r="O36" s="411">
        <v>1.9699999999999999E-2</v>
      </c>
      <c r="P36" s="413">
        <f t="shared" si="7"/>
        <v>0.57999999999992724</v>
      </c>
      <c r="Q36" s="403">
        <f t="shared" si="8"/>
        <v>69.69</v>
      </c>
      <c r="R36" s="403">
        <f t="shared" si="4"/>
        <v>4827.04</v>
      </c>
      <c r="S36" s="410">
        <f t="shared" si="1"/>
        <v>1272.1300000000001</v>
      </c>
      <c r="T36" s="403">
        <f t="shared" si="9"/>
        <v>120.15</v>
      </c>
      <c r="V36" s="526">
        <f t="shared" si="10"/>
        <v>36</v>
      </c>
      <c r="W36" s="527">
        <f t="shared" si="11"/>
        <v>33</v>
      </c>
      <c r="X36" s="527" t="str">
        <f t="shared" si="12"/>
        <v>error</v>
      </c>
    </row>
    <row r="37" spans="1:24">
      <c r="A37" s="186" t="s">
        <v>809</v>
      </c>
      <c r="B37" s="186" t="s">
        <v>171</v>
      </c>
      <c r="C37" s="276">
        <v>353</v>
      </c>
      <c r="D37" s="294">
        <v>2000</v>
      </c>
      <c r="E37" s="632">
        <v>132897.45000000001</v>
      </c>
      <c r="F37" s="411">
        <v>2.12E-2</v>
      </c>
      <c r="G37" s="612">
        <f t="shared" si="5"/>
        <v>8.58</v>
      </c>
      <c r="H37" s="403">
        <f t="shared" ref="H37:H47" si="16">ROUND(E37*G37*F37,2)</f>
        <v>24173.51</v>
      </c>
      <c r="I37" s="411">
        <v>2.06E-2</v>
      </c>
      <c r="J37" s="413">
        <f t="shared" si="14"/>
        <v>3.8400000000000727</v>
      </c>
      <c r="K37" s="403">
        <f t="shared" si="6"/>
        <v>10512.72</v>
      </c>
      <c r="L37" s="411">
        <v>1.9E-2</v>
      </c>
      <c r="M37" s="413">
        <f t="shared" si="2"/>
        <v>5</v>
      </c>
      <c r="N37" s="403">
        <f t="shared" si="3"/>
        <v>12625.26</v>
      </c>
      <c r="O37" s="411">
        <v>1.9699999999999999E-2</v>
      </c>
      <c r="P37" s="413">
        <f t="shared" si="7"/>
        <v>0.57999999999992724</v>
      </c>
      <c r="Q37" s="403">
        <f t="shared" si="8"/>
        <v>1518.49</v>
      </c>
      <c r="R37" s="403">
        <f t="shared" si="4"/>
        <v>48829.979999999996</v>
      </c>
      <c r="S37" s="410">
        <f t="shared" si="1"/>
        <v>84067.470000000016</v>
      </c>
      <c r="T37" s="403">
        <f t="shared" si="9"/>
        <v>2618.08</v>
      </c>
      <c r="V37" s="526">
        <f t="shared" si="10"/>
        <v>16</v>
      </c>
      <c r="W37" s="527">
        <f t="shared" si="11"/>
        <v>13</v>
      </c>
      <c r="X37" s="527" t="str">
        <f t="shared" si="12"/>
        <v>error</v>
      </c>
    </row>
    <row r="38" spans="1:24">
      <c r="A38" s="186" t="s">
        <v>809</v>
      </c>
      <c r="B38" s="186" t="s">
        <v>171</v>
      </c>
      <c r="C38" s="276">
        <v>353</v>
      </c>
      <c r="D38" s="294">
        <v>2000</v>
      </c>
      <c r="E38" s="632">
        <v>3395.4</v>
      </c>
      <c r="F38" s="411">
        <v>2.12E-2</v>
      </c>
      <c r="G38" s="612">
        <f>IF((2008-D38)+0.58&lt;0, 0,(2008-D38)+0.58)</f>
        <v>8.58</v>
      </c>
      <c r="H38" s="403">
        <f>ROUND(E38*G38*F38,2)</f>
        <v>617.61</v>
      </c>
      <c r="I38" s="411">
        <v>2.06E-2</v>
      </c>
      <c r="J38" s="413">
        <f>IF(G38=0,IF($J$97=D38,$J$97-D38+0.42,($J$97+0.42-D38)-G38),$J$97+0.42-D38)-G38</f>
        <v>3.8400000000000727</v>
      </c>
      <c r="K38" s="403">
        <f>ROUND(E38*J38*I38,2)</f>
        <v>268.58999999999997</v>
      </c>
      <c r="L38" s="411">
        <v>1.9E-2</v>
      </c>
      <c r="M38" s="413">
        <f t="shared" si="2"/>
        <v>5</v>
      </c>
      <c r="N38" s="403">
        <f t="shared" si="3"/>
        <v>322.56</v>
      </c>
      <c r="O38" s="411">
        <v>1.9699999999999999E-2</v>
      </c>
      <c r="P38" s="413">
        <f t="shared" si="7"/>
        <v>0.57999999999992724</v>
      </c>
      <c r="Q38" s="403">
        <f>ROUND(E38*O38*P38,2)</f>
        <v>38.799999999999997</v>
      </c>
      <c r="R38" s="403">
        <f t="shared" si="4"/>
        <v>1247.56</v>
      </c>
      <c r="S38" s="410">
        <f>E38-R38</f>
        <v>2147.84</v>
      </c>
      <c r="T38" s="403">
        <f>ROUND(E38*O38,2)</f>
        <v>66.89</v>
      </c>
      <c r="V38" s="526">
        <f>2015+1-D38</f>
        <v>16</v>
      </c>
      <c r="W38" s="527">
        <f>G38+J38+P38</f>
        <v>13</v>
      </c>
      <c r="X38" s="527" t="str">
        <f>IF(V38-W38=0, "ok","error")</f>
        <v>error</v>
      </c>
    </row>
    <row r="39" spans="1:24">
      <c r="A39" s="186" t="s">
        <v>809</v>
      </c>
      <c r="B39" s="186" t="s">
        <v>171</v>
      </c>
      <c r="C39" s="276">
        <v>353</v>
      </c>
      <c r="D39" s="294">
        <v>2014</v>
      </c>
      <c r="E39" s="632">
        <v>40966.1</v>
      </c>
      <c r="F39" s="411">
        <v>2.12E-2</v>
      </c>
      <c r="G39" s="612">
        <f t="shared" si="5"/>
        <v>0</v>
      </c>
      <c r="H39" s="403">
        <f t="shared" si="16"/>
        <v>0</v>
      </c>
      <c r="I39" s="411">
        <v>2.06E-2</v>
      </c>
      <c r="J39" s="413">
        <v>0</v>
      </c>
      <c r="K39" s="403">
        <f t="shared" si="6"/>
        <v>0</v>
      </c>
      <c r="L39" s="411">
        <v>1.9E-2</v>
      </c>
      <c r="M39" s="413">
        <f t="shared" si="2"/>
        <v>4</v>
      </c>
      <c r="N39" s="403">
        <f t="shared" si="3"/>
        <v>3113.42</v>
      </c>
      <c r="O39" s="411">
        <v>1.9699999999999999E-2</v>
      </c>
      <c r="P39" s="413">
        <f t="shared" si="7"/>
        <v>0.57999999999992724</v>
      </c>
      <c r="Q39" s="403">
        <f t="shared" si="8"/>
        <v>468.08</v>
      </c>
      <c r="R39" s="403">
        <f t="shared" si="4"/>
        <v>3581.5</v>
      </c>
      <c r="S39" s="410">
        <f t="shared" si="1"/>
        <v>37384.6</v>
      </c>
      <c r="T39" s="403">
        <f t="shared" si="9"/>
        <v>807.03</v>
      </c>
      <c r="V39" s="526">
        <f t="shared" si="10"/>
        <v>2</v>
      </c>
      <c r="W39" s="527">
        <f t="shared" si="11"/>
        <v>0.57999999999992724</v>
      </c>
      <c r="X39" s="527" t="str">
        <f t="shared" si="12"/>
        <v>error</v>
      </c>
    </row>
    <row r="40" spans="1:24">
      <c r="A40" s="186" t="s">
        <v>809</v>
      </c>
      <c r="B40" s="186" t="s">
        <v>171</v>
      </c>
      <c r="C40" s="276">
        <v>353</v>
      </c>
      <c r="D40" s="294">
        <v>2017</v>
      </c>
      <c r="E40" s="632">
        <f>60062.59+1823060.94</f>
        <v>1883123.53</v>
      </c>
      <c r="F40" s="411">
        <v>2.12E-2</v>
      </c>
      <c r="G40" s="612">
        <f>IF((2008-D40)+0.58&lt;0, 0,(2008-D40)+0.58)</f>
        <v>0</v>
      </c>
      <c r="H40" s="403">
        <f>ROUND(E40*G40*F40,2)</f>
        <v>0</v>
      </c>
      <c r="I40" s="411">
        <v>2.06E-2</v>
      </c>
      <c r="J40" s="413">
        <v>0</v>
      </c>
      <c r="K40" s="403">
        <f>ROUND(E40*J40*I40,2)</f>
        <v>0</v>
      </c>
      <c r="L40" s="411">
        <v>1.9E-2</v>
      </c>
      <c r="M40" s="413">
        <f>IF(($J$102+1-D40-J40-G40)&gt;5, 5, ($J$102+1-D40-J40-G40))</f>
        <v>1</v>
      </c>
      <c r="N40" s="403">
        <f>ROUND(E40*L40*M40,2)</f>
        <v>35779.35</v>
      </c>
      <c r="O40" s="411">
        <v>1.9699999999999999E-2</v>
      </c>
      <c r="P40" s="413">
        <f>IF(J40=0,(2017+1.58-D40)-J40-G40-M40,(2017+1-D40)-J40-G40-M40)</f>
        <v>0.57999999999992724</v>
      </c>
      <c r="Q40" s="403">
        <f>ROUND(E40*O40*P40,2)</f>
        <v>21516.57</v>
      </c>
      <c r="R40" s="403">
        <f>SUM(H40,K40,N40,Q40)</f>
        <v>57295.92</v>
      </c>
      <c r="S40" s="410">
        <f>E40-R40</f>
        <v>1825827.61</v>
      </c>
      <c r="T40" s="403">
        <f>ROUND(E40*O40,2)</f>
        <v>37097.53</v>
      </c>
      <c r="V40" s="526">
        <f>2015+1-D40</f>
        <v>-1</v>
      </c>
      <c r="W40" s="527">
        <f>G40+J40+P40</f>
        <v>0.57999999999992724</v>
      </c>
      <c r="X40" s="527" t="str">
        <f>IF(V40-W40=0, "ok","error")</f>
        <v>error</v>
      </c>
    </row>
    <row r="41" spans="1:24">
      <c r="A41" s="186" t="s">
        <v>813</v>
      </c>
      <c r="B41" s="186" t="s">
        <v>172</v>
      </c>
      <c r="C41" s="276">
        <v>353</v>
      </c>
      <c r="D41" s="294">
        <v>1992</v>
      </c>
      <c r="E41" s="632">
        <v>306659.17</v>
      </c>
      <c r="F41" s="411">
        <v>2.12E-2</v>
      </c>
      <c r="G41" s="612">
        <f t="shared" si="5"/>
        <v>16.579999999999998</v>
      </c>
      <c r="H41" s="403">
        <f t="shared" si="16"/>
        <v>107789.47</v>
      </c>
      <c r="I41" s="411">
        <v>2.06E-2</v>
      </c>
      <c r="J41" s="413">
        <f t="shared" si="14"/>
        <v>3.8400000000000745</v>
      </c>
      <c r="K41" s="403">
        <f t="shared" si="6"/>
        <v>24257.97</v>
      </c>
      <c r="L41" s="411">
        <v>1.9E-2</v>
      </c>
      <c r="M41" s="413">
        <f t="shared" si="2"/>
        <v>5</v>
      </c>
      <c r="N41" s="403">
        <f t="shared" si="3"/>
        <v>29132.62</v>
      </c>
      <c r="O41" s="411">
        <v>1.9699999999999999E-2</v>
      </c>
      <c r="P41" s="413">
        <f t="shared" si="7"/>
        <v>0.57999999999992724</v>
      </c>
      <c r="Q41" s="403">
        <f t="shared" si="8"/>
        <v>3503.89</v>
      </c>
      <c r="R41" s="403">
        <f t="shared" si="4"/>
        <v>164683.95000000001</v>
      </c>
      <c r="S41" s="410">
        <f t="shared" si="1"/>
        <v>141975.21999999997</v>
      </c>
      <c r="T41" s="403">
        <f t="shared" si="9"/>
        <v>6041.19</v>
      </c>
      <c r="V41" s="526">
        <f t="shared" si="10"/>
        <v>24</v>
      </c>
      <c r="W41" s="527">
        <f t="shared" si="11"/>
        <v>21</v>
      </c>
      <c r="X41" s="527" t="str">
        <f t="shared" si="12"/>
        <v>error</v>
      </c>
    </row>
    <row r="42" spans="1:24">
      <c r="A42" s="186" t="s">
        <v>816</v>
      </c>
      <c r="B42" s="186" t="s">
        <v>173</v>
      </c>
      <c r="C42" s="276">
        <v>353</v>
      </c>
      <c r="D42" s="294">
        <v>1952</v>
      </c>
      <c r="E42" s="632">
        <v>344946.87</v>
      </c>
      <c r="F42" s="411">
        <v>2.12E-2</v>
      </c>
      <c r="G42" s="612">
        <f t="shared" si="5"/>
        <v>56.58</v>
      </c>
      <c r="H42" s="403">
        <f t="shared" si="16"/>
        <v>413762.39</v>
      </c>
      <c r="I42" s="411">
        <v>2.06E-2</v>
      </c>
      <c r="J42" s="413">
        <f t="shared" si="14"/>
        <v>3.8400000000000745</v>
      </c>
      <c r="K42" s="403">
        <f t="shared" si="6"/>
        <v>27286.68</v>
      </c>
      <c r="L42" s="411">
        <v>1.9E-2</v>
      </c>
      <c r="M42" s="413">
        <f t="shared" si="2"/>
        <v>5</v>
      </c>
      <c r="N42" s="403">
        <f t="shared" si="3"/>
        <v>32769.949999999997</v>
      </c>
      <c r="O42" s="411">
        <v>1.9699999999999999E-2</v>
      </c>
      <c r="P42" s="413">
        <f t="shared" si="7"/>
        <v>0.57999999999992724</v>
      </c>
      <c r="Q42" s="403">
        <f t="shared" si="8"/>
        <v>3941.36</v>
      </c>
      <c r="R42" s="403">
        <f t="shared" si="4"/>
        <v>477760.38</v>
      </c>
      <c r="S42" s="410">
        <f t="shared" si="1"/>
        <v>-132813.51</v>
      </c>
      <c r="T42" s="403">
        <f t="shared" si="9"/>
        <v>6795.45</v>
      </c>
      <c r="V42" s="526">
        <f t="shared" si="10"/>
        <v>64</v>
      </c>
      <c r="W42" s="527">
        <f t="shared" si="11"/>
        <v>61</v>
      </c>
      <c r="X42" s="527" t="str">
        <f t="shared" si="12"/>
        <v>error</v>
      </c>
    </row>
    <row r="43" spans="1:24">
      <c r="A43" s="186" t="s">
        <v>816</v>
      </c>
      <c r="B43" s="186" t="s">
        <v>173</v>
      </c>
      <c r="C43" s="276">
        <v>353</v>
      </c>
      <c r="D43" s="294">
        <v>1965</v>
      </c>
      <c r="E43" s="632">
        <v>1480.23</v>
      </c>
      <c r="F43" s="411">
        <v>2.12E-2</v>
      </c>
      <c r="G43" s="612">
        <f t="shared" si="5"/>
        <v>43.58</v>
      </c>
      <c r="H43" s="403">
        <f t="shared" si="16"/>
        <v>1367.58</v>
      </c>
      <c r="I43" s="411">
        <v>2.06E-2</v>
      </c>
      <c r="J43" s="413">
        <f t="shared" si="14"/>
        <v>3.8400000000000745</v>
      </c>
      <c r="K43" s="403">
        <f t="shared" si="6"/>
        <v>117.09</v>
      </c>
      <c r="L43" s="411">
        <v>1.9E-2</v>
      </c>
      <c r="M43" s="413">
        <f t="shared" si="2"/>
        <v>5</v>
      </c>
      <c r="N43" s="403">
        <f t="shared" si="3"/>
        <v>140.62</v>
      </c>
      <c r="O43" s="411">
        <v>1.9699999999999999E-2</v>
      </c>
      <c r="P43" s="413">
        <f t="shared" si="7"/>
        <v>0.57999999999992724</v>
      </c>
      <c r="Q43" s="403">
        <f t="shared" si="8"/>
        <v>16.91</v>
      </c>
      <c r="R43" s="403">
        <f t="shared" si="4"/>
        <v>1642.2</v>
      </c>
      <c r="S43" s="410">
        <f t="shared" si="1"/>
        <v>-161.97000000000003</v>
      </c>
      <c r="T43" s="403">
        <f t="shared" si="9"/>
        <v>29.16</v>
      </c>
      <c r="V43" s="526">
        <f t="shared" si="10"/>
        <v>51</v>
      </c>
      <c r="W43" s="527">
        <f t="shared" si="11"/>
        <v>48</v>
      </c>
      <c r="X43" s="527" t="str">
        <f t="shared" si="12"/>
        <v>error</v>
      </c>
    </row>
    <row r="44" spans="1:24">
      <c r="A44" s="186" t="s">
        <v>816</v>
      </c>
      <c r="B44" s="186" t="s">
        <v>173</v>
      </c>
      <c r="C44" s="276">
        <v>353</v>
      </c>
      <c r="D44" s="294">
        <v>1972</v>
      </c>
      <c r="E44" s="632">
        <v>609.84</v>
      </c>
      <c r="F44" s="411">
        <v>2.12E-2</v>
      </c>
      <c r="G44" s="612">
        <f t="shared" si="5"/>
        <v>36.58</v>
      </c>
      <c r="H44" s="403">
        <f t="shared" si="16"/>
        <v>472.93</v>
      </c>
      <c r="I44" s="411">
        <v>2.06E-2</v>
      </c>
      <c r="J44" s="413">
        <f t="shared" si="14"/>
        <v>3.8400000000000745</v>
      </c>
      <c r="K44" s="403">
        <f t="shared" si="6"/>
        <v>48.24</v>
      </c>
      <c r="L44" s="411">
        <v>1.9E-2</v>
      </c>
      <c r="M44" s="413">
        <f t="shared" si="2"/>
        <v>5</v>
      </c>
      <c r="N44" s="403">
        <f t="shared" si="3"/>
        <v>57.93</v>
      </c>
      <c r="O44" s="411">
        <v>1.9699999999999999E-2</v>
      </c>
      <c r="P44" s="413">
        <f t="shared" si="7"/>
        <v>0.57999999999992724</v>
      </c>
      <c r="Q44" s="403">
        <f t="shared" si="8"/>
        <v>6.97</v>
      </c>
      <c r="R44" s="403">
        <f t="shared" si="4"/>
        <v>586.06999999999994</v>
      </c>
      <c r="S44" s="410">
        <f t="shared" si="1"/>
        <v>23.770000000000095</v>
      </c>
      <c r="T44" s="403">
        <f t="shared" si="9"/>
        <v>12.01</v>
      </c>
      <c r="V44" s="526">
        <f t="shared" si="10"/>
        <v>44</v>
      </c>
      <c r="W44" s="527">
        <f t="shared" si="11"/>
        <v>41</v>
      </c>
      <c r="X44" s="527" t="str">
        <f t="shared" si="12"/>
        <v>error</v>
      </c>
    </row>
    <row r="45" spans="1:24">
      <c r="A45" s="186" t="s">
        <v>816</v>
      </c>
      <c r="B45" s="186" t="s">
        <v>173</v>
      </c>
      <c r="C45" s="276">
        <v>353</v>
      </c>
      <c r="D45" s="294">
        <v>1973</v>
      </c>
      <c r="E45" s="632">
        <v>316.68</v>
      </c>
      <c r="F45" s="411">
        <v>2.12E-2</v>
      </c>
      <c r="G45" s="612">
        <f t="shared" si="5"/>
        <v>35.58</v>
      </c>
      <c r="H45" s="403">
        <f t="shared" si="16"/>
        <v>238.87</v>
      </c>
      <c r="I45" s="411">
        <v>2.06E-2</v>
      </c>
      <c r="J45" s="413">
        <f t="shared" si="14"/>
        <v>3.8400000000000745</v>
      </c>
      <c r="K45" s="403">
        <f t="shared" si="6"/>
        <v>25.05</v>
      </c>
      <c r="L45" s="411">
        <v>1.9E-2</v>
      </c>
      <c r="M45" s="413">
        <f t="shared" si="2"/>
        <v>5</v>
      </c>
      <c r="N45" s="403">
        <f t="shared" si="3"/>
        <v>30.08</v>
      </c>
      <c r="O45" s="411">
        <v>1.9699999999999999E-2</v>
      </c>
      <c r="P45" s="413">
        <f t="shared" si="7"/>
        <v>0.57999999999992724</v>
      </c>
      <c r="Q45" s="403">
        <f t="shared" si="8"/>
        <v>3.62</v>
      </c>
      <c r="R45" s="403">
        <f t="shared" si="4"/>
        <v>297.62</v>
      </c>
      <c r="S45" s="410">
        <f t="shared" si="1"/>
        <v>19.060000000000002</v>
      </c>
      <c r="T45" s="403">
        <f t="shared" si="9"/>
        <v>6.24</v>
      </c>
      <c r="V45" s="526">
        <f t="shared" si="10"/>
        <v>43</v>
      </c>
      <c r="W45" s="527">
        <f t="shared" si="11"/>
        <v>40</v>
      </c>
      <c r="X45" s="527" t="str">
        <f t="shared" si="12"/>
        <v>error</v>
      </c>
    </row>
    <row r="46" spans="1:24">
      <c r="A46" s="186" t="s">
        <v>816</v>
      </c>
      <c r="B46" s="186" t="s">
        <v>173</v>
      </c>
      <c r="C46" s="276">
        <v>353</v>
      </c>
      <c r="D46" s="294">
        <v>1982</v>
      </c>
      <c r="E46" s="632">
        <v>32437.37</v>
      </c>
      <c r="F46" s="411">
        <v>2.12E-2</v>
      </c>
      <c r="G46" s="612">
        <f t="shared" si="5"/>
        <v>26.58</v>
      </c>
      <c r="H46" s="403">
        <f t="shared" si="16"/>
        <v>18278.330000000002</v>
      </c>
      <c r="I46" s="411">
        <v>2.06E-2</v>
      </c>
      <c r="J46" s="413">
        <f t="shared" si="14"/>
        <v>3.8400000000000745</v>
      </c>
      <c r="K46" s="403">
        <f t="shared" si="6"/>
        <v>2565.9299999999998</v>
      </c>
      <c r="L46" s="411">
        <v>1.9E-2</v>
      </c>
      <c r="M46" s="413">
        <f t="shared" si="2"/>
        <v>5</v>
      </c>
      <c r="N46" s="403">
        <f t="shared" si="3"/>
        <v>3081.55</v>
      </c>
      <c r="O46" s="411">
        <v>1.9699999999999999E-2</v>
      </c>
      <c r="P46" s="413">
        <f t="shared" si="7"/>
        <v>0.57999999999992724</v>
      </c>
      <c r="Q46" s="403">
        <f t="shared" si="8"/>
        <v>370.63</v>
      </c>
      <c r="R46" s="403">
        <f t="shared" si="4"/>
        <v>24296.440000000002</v>
      </c>
      <c r="S46" s="410">
        <f t="shared" si="1"/>
        <v>8140.9299999999967</v>
      </c>
      <c r="T46" s="403">
        <f t="shared" si="9"/>
        <v>639.02</v>
      </c>
      <c r="V46" s="526">
        <f t="shared" si="10"/>
        <v>34</v>
      </c>
      <c r="W46" s="527">
        <f t="shared" si="11"/>
        <v>31</v>
      </c>
      <c r="X46" s="527" t="str">
        <f t="shared" si="12"/>
        <v>error</v>
      </c>
    </row>
    <row r="47" spans="1:24">
      <c r="A47" s="186" t="s">
        <v>810</v>
      </c>
      <c r="B47" s="186" t="s">
        <v>174</v>
      </c>
      <c r="C47" s="276">
        <v>353</v>
      </c>
      <c r="D47" s="294">
        <v>1994</v>
      </c>
      <c r="E47" s="632">
        <v>432054.7</v>
      </c>
      <c r="F47" s="411">
        <v>2.12E-2</v>
      </c>
      <c r="G47" s="612">
        <f t="shared" si="5"/>
        <v>14.58</v>
      </c>
      <c r="H47" s="403">
        <f t="shared" si="16"/>
        <v>133546.38</v>
      </c>
      <c r="I47" s="411">
        <v>2.06E-2</v>
      </c>
      <c r="J47" s="413">
        <f t="shared" si="14"/>
        <v>3.8400000000000727</v>
      </c>
      <c r="K47" s="403">
        <f t="shared" si="6"/>
        <v>34177.25</v>
      </c>
      <c r="L47" s="411">
        <v>1.9E-2</v>
      </c>
      <c r="M47" s="413">
        <f t="shared" si="2"/>
        <v>5</v>
      </c>
      <c r="N47" s="403">
        <f t="shared" si="3"/>
        <v>41045.199999999997</v>
      </c>
      <c r="O47" s="411">
        <v>1.9699999999999999E-2</v>
      </c>
      <c r="P47" s="413">
        <f t="shared" si="7"/>
        <v>0.57999999999992546</v>
      </c>
      <c r="Q47" s="403">
        <f t="shared" si="8"/>
        <v>4936.66</v>
      </c>
      <c r="R47" s="403">
        <f t="shared" si="4"/>
        <v>213705.49000000002</v>
      </c>
      <c r="S47" s="410">
        <f t="shared" si="1"/>
        <v>218349.21</v>
      </c>
      <c r="T47" s="403">
        <f t="shared" si="9"/>
        <v>8511.48</v>
      </c>
      <c r="V47" s="526">
        <f t="shared" si="10"/>
        <v>22</v>
      </c>
      <c r="W47" s="527">
        <f t="shared" si="11"/>
        <v>19</v>
      </c>
      <c r="X47" s="527" t="str">
        <f t="shared" si="12"/>
        <v>error</v>
      </c>
    </row>
    <row r="48" spans="1:24">
      <c r="A48" s="186" t="s">
        <v>810</v>
      </c>
      <c r="B48" s="186" t="s">
        <v>174</v>
      </c>
      <c r="C48" s="276">
        <v>353</v>
      </c>
      <c r="D48" s="294">
        <v>1999</v>
      </c>
      <c r="E48" s="632">
        <v>3.04</v>
      </c>
      <c r="F48" s="411">
        <v>2.12E-2</v>
      </c>
      <c r="G48" s="612">
        <f t="shared" si="5"/>
        <v>9.58</v>
      </c>
      <c r="H48" s="403">
        <f>ROUND(E48*G48*F48,2)</f>
        <v>0.62</v>
      </c>
      <c r="I48" s="411">
        <v>2.06E-2</v>
      </c>
      <c r="J48" s="413">
        <f t="shared" si="14"/>
        <v>3.8400000000000727</v>
      </c>
      <c r="K48" s="403">
        <f t="shared" si="6"/>
        <v>0.24</v>
      </c>
      <c r="L48" s="411">
        <v>1.9E-2</v>
      </c>
      <c r="M48" s="413">
        <f t="shared" si="2"/>
        <v>5</v>
      </c>
      <c r="N48" s="403">
        <f t="shared" si="3"/>
        <v>0.28999999999999998</v>
      </c>
      <c r="O48" s="411">
        <v>1.9699999999999999E-2</v>
      </c>
      <c r="P48" s="413">
        <f t="shared" si="7"/>
        <v>0.57999999999992724</v>
      </c>
      <c r="Q48" s="403">
        <f t="shared" si="8"/>
        <v>0.03</v>
      </c>
      <c r="R48" s="403">
        <f t="shared" si="4"/>
        <v>1.18</v>
      </c>
      <c r="S48" s="410">
        <f t="shared" si="1"/>
        <v>1.86</v>
      </c>
      <c r="T48" s="403">
        <f t="shared" si="9"/>
        <v>0.06</v>
      </c>
      <c r="V48" s="526">
        <f t="shared" si="10"/>
        <v>17</v>
      </c>
      <c r="W48" s="527">
        <f t="shared" si="11"/>
        <v>14</v>
      </c>
      <c r="X48" s="527" t="str">
        <f t="shared" si="12"/>
        <v>error</v>
      </c>
    </row>
    <row r="49" spans="1:24">
      <c r="A49" s="186" t="s">
        <v>824</v>
      </c>
      <c r="B49" s="186" t="s">
        <v>175</v>
      </c>
      <c r="C49" s="276">
        <v>353</v>
      </c>
      <c r="D49" s="294">
        <v>1949</v>
      </c>
      <c r="E49" s="632">
        <v>39458.78</v>
      </c>
      <c r="F49" s="411">
        <v>2.12E-2</v>
      </c>
      <c r="G49" s="612">
        <f t="shared" si="5"/>
        <v>59.58</v>
      </c>
      <c r="H49" s="403">
        <f>ROUND(E49*G49*F49,2)</f>
        <v>49840.23</v>
      </c>
      <c r="I49" s="411">
        <v>2.06E-2</v>
      </c>
      <c r="J49" s="413">
        <f t="shared" si="14"/>
        <v>3.8400000000000745</v>
      </c>
      <c r="K49" s="403">
        <f t="shared" si="6"/>
        <v>3121.35</v>
      </c>
      <c r="L49" s="411">
        <v>1.9E-2</v>
      </c>
      <c r="M49" s="413">
        <f t="shared" si="2"/>
        <v>5</v>
      </c>
      <c r="N49" s="403">
        <f t="shared" si="3"/>
        <v>3748.58</v>
      </c>
      <c r="O49" s="411">
        <v>1.9699999999999999E-2</v>
      </c>
      <c r="P49" s="413">
        <f t="shared" si="7"/>
        <v>0.57999999999992724</v>
      </c>
      <c r="Q49" s="403">
        <f t="shared" si="8"/>
        <v>450.86</v>
      </c>
      <c r="R49" s="403">
        <f t="shared" si="4"/>
        <v>57161.020000000004</v>
      </c>
      <c r="S49" s="410">
        <f t="shared" si="1"/>
        <v>-17702.240000000005</v>
      </c>
      <c r="T49" s="403">
        <f t="shared" si="9"/>
        <v>777.34</v>
      </c>
      <c r="V49" s="526">
        <f t="shared" si="10"/>
        <v>67</v>
      </c>
      <c r="W49" s="527">
        <f t="shared" si="11"/>
        <v>64</v>
      </c>
      <c r="X49" s="527" t="str">
        <f t="shared" si="12"/>
        <v>error</v>
      </c>
    </row>
    <row r="50" spans="1:24">
      <c r="A50" s="186" t="s">
        <v>811</v>
      </c>
      <c r="B50" s="186" t="s">
        <v>176</v>
      </c>
      <c r="C50" s="276">
        <v>353</v>
      </c>
      <c r="D50" s="294">
        <v>1995</v>
      </c>
      <c r="E50" s="632">
        <v>430708.27</v>
      </c>
      <c r="F50" s="411">
        <v>2.12E-2</v>
      </c>
      <c r="G50" s="612">
        <f t="shared" si="5"/>
        <v>13.58</v>
      </c>
      <c r="H50" s="403">
        <f t="shared" ref="H50:H57" si="17">ROUND(E50*G50*F50,2)</f>
        <v>123999.19</v>
      </c>
      <c r="I50" s="411">
        <v>2.06E-2</v>
      </c>
      <c r="J50" s="413">
        <f t="shared" si="14"/>
        <v>3.8400000000000727</v>
      </c>
      <c r="K50" s="403">
        <f t="shared" si="6"/>
        <v>34070.75</v>
      </c>
      <c r="L50" s="411">
        <v>1.9E-2</v>
      </c>
      <c r="M50" s="413">
        <f t="shared" si="2"/>
        <v>5</v>
      </c>
      <c r="N50" s="403">
        <f t="shared" si="3"/>
        <v>40917.29</v>
      </c>
      <c r="O50" s="411">
        <v>1.9699999999999999E-2</v>
      </c>
      <c r="P50" s="413">
        <f t="shared" si="7"/>
        <v>0.57999999999992546</v>
      </c>
      <c r="Q50" s="403">
        <f t="shared" si="8"/>
        <v>4921.2700000000004</v>
      </c>
      <c r="R50" s="403">
        <f t="shared" si="4"/>
        <v>203908.5</v>
      </c>
      <c r="S50" s="410">
        <f t="shared" si="1"/>
        <v>226799.77000000002</v>
      </c>
      <c r="T50" s="403">
        <f t="shared" si="9"/>
        <v>8484.9500000000007</v>
      </c>
      <c r="V50" s="526">
        <f t="shared" si="10"/>
        <v>21</v>
      </c>
      <c r="W50" s="527">
        <f t="shared" si="11"/>
        <v>18</v>
      </c>
      <c r="X50" s="527" t="str">
        <f t="shared" si="12"/>
        <v>error</v>
      </c>
    </row>
    <row r="51" spans="1:24">
      <c r="A51" s="186" t="s">
        <v>821</v>
      </c>
      <c r="B51" s="186" t="s">
        <v>177</v>
      </c>
      <c r="C51" s="276">
        <v>353</v>
      </c>
      <c r="D51" s="294">
        <v>1956</v>
      </c>
      <c r="E51" s="632">
        <v>36470.01</v>
      </c>
      <c r="F51" s="411">
        <v>2.12E-2</v>
      </c>
      <c r="G51" s="612">
        <f t="shared" si="5"/>
        <v>52.58</v>
      </c>
      <c r="H51" s="403">
        <f t="shared" si="17"/>
        <v>40652.97</v>
      </c>
      <c r="I51" s="411">
        <v>2.06E-2</v>
      </c>
      <c r="J51" s="413">
        <f t="shared" si="14"/>
        <v>3.8400000000000745</v>
      </c>
      <c r="K51" s="403">
        <f t="shared" si="6"/>
        <v>2884.92</v>
      </c>
      <c r="L51" s="411">
        <v>1.9E-2</v>
      </c>
      <c r="M51" s="413">
        <f t="shared" si="2"/>
        <v>5</v>
      </c>
      <c r="N51" s="403">
        <f t="shared" si="3"/>
        <v>3464.65</v>
      </c>
      <c r="O51" s="411">
        <v>1.9699999999999999E-2</v>
      </c>
      <c r="P51" s="413">
        <f t="shared" si="7"/>
        <v>0.57999999999992724</v>
      </c>
      <c r="Q51" s="403">
        <f t="shared" si="8"/>
        <v>416.71</v>
      </c>
      <c r="R51" s="403">
        <f t="shared" si="4"/>
        <v>47419.25</v>
      </c>
      <c r="S51" s="410">
        <f t="shared" si="1"/>
        <v>-10949.239999999998</v>
      </c>
      <c r="T51" s="403">
        <f t="shared" si="9"/>
        <v>718.46</v>
      </c>
      <c r="V51" s="526">
        <f t="shared" si="10"/>
        <v>60</v>
      </c>
      <c r="W51" s="527">
        <f t="shared" si="11"/>
        <v>57</v>
      </c>
      <c r="X51" s="527" t="str">
        <f t="shared" si="12"/>
        <v>error</v>
      </c>
    </row>
    <row r="52" spans="1:24">
      <c r="A52" s="186" t="s">
        <v>814</v>
      </c>
      <c r="B52" s="186" t="s">
        <v>178</v>
      </c>
      <c r="C52" s="276">
        <v>353</v>
      </c>
      <c r="D52" s="294">
        <v>1948</v>
      </c>
      <c r="E52" s="632">
        <v>31129.21</v>
      </c>
      <c r="F52" s="411">
        <v>2.12E-2</v>
      </c>
      <c r="G52" s="612">
        <f t="shared" si="5"/>
        <v>60.58</v>
      </c>
      <c r="H52" s="403">
        <f t="shared" si="17"/>
        <v>39979.120000000003</v>
      </c>
      <c r="I52" s="411">
        <v>2.06E-2</v>
      </c>
      <c r="J52" s="413">
        <f t="shared" si="14"/>
        <v>3.8400000000000745</v>
      </c>
      <c r="K52" s="403">
        <f t="shared" si="6"/>
        <v>2462.4499999999998</v>
      </c>
      <c r="L52" s="411">
        <v>1.9E-2</v>
      </c>
      <c r="M52" s="413">
        <f t="shared" si="2"/>
        <v>5</v>
      </c>
      <c r="N52" s="403">
        <f t="shared" si="3"/>
        <v>2957.27</v>
      </c>
      <c r="O52" s="411">
        <v>1.9699999999999999E-2</v>
      </c>
      <c r="P52" s="413">
        <f t="shared" si="7"/>
        <v>0.57999999999992724</v>
      </c>
      <c r="Q52" s="403">
        <f t="shared" si="8"/>
        <v>355.68</v>
      </c>
      <c r="R52" s="403">
        <f t="shared" si="4"/>
        <v>45754.52</v>
      </c>
      <c r="S52" s="410">
        <f t="shared" si="1"/>
        <v>-14625.309999999998</v>
      </c>
      <c r="T52" s="403">
        <f t="shared" si="9"/>
        <v>613.25</v>
      </c>
      <c r="V52" s="526">
        <f t="shared" si="10"/>
        <v>68</v>
      </c>
      <c r="W52" s="527">
        <f t="shared" si="11"/>
        <v>65</v>
      </c>
      <c r="X52" s="527" t="str">
        <f t="shared" si="12"/>
        <v>error</v>
      </c>
    </row>
    <row r="53" spans="1:24">
      <c r="A53" s="186" t="s">
        <v>814</v>
      </c>
      <c r="B53" s="186" t="s">
        <v>178</v>
      </c>
      <c r="C53" s="276">
        <v>353</v>
      </c>
      <c r="D53" s="294">
        <v>1987</v>
      </c>
      <c r="E53" s="632">
        <v>2109.16</v>
      </c>
      <c r="F53" s="411">
        <v>2.12E-2</v>
      </c>
      <c r="G53" s="612">
        <f t="shared" si="5"/>
        <v>21.58</v>
      </c>
      <c r="H53" s="403">
        <f t="shared" si="17"/>
        <v>964.93</v>
      </c>
      <c r="I53" s="411">
        <v>2.06E-2</v>
      </c>
      <c r="J53" s="413">
        <f t="shared" si="14"/>
        <v>3.8400000000000745</v>
      </c>
      <c r="K53" s="403">
        <f t="shared" si="6"/>
        <v>166.84</v>
      </c>
      <c r="L53" s="411">
        <v>1.9E-2</v>
      </c>
      <c r="M53" s="413">
        <f t="shared" si="2"/>
        <v>5</v>
      </c>
      <c r="N53" s="403">
        <f t="shared" si="3"/>
        <v>200.37</v>
      </c>
      <c r="O53" s="411">
        <v>1.9699999999999999E-2</v>
      </c>
      <c r="P53" s="413">
        <f t="shared" si="7"/>
        <v>0.57999999999992724</v>
      </c>
      <c r="Q53" s="403">
        <f t="shared" si="8"/>
        <v>24.1</v>
      </c>
      <c r="R53" s="403">
        <f t="shared" si="4"/>
        <v>1356.2399999999998</v>
      </c>
      <c r="S53" s="410">
        <f t="shared" si="1"/>
        <v>752.92000000000007</v>
      </c>
      <c r="T53" s="403">
        <f t="shared" si="9"/>
        <v>41.55</v>
      </c>
      <c r="V53" s="526">
        <f t="shared" si="10"/>
        <v>29</v>
      </c>
      <c r="W53" s="527">
        <f t="shared" si="11"/>
        <v>26</v>
      </c>
      <c r="X53" s="527" t="str">
        <f t="shared" si="12"/>
        <v>error</v>
      </c>
    </row>
    <row r="54" spans="1:24">
      <c r="A54" s="186" t="s">
        <v>814</v>
      </c>
      <c r="B54" s="186" t="s">
        <v>178</v>
      </c>
      <c r="C54" s="276">
        <v>353</v>
      </c>
      <c r="D54" s="294">
        <v>1988</v>
      </c>
      <c r="E54" s="632">
        <v>278.93</v>
      </c>
      <c r="F54" s="411">
        <v>2.12E-2</v>
      </c>
      <c r="G54" s="612">
        <f t="shared" si="5"/>
        <v>20.58</v>
      </c>
      <c r="H54" s="403">
        <f t="shared" si="17"/>
        <v>121.7</v>
      </c>
      <c r="I54" s="411">
        <v>2.06E-2</v>
      </c>
      <c r="J54" s="413">
        <f t="shared" si="14"/>
        <v>3.8400000000000745</v>
      </c>
      <c r="K54" s="403">
        <f t="shared" si="6"/>
        <v>22.06</v>
      </c>
      <c r="L54" s="411">
        <v>1.9E-2</v>
      </c>
      <c r="M54" s="413">
        <f t="shared" si="2"/>
        <v>5</v>
      </c>
      <c r="N54" s="403">
        <f t="shared" si="3"/>
        <v>26.5</v>
      </c>
      <c r="O54" s="411">
        <v>1.9699999999999999E-2</v>
      </c>
      <c r="P54" s="413">
        <f t="shared" si="7"/>
        <v>0.57999999999992724</v>
      </c>
      <c r="Q54" s="403">
        <f t="shared" si="8"/>
        <v>3.19</v>
      </c>
      <c r="R54" s="403">
        <f t="shared" si="4"/>
        <v>173.45</v>
      </c>
      <c r="S54" s="410">
        <f t="shared" si="1"/>
        <v>105.48000000000002</v>
      </c>
      <c r="T54" s="403">
        <f t="shared" si="9"/>
        <v>5.49</v>
      </c>
      <c r="V54" s="526">
        <f t="shared" si="10"/>
        <v>28</v>
      </c>
      <c r="W54" s="527">
        <f t="shared" si="11"/>
        <v>25</v>
      </c>
      <c r="X54" s="527" t="str">
        <f t="shared" si="12"/>
        <v>error</v>
      </c>
    </row>
    <row r="55" spans="1:24">
      <c r="A55" s="186" t="s">
        <v>822</v>
      </c>
      <c r="B55" s="186" t="s">
        <v>179</v>
      </c>
      <c r="C55" s="276">
        <v>353</v>
      </c>
      <c r="D55" s="294">
        <v>1937</v>
      </c>
      <c r="E55" s="632">
        <v>72167.73</v>
      </c>
      <c r="F55" s="411">
        <v>2.12E-2</v>
      </c>
      <c r="G55" s="612">
        <f t="shared" si="5"/>
        <v>71.58</v>
      </c>
      <c r="H55" s="403">
        <f t="shared" si="17"/>
        <v>109514.24000000001</v>
      </c>
      <c r="I55" s="411">
        <v>2.06E-2</v>
      </c>
      <c r="J55" s="413">
        <f t="shared" si="14"/>
        <v>3.8400000000000745</v>
      </c>
      <c r="K55" s="403">
        <f t="shared" si="6"/>
        <v>5708.76</v>
      </c>
      <c r="L55" s="411">
        <v>1.9E-2</v>
      </c>
      <c r="M55" s="413">
        <f t="shared" si="2"/>
        <v>5</v>
      </c>
      <c r="N55" s="403">
        <f t="shared" si="3"/>
        <v>6855.93</v>
      </c>
      <c r="O55" s="411">
        <v>1.9699999999999999E-2</v>
      </c>
      <c r="P55" s="413">
        <f t="shared" si="7"/>
        <v>0.57999999999992724</v>
      </c>
      <c r="Q55" s="403">
        <f t="shared" si="8"/>
        <v>824.59</v>
      </c>
      <c r="R55" s="403">
        <f t="shared" si="4"/>
        <v>122903.51999999999</v>
      </c>
      <c r="S55" s="410">
        <f t="shared" si="1"/>
        <v>-50735.789999999994</v>
      </c>
      <c r="T55" s="403">
        <f t="shared" si="9"/>
        <v>1421.7</v>
      </c>
      <c r="V55" s="526">
        <f t="shared" si="10"/>
        <v>79</v>
      </c>
      <c r="W55" s="527">
        <f t="shared" si="11"/>
        <v>76</v>
      </c>
      <c r="X55" s="527" t="str">
        <f t="shared" si="12"/>
        <v>error</v>
      </c>
    </row>
    <row r="56" spans="1:24">
      <c r="A56" s="186" t="s">
        <v>822</v>
      </c>
      <c r="B56" s="186" t="s">
        <v>179</v>
      </c>
      <c r="C56" s="276">
        <v>353</v>
      </c>
      <c r="D56" s="294">
        <v>1954</v>
      </c>
      <c r="E56" s="632">
        <v>418.06</v>
      </c>
      <c r="F56" s="411">
        <v>2.12E-2</v>
      </c>
      <c r="G56" s="612">
        <f t="shared" si="5"/>
        <v>54.58</v>
      </c>
      <c r="H56" s="403">
        <f>ROUND(E56*G56*F56,2)</f>
        <v>483.74</v>
      </c>
      <c r="I56" s="411">
        <v>2.06E-2</v>
      </c>
      <c r="J56" s="413">
        <f t="shared" si="14"/>
        <v>3.8400000000000745</v>
      </c>
      <c r="K56" s="403">
        <f t="shared" si="6"/>
        <v>33.07</v>
      </c>
      <c r="L56" s="411">
        <v>1.9E-2</v>
      </c>
      <c r="M56" s="413">
        <f t="shared" si="2"/>
        <v>5</v>
      </c>
      <c r="N56" s="403">
        <f t="shared" si="3"/>
        <v>39.72</v>
      </c>
      <c r="O56" s="411">
        <v>1.9699999999999999E-2</v>
      </c>
      <c r="P56" s="413">
        <f t="shared" si="7"/>
        <v>0.57999999999992724</v>
      </c>
      <c r="Q56" s="403">
        <f t="shared" si="8"/>
        <v>4.78</v>
      </c>
      <c r="R56" s="403">
        <f t="shared" si="4"/>
        <v>561.31000000000006</v>
      </c>
      <c r="S56" s="410">
        <f t="shared" si="1"/>
        <v>-143.25000000000006</v>
      </c>
      <c r="T56" s="403">
        <f t="shared" si="9"/>
        <v>8.24</v>
      </c>
      <c r="V56" s="526">
        <f t="shared" si="10"/>
        <v>62</v>
      </c>
      <c r="W56" s="527">
        <f t="shared" si="11"/>
        <v>59</v>
      </c>
      <c r="X56" s="527" t="str">
        <f t="shared" si="12"/>
        <v>error</v>
      </c>
    </row>
    <row r="57" spans="1:24">
      <c r="A57" s="186" t="s">
        <v>825</v>
      </c>
      <c r="B57" s="186" t="s">
        <v>180</v>
      </c>
      <c r="C57" s="276">
        <v>353</v>
      </c>
      <c r="D57" s="294">
        <v>1947</v>
      </c>
      <c r="E57" s="632">
        <v>70392.59</v>
      </c>
      <c r="F57" s="411">
        <v>2.12E-2</v>
      </c>
      <c r="G57" s="612">
        <f t="shared" si="5"/>
        <v>61.58</v>
      </c>
      <c r="H57" s="403">
        <f t="shared" si="17"/>
        <v>91897.24</v>
      </c>
      <c r="I57" s="411">
        <v>2.06E-2</v>
      </c>
      <c r="J57" s="413">
        <f t="shared" ref="J57:J71" si="18">IF(G57=0,IF($J$97=D57,$J$97-D57+0.42,($J$97+0.42-D57)-G57),$J$97+0.42-D57)-G57</f>
        <v>3.8400000000000745</v>
      </c>
      <c r="K57" s="403">
        <f t="shared" si="6"/>
        <v>5568.34</v>
      </c>
      <c r="L57" s="411">
        <v>1.9E-2</v>
      </c>
      <c r="M57" s="413">
        <f t="shared" si="2"/>
        <v>5</v>
      </c>
      <c r="N57" s="403">
        <f t="shared" si="3"/>
        <v>6687.3</v>
      </c>
      <c r="O57" s="411">
        <v>1.9699999999999999E-2</v>
      </c>
      <c r="P57" s="413">
        <f t="shared" si="7"/>
        <v>0.57999999999992724</v>
      </c>
      <c r="Q57" s="403">
        <f t="shared" si="8"/>
        <v>804.31</v>
      </c>
      <c r="R57" s="403">
        <f t="shared" si="4"/>
        <v>104957.19</v>
      </c>
      <c r="S57" s="410">
        <f t="shared" si="1"/>
        <v>-34564.600000000006</v>
      </c>
      <c r="T57" s="403">
        <f t="shared" si="9"/>
        <v>1386.73</v>
      </c>
      <c r="V57" s="526">
        <f t="shared" si="10"/>
        <v>69</v>
      </c>
      <c r="W57" s="527">
        <f t="shared" si="11"/>
        <v>66</v>
      </c>
      <c r="X57" s="527" t="str">
        <f t="shared" si="12"/>
        <v>error</v>
      </c>
    </row>
    <row r="58" spans="1:24">
      <c r="A58" s="186"/>
      <c r="B58" s="186" t="s">
        <v>188</v>
      </c>
      <c r="C58" s="276">
        <v>353</v>
      </c>
      <c r="D58" s="294">
        <v>1980</v>
      </c>
      <c r="E58" s="632">
        <v>373215.24</v>
      </c>
      <c r="F58" s="411">
        <v>2.12E-2</v>
      </c>
      <c r="G58" s="612">
        <f t="shared" si="5"/>
        <v>28.58</v>
      </c>
      <c r="H58" s="403">
        <f t="shared" ref="H58:H87" si="19">ROUND(E58*G58*F58,2)</f>
        <v>226129.62</v>
      </c>
      <c r="I58" s="411">
        <v>2.06E-2</v>
      </c>
      <c r="J58" s="413">
        <f t="shared" si="18"/>
        <v>3.8400000000000745</v>
      </c>
      <c r="K58" s="403">
        <f t="shared" si="6"/>
        <v>29522.82</v>
      </c>
      <c r="L58" s="411">
        <v>1.9E-2</v>
      </c>
      <c r="M58" s="413">
        <f t="shared" si="2"/>
        <v>5</v>
      </c>
      <c r="N58" s="403">
        <f t="shared" si="3"/>
        <v>35455.449999999997</v>
      </c>
      <c r="O58" s="411">
        <v>0.10780000000000001</v>
      </c>
      <c r="P58" s="413">
        <f t="shared" si="7"/>
        <v>0.57999999999992724</v>
      </c>
      <c r="Q58" s="403">
        <f t="shared" ref="Q58:Q89" si="20">ROUND(E58*O58*P58,2)</f>
        <v>23334.91</v>
      </c>
      <c r="R58" s="403">
        <f t="shared" si="4"/>
        <v>314442.8</v>
      </c>
      <c r="S58" s="410">
        <f t="shared" si="1"/>
        <v>58772.44</v>
      </c>
      <c r="T58" s="403">
        <f t="shared" si="9"/>
        <v>40232.6</v>
      </c>
      <c r="V58" s="526">
        <f t="shared" si="10"/>
        <v>36</v>
      </c>
      <c r="W58" s="527">
        <f t="shared" si="11"/>
        <v>33</v>
      </c>
      <c r="X58" s="527" t="str">
        <f t="shared" si="12"/>
        <v>error</v>
      </c>
    </row>
    <row r="59" spans="1:24">
      <c r="A59" s="186"/>
      <c r="B59" s="186" t="s">
        <v>188</v>
      </c>
      <c r="C59" s="276">
        <v>353</v>
      </c>
      <c r="D59" s="294">
        <v>1992</v>
      </c>
      <c r="E59" s="632">
        <v>2010.51</v>
      </c>
      <c r="F59" s="411">
        <v>2.12E-2</v>
      </c>
      <c r="G59" s="612">
        <f t="shared" si="5"/>
        <v>16.579999999999998</v>
      </c>
      <c r="H59" s="403">
        <f t="shared" si="19"/>
        <v>706.69</v>
      </c>
      <c r="I59" s="411">
        <v>2.06E-2</v>
      </c>
      <c r="J59" s="413">
        <f t="shared" si="18"/>
        <v>3.8400000000000745</v>
      </c>
      <c r="K59" s="403">
        <f t="shared" si="6"/>
        <v>159.04</v>
      </c>
      <c r="L59" s="411">
        <v>1.9E-2</v>
      </c>
      <c r="M59" s="413">
        <f t="shared" si="2"/>
        <v>5</v>
      </c>
      <c r="N59" s="403">
        <f t="shared" si="3"/>
        <v>191</v>
      </c>
      <c r="O59" s="411">
        <v>0.10780000000000001</v>
      </c>
      <c r="P59" s="413">
        <f t="shared" si="7"/>
        <v>0.57999999999992724</v>
      </c>
      <c r="Q59" s="403">
        <f t="shared" si="20"/>
        <v>125.71</v>
      </c>
      <c r="R59" s="403">
        <f t="shared" si="4"/>
        <v>1182.44</v>
      </c>
      <c r="S59" s="410">
        <f t="shared" si="1"/>
        <v>828.06999999999994</v>
      </c>
      <c r="T59" s="403">
        <f t="shared" si="9"/>
        <v>216.73</v>
      </c>
      <c r="V59" s="526">
        <f t="shared" si="10"/>
        <v>24</v>
      </c>
      <c r="W59" s="527">
        <f t="shared" si="11"/>
        <v>21</v>
      </c>
      <c r="X59" s="527" t="str">
        <f t="shared" si="12"/>
        <v>error</v>
      </c>
    </row>
    <row r="60" spans="1:24">
      <c r="A60" s="186"/>
      <c r="B60" s="186" t="s">
        <v>188</v>
      </c>
      <c r="C60" s="276">
        <v>353</v>
      </c>
      <c r="D60" s="294">
        <v>2003</v>
      </c>
      <c r="E60" s="632">
        <v>64212.69</v>
      </c>
      <c r="F60" s="411">
        <v>2.12E-2</v>
      </c>
      <c r="G60" s="612">
        <f t="shared" si="5"/>
        <v>5.58</v>
      </c>
      <c r="H60" s="403">
        <f t="shared" si="19"/>
        <v>7596.1</v>
      </c>
      <c r="I60" s="411">
        <v>2.06E-2</v>
      </c>
      <c r="J60" s="413">
        <f t="shared" si="18"/>
        <v>3.8400000000000727</v>
      </c>
      <c r="K60" s="403">
        <f t="shared" si="6"/>
        <v>5079.4799999999996</v>
      </c>
      <c r="L60" s="411">
        <v>1.9E-2</v>
      </c>
      <c r="M60" s="413">
        <f t="shared" si="2"/>
        <v>5</v>
      </c>
      <c r="N60" s="403">
        <f t="shared" si="3"/>
        <v>6100.21</v>
      </c>
      <c r="O60" s="411">
        <v>0.10780000000000001</v>
      </c>
      <c r="P60" s="413">
        <f t="shared" si="7"/>
        <v>0.57999999999992724</v>
      </c>
      <c r="Q60" s="403">
        <f t="shared" si="20"/>
        <v>4014.83</v>
      </c>
      <c r="R60" s="403">
        <f t="shared" si="4"/>
        <v>22790.620000000003</v>
      </c>
      <c r="S60" s="410">
        <f t="shared" si="1"/>
        <v>41422.07</v>
      </c>
      <c r="T60" s="403">
        <f t="shared" si="9"/>
        <v>6922.13</v>
      </c>
      <c r="V60" s="526">
        <f t="shared" si="10"/>
        <v>13</v>
      </c>
      <c r="W60" s="527">
        <f t="shared" si="11"/>
        <v>10</v>
      </c>
      <c r="X60" s="527" t="str">
        <f t="shared" si="12"/>
        <v>error</v>
      </c>
    </row>
    <row r="61" spans="1:24">
      <c r="A61" s="186"/>
      <c r="B61" s="186" t="s">
        <v>188</v>
      </c>
      <c r="C61" s="276">
        <v>353</v>
      </c>
      <c r="D61" s="294">
        <v>2007</v>
      </c>
      <c r="E61" s="632">
        <v>3243.66</v>
      </c>
      <c r="F61" s="411">
        <v>2.12E-2</v>
      </c>
      <c r="G61" s="612">
        <f t="shared" si="5"/>
        <v>1.58</v>
      </c>
      <c r="H61" s="403">
        <f t="shared" si="19"/>
        <v>108.65</v>
      </c>
      <c r="I61" s="411">
        <v>2.06E-2</v>
      </c>
      <c r="J61" s="413">
        <f t="shared" si="18"/>
        <v>3.8400000000000727</v>
      </c>
      <c r="K61" s="403">
        <f t="shared" si="6"/>
        <v>256.58999999999997</v>
      </c>
      <c r="L61" s="411">
        <v>1.9E-2</v>
      </c>
      <c r="M61" s="413">
        <f t="shared" si="2"/>
        <v>5</v>
      </c>
      <c r="N61" s="403">
        <f t="shared" si="3"/>
        <v>308.14999999999998</v>
      </c>
      <c r="O61" s="411">
        <v>0.10780000000000001</v>
      </c>
      <c r="P61" s="413">
        <f t="shared" si="7"/>
        <v>0.57999999999992724</v>
      </c>
      <c r="Q61" s="403">
        <f t="shared" si="20"/>
        <v>202.81</v>
      </c>
      <c r="R61" s="403">
        <f t="shared" si="4"/>
        <v>876.2</v>
      </c>
      <c r="S61" s="410">
        <f t="shared" si="1"/>
        <v>2367.46</v>
      </c>
      <c r="T61" s="403">
        <f t="shared" si="9"/>
        <v>349.67</v>
      </c>
      <c r="V61" s="526">
        <f t="shared" si="10"/>
        <v>9</v>
      </c>
      <c r="W61" s="527">
        <f t="shared" si="11"/>
        <v>6</v>
      </c>
      <c r="X61" s="527" t="str">
        <f t="shared" si="12"/>
        <v>error</v>
      </c>
    </row>
    <row r="62" spans="1:24">
      <c r="A62" s="186"/>
      <c r="B62" s="186" t="s">
        <v>188</v>
      </c>
      <c r="C62" s="276">
        <v>353</v>
      </c>
      <c r="D62" s="294">
        <v>2009</v>
      </c>
      <c r="E62" s="632">
        <v>6429.87</v>
      </c>
      <c r="F62" s="411">
        <v>2.12E-2</v>
      </c>
      <c r="G62" s="612">
        <f t="shared" si="5"/>
        <v>0</v>
      </c>
      <c r="H62" s="403">
        <f t="shared" si="19"/>
        <v>0</v>
      </c>
      <c r="I62" s="411">
        <v>2.06E-2</v>
      </c>
      <c r="J62" s="413">
        <f t="shared" si="18"/>
        <v>3.4200000000000728</v>
      </c>
      <c r="K62" s="403">
        <f t="shared" si="6"/>
        <v>453</v>
      </c>
      <c r="L62" s="411">
        <v>1.9E-2</v>
      </c>
      <c r="M62" s="413">
        <f t="shared" si="2"/>
        <v>5</v>
      </c>
      <c r="N62" s="403">
        <f t="shared" si="3"/>
        <v>610.84</v>
      </c>
      <c r="O62" s="411">
        <v>0.10780000000000001</v>
      </c>
      <c r="P62" s="413">
        <f t="shared" si="7"/>
        <v>0.57999999999992724</v>
      </c>
      <c r="Q62" s="403">
        <f t="shared" si="20"/>
        <v>402.02</v>
      </c>
      <c r="R62" s="403">
        <f t="shared" si="4"/>
        <v>1465.8600000000001</v>
      </c>
      <c r="S62" s="410">
        <f t="shared" si="1"/>
        <v>4964.01</v>
      </c>
      <c r="T62" s="403">
        <f t="shared" si="9"/>
        <v>693.14</v>
      </c>
      <c r="V62" s="526">
        <f t="shared" si="10"/>
        <v>7</v>
      </c>
      <c r="W62" s="527">
        <f t="shared" si="11"/>
        <v>4</v>
      </c>
      <c r="X62" s="527" t="str">
        <f t="shared" si="12"/>
        <v>error</v>
      </c>
    </row>
    <row r="63" spans="1:24">
      <c r="A63" s="186"/>
      <c r="B63" s="186" t="s">
        <v>188</v>
      </c>
      <c r="C63" s="276">
        <v>353</v>
      </c>
      <c r="D63" s="294">
        <v>2010</v>
      </c>
      <c r="E63" s="632">
        <v>4030.25</v>
      </c>
      <c r="F63" s="411">
        <v>2.12E-2</v>
      </c>
      <c r="G63" s="612">
        <f t="shared" si="5"/>
        <v>0</v>
      </c>
      <c r="H63" s="403">
        <f t="shared" si="19"/>
        <v>0</v>
      </c>
      <c r="I63" s="411">
        <v>2.06E-2</v>
      </c>
      <c r="J63" s="413">
        <f t="shared" si="18"/>
        <v>2.4200000000000728</v>
      </c>
      <c r="K63" s="403">
        <f t="shared" si="6"/>
        <v>200.92</v>
      </c>
      <c r="L63" s="411">
        <v>1.9E-2</v>
      </c>
      <c r="M63" s="413">
        <f t="shared" si="2"/>
        <v>5</v>
      </c>
      <c r="N63" s="403">
        <f t="shared" si="3"/>
        <v>382.87</v>
      </c>
      <c r="O63" s="411">
        <v>0.10780000000000001</v>
      </c>
      <c r="P63" s="413">
        <f t="shared" si="7"/>
        <v>0.57999999999992724</v>
      </c>
      <c r="Q63" s="403">
        <f t="shared" si="20"/>
        <v>251.99</v>
      </c>
      <c r="R63" s="403">
        <f t="shared" si="4"/>
        <v>835.78</v>
      </c>
      <c r="S63" s="410">
        <f t="shared" si="1"/>
        <v>3194.4700000000003</v>
      </c>
      <c r="T63" s="403">
        <f t="shared" si="9"/>
        <v>434.46</v>
      </c>
      <c r="V63" s="526">
        <f t="shared" si="10"/>
        <v>6</v>
      </c>
      <c r="W63" s="527">
        <f t="shared" si="11"/>
        <v>3</v>
      </c>
      <c r="X63" s="527" t="str">
        <f t="shared" si="12"/>
        <v>error</v>
      </c>
    </row>
    <row r="64" spans="1:24">
      <c r="A64" s="186"/>
      <c r="B64" s="186" t="s">
        <v>188</v>
      </c>
      <c r="C64" s="276">
        <v>353</v>
      </c>
      <c r="D64" s="294">
        <v>2016</v>
      </c>
      <c r="E64" s="632">
        <f>101132*0.1</f>
        <v>10113.200000000001</v>
      </c>
      <c r="F64" s="411">
        <v>2.12E-2</v>
      </c>
      <c r="G64" s="612">
        <f>IF((2008-D64)+0.58&lt;0, 0,(2008-D64)+0.58)</f>
        <v>0</v>
      </c>
      <c r="H64" s="403">
        <f>ROUND(E64*G64*F64,2)</f>
        <v>0</v>
      </c>
      <c r="I64" s="411">
        <v>2.06E-2</v>
      </c>
      <c r="J64" s="413">
        <v>0</v>
      </c>
      <c r="K64" s="403">
        <f>ROUND(E64*J64*I64,2)</f>
        <v>0</v>
      </c>
      <c r="L64" s="411">
        <v>1.9E-2</v>
      </c>
      <c r="M64" s="413">
        <f t="shared" si="2"/>
        <v>2</v>
      </c>
      <c r="N64" s="403">
        <f t="shared" si="3"/>
        <v>384.3</v>
      </c>
      <c r="O64" s="411">
        <v>0.10780000000000001</v>
      </c>
      <c r="P64" s="413">
        <f t="shared" si="7"/>
        <v>0.57999999999992724</v>
      </c>
      <c r="Q64" s="403">
        <f>ROUND(E64*O64*P64,2)</f>
        <v>632.32000000000005</v>
      </c>
      <c r="R64" s="403">
        <f t="shared" si="4"/>
        <v>1016.6200000000001</v>
      </c>
      <c r="S64" s="410">
        <f>E64-R64</f>
        <v>9096.58</v>
      </c>
      <c r="T64" s="403">
        <f>ROUND(E64*O64,2)</f>
        <v>1090.2</v>
      </c>
      <c r="V64" s="526">
        <f>2015+1-D64</f>
        <v>0</v>
      </c>
      <c r="W64" s="527">
        <f>G64+J64+P64</f>
        <v>0.57999999999992724</v>
      </c>
      <c r="X64" s="527" t="str">
        <f>IF(V64-W64=0, "ok","error")</f>
        <v>error</v>
      </c>
    </row>
    <row r="65" spans="1:24">
      <c r="A65" s="186"/>
      <c r="B65" s="186" t="s">
        <v>189</v>
      </c>
      <c r="C65" s="276">
        <v>353</v>
      </c>
      <c r="D65" s="294">
        <v>1976</v>
      </c>
      <c r="E65" s="632">
        <f>842488-533657.09-37722.28-2112.41</f>
        <v>268996.22000000003</v>
      </c>
      <c r="F65" s="411">
        <v>2.12E-2</v>
      </c>
      <c r="G65" s="612">
        <f t="shared" si="5"/>
        <v>32.58</v>
      </c>
      <c r="H65" s="403">
        <f t="shared" si="19"/>
        <v>185794.61</v>
      </c>
      <c r="I65" s="411">
        <v>2.06E-2</v>
      </c>
      <c r="J65" s="413">
        <f t="shared" si="18"/>
        <v>3.8400000000000745</v>
      </c>
      <c r="K65" s="403">
        <f t="shared" si="6"/>
        <v>21278.68</v>
      </c>
      <c r="L65" s="411">
        <v>1.9E-2</v>
      </c>
      <c r="M65" s="413">
        <f t="shared" si="2"/>
        <v>5</v>
      </c>
      <c r="N65" s="403">
        <f t="shared" si="3"/>
        <v>25554.639999999999</v>
      </c>
      <c r="O65" s="411">
        <v>1.9699999999999999E-2</v>
      </c>
      <c r="P65" s="413">
        <f t="shared" si="7"/>
        <v>0.57999999999992724</v>
      </c>
      <c r="Q65" s="403">
        <f t="shared" si="20"/>
        <v>3073.55</v>
      </c>
      <c r="R65" s="403">
        <f t="shared" si="4"/>
        <v>235701.47999999998</v>
      </c>
      <c r="S65" s="410">
        <f t="shared" si="1"/>
        <v>33294.740000000049</v>
      </c>
      <c r="T65" s="403">
        <f t="shared" si="9"/>
        <v>5299.23</v>
      </c>
      <c r="V65" s="526">
        <f t="shared" si="10"/>
        <v>40</v>
      </c>
      <c r="W65" s="527">
        <f t="shared" si="11"/>
        <v>37</v>
      </c>
      <c r="X65" s="527" t="str">
        <f t="shared" si="12"/>
        <v>error</v>
      </c>
    </row>
    <row r="66" spans="1:24">
      <c r="A66" s="186"/>
      <c r="B66" s="186" t="s">
        <v>189</v>
      </c>
      <c r="C66" s="276">
        <v>353</v>
      </c>
      <c r="D66" s="294">
        <v>1990</v>
      </c>
      <c r="E66" s="632">
        <f>965852-14490.31-36852.2-4454.28</f>
        <v>910055.21</v>
      </c>
      <c r="F66" s="411">
        <v>2.12E-2</v>
      </c>
      <c r="G66" s="612">
        <f t="shared" si="5"/>
        <v>18.579999999999998</v>
      </c>
      <c r="H66" s="403">
        <f t="shared" si="19"/>
        <v>358467.11</v>
      </c>
      <c r="I66" s="411">
        <v>2.06E-2</v>
      </c>
      <c r="J66" s="413">
        <f t="shared" si="18"/>
        <v>3.8400000000000745</v>
      </c>
      <c r="K66" s="403">
        <f t="shared" si="6"/>
        <v>71989.009999999995</v>
      </c>
      <c r="L66" s="411">
        <v>1.9E-2</v>
      </c>
      <c r="M66" s="413">
        <f t="shared" si="2"/>
        <v>5</v>
      </c>
      <c r="N66" s="403">
        <f t="shared" si="3"/>
        <v>86455.24</v>
      </c>
      <c r="O66" s="411">
        <v>1.9699999999999999E-2</v>
      </c>
      <c r="P66" s="413">
        <f t="shared" si="7"/>
        <v>0.57999999999992724</v>
      </c>
      <c r="Q66" s="403">
        <f t="shared" si="20"/>
        <v>10398.290000000001</v>
      </c>
      <c r="R66" s="403">
        <f t="shared" si="4"/>
        <v>527309.65</v>
      </c>
      <c r="S66" s="410">
        <f t="shared" si="1"/>
        <v>382745.55999999994</v>
      </c>
      <c r="T66" s="403">
        <f t="shared" si="9"/>
        <v>17928.09</v>
      </c>
      <c r="V66" s="526">
        <f t="shared" si="10"/>
        <v>26</v>
      </c>
      <c r="W66" s="527">
        <f t="shared" si="11"/>
        <v>23</v>
      </c>
      <c r="X66" s="527" t="str">
        <f t="shared" si="12"/>
        <v>error</v>
      </c>
    </row>
    <row r="67" spans="1:24">
      <c r="A67" s="186"/>
      <c r="B67" s="186" t="s">
        <v>189</v>
      </c>
      <c r="C67" s="276">
        <v>353</v>
      </c>
      <c r="D67" s="294">
        <v>1995</v>
      </c>
      <c r="E67" s="632">
        <v>27259</v>
      </c>
      <c r="F67" s="411">
        <v>2.12E-2</v>
      </c>
      <c r="G67" s="612">
        <f t="shared" si="5"/>
        <v>13.58</v>
      </c>
      <c r="H67" s="403">
        <f t="shared" si="19"/>
        <v>7847.76</v>
      </c>
      <c r="I67" s="411">
        <v>2.06E-2</v>
      </c>
      <c r="J67" s="413">
        <f t="shared" si="18"/>
        <v>3.8400000000000727</v>
      </c>
      <c r="K67" s="403">
        <f t="shared" si="6"/>
        <v>2156.3000000000002</v>
      </c>
      <c r="L67" s="411">
        <v>1.9E-2</v>
      </c>
      <c r="M67" s="413">
        <f t="shared" si="2"/>
        <v>5</v>
      </c>
      <c r="N67" s="403">
        <f t="shared" si="3"/>
        <v>2589.61</v>
      </c>
      <c r="O67" s="411">
        <v>1.9699999999999999E-2</v>
      </c>
      <c r="P67" s="413">
        <f t="shared" si="7"/>
        <v>0.57999999999992546</v>
      </c>
      <c r="Q67" s="403">
        <f t="shared" si="20"/>
        <v>311.45999999999998</v>
      </c>
      <c r="R67" s="403">
        <f t="shared" si="4"/>
        <v>12905.130000000001</v>
      </c>
      <c r="S67" s="410">
        <f t="shared" si="1"/>
        <v>14353.869999999999</v>
      </c>
      <c r="T67" s="403">
        <f t="shared" si="9"/>
        <v>537</v>
      </c>
      <c r="V67" s="526">
        <f t="shared" si="10"/>
        <v>21</v>
      </c>
      <c r="W67" s="527">
        <f t="shared" si="11"/>
        <v>18</v>
      </c>
      <c r="X67" s="527" t="str">
        <f t="shared" si="12"/>
        <v>error</v>
      </c>
    </row>
    <row r="68" spans="1:24">
      <c r="A68" s="186"/>
      <c r="B68" s="186" t="s">
        <v>189</v>
      </c>
      <c r="C68" s="276">
        <v>353</v>
      </c>
      <c r="D68" s="294">
        <v>1996</v>
      </c>
      <c r="E68" s="632">
        <v>45684</v>
      </c>
      <c r="F68" s="411">
        <v>2.12E-2</v>
      </c>
      <c r="G68" s="612">
        <f t="shared" si="5"/>
        <v>12.58</v>
      </c>
      <c r="H68" s="403">
        <f t="shared" si="19"/>
        <v>12183.74</v>
      </c>
      <c r="I68" s="411">
        <v>2.06E-2</v>
      </c>
      <c r="J68" s="413">
        <f t="shared" si="18"/>
        <v>3.8400000000000727</v>
      </c>
      <c r="K68" s="403">
        <f t="shared" si="6"/>
        <v>3613.79</v>
      </c>
      <c r="L68" s="411">
        <v>1.9E-2</v>
      </c>
      <c r="M68" s="413">
        <f t="shared" si="2"/>
        <v>5</v>
      </c>
      <c r="N68" s="403">
        <f t="shared" si="3"/>
        <v>4339.9799999999996</v>
      </c>
      <c r="O68" s="411">
        <v>1.9699999999999999E-2</v>
      </c>
      <c r="P68" s="413">
        <f t="shared" si="7"/>
        <v>0.57999999999992546</v>
      </c>
      <c r="Q68" s="403">
        <f t="shared" si="20"/>
        <v>521.99</v>
      </c>
      <c r="R68" s="403">
        <f t="shared" si="4"/>
        <v>20659.5</v>
      </c>
      <c r="S68" s="410">
        <f t="shared" si="1"/>
        <v>25024.5</v>
      </c>
      <c r="T68" s="403">
        <f t="shared" si="9"/>
        <v>899.97</v>
      </c>
      <c r="V68" s="526">
        <f t="shared" si="10"/>
        <v>20</v>
      </c>
      <c r="W68" s="527">
        <f t="shared" si="11"/>
        <v>17</v>
      </c>
      <c r="X68" s="527" t="str">
        <f t="shared" si="12"/>
        <v>error</v>
      </c>
    </row>
    <row r="69" spans="1:24">
      <c r="A69" s="186"/>
      <c r="B69" s="186" t="s">
        <v>189</v>
      </c>
      <c r="C69" s="276">
        <f>C68</f>
        <v>353</v>
      </c>
      <c r="D69" s="294">
        <v>2000</v>
      </c>
      <c r="E69" s="632">
        <v>972906</v>
      </c>
      <c r="F69" s="411">
        <v>2.12E-2</v>
      </c>
      <c r="G69" s="612">
        <f t="shared" si="5"/>
        <v>8.58</v>
      </c>
      <c r="H69" s="403">
        <f t="shared" si="19"/>
        <v>176967.71</v>
      </c>
      <c r="I69" s="411">
        <v>2.06E-2</v>
      </c>
      <c r="J69" s="413">
        <f t="shared" si="18"/>
        <v>3.8400000000000727</v>
      </c>
      <c r="K69" s="403">
        <f t="shared" si="6"/>
        <v>76960.759999999995</v>
      </c>
      <c r="L69" s="411">
        <v>1.9E-2</v>
      </c>
      <c r="M69" s="413">
        <f t="shared" si="2"/>
        <v>5</v>
      </c>
      <c r="N69" s="403">
        <f t="shared" si="3"/>
        <v>92426.07</v>
      </c>
      <c r="O69" s="411">
        <v>1.9699999999999999E-2</v>
      </c>
      <c r="P69" s="413">
        <f t="shared" si="7"/>
        <v>0.57999999999992724</v>
      </c>
      <c r="Q69" s="403">
        <f t="shared" si="20"/>
        <v>11116.42</v>
      </c>
      <c r="R69" s="403">
        <f t="shared" si="4"/>
        <v>357470.95999999996</v>
      </c>
      <c r="S69" s="410">
        <f t="shared" si="1"/>
        <v>615435.04</v>
      </c>
      <c r="T69" s="403">
        <f t="shared" si="9"/>
        <v>19166.25</v>
      </c>
      <c r="V69" s="526">
        <f t="shared" si="10"/>
        <v>16</v>
      </c>
      <c r="W69" s="527">
        <f t="shared" si="11"/>
        <v>13</v>
      </c>
      <c r="X69" s="527" t="str">
        <f t="shared" si="12"/>
        <v>error</v>
      </c>
    </row>
    <row r="70" spans="1:24">
      <c r="A70" s="186"/>
      <c r="B70" s="186" t="s">
        <v>189</v>
      </c>
      <c r="C70" s="276">
        <v>353</v>
      </c>
      <c r="D70" s="294">
        <v>2008</v>
      </c>
      <c r="E70" s="632">
        <f>29415.43+73352.25</f>
        <v>102767.67999999999</v>
      </c>
      <c r="F70" s="411">
        <v>2.12E-2</v>
      </c>
      <c r="G70" s="612">
        <f t="shared" si="5"/>
        <v>0.57999999999999996</v>
      </c>
      <c r="H70" s="403">
        <f t="shared" si="19"/>
        <v>1263.6300000000001</v>
      </c>
      <c r="I70" s="411">
        <v>2.06E-2</v>
      </c>
      <c r="J70" s="413">
        <f t="shared" si="18"/>
        <v>3.8400000000000727</v>
      </c>
      <c r="K70" s="403">
        <f t="shared" si="6"/>
        <v>8129.33</v>
      </c>
      <c r="L70" s="411">
        <v>1.9E-2</v>
      </c>
      <c r="M70" s="413">
        <f t="shared" si="2"/>
        <v>5</v>
      </c>
      <c r="N70" s="403">
        <f t="shared" si="3"/>
        <v>9762.93</v>
      </c>
      <c r="O70" s="411">
        <v>1.9699999999999999E-2</v>
      </c>
      <c r="P70" s="413">
        <f t="shared" si="7"/>
        <v>0.57999999999992724</v>
      </c>
      <c r="Q70" s="403">
        <f t="shared" si="20"/>
        <v>1174.22</v>
      </c>
      <c r="R70" s="403">
        <f t="shared" si="4"/>
        <v>20330.11</v>
      </c>
      <c r="S70" s="410">
        <f t="shared" si="1"/>
        <v>82437.569999999992</v>
      </c>
      <c r="T70" s="403">
        <f t="shared" si="9"/>
        <v>2024.52</v>
      </c>
      <c r="V70" s="526">
        <f t="shared" si="10"/>
        <v>8</v>
      </c>
      <c r="W70" s="527">
        <f t="shared" ref="W70:W89" si="21">G70+J70+P70</f>
        <v>5</v>
      </c>
      <c r="X70" s="527" t="str">
        <f t="shared" ref="X70:X89" si="22">IF(V70-W70=0, "ok","error")</f>
        <v>error</v>
      </c>
    </row>
    <row r="71" spans="1:24">
      <c r="A71" s="186"/>
      <c r="B71" s="186" t="s">
        <v>189</v>
      </c>
      <c r="C71" s="276">
        <v>353</v>
      </c>
      <c r="D71" s="294">
        <v>2011</v>
      </c>
      <c r="E71" s="632">
        <f>482673.57-78424.03</f>
        <v>404249.54000000004</v>
      </c>
      <c r="F71" s="411">
        <v>2.12E-2</v>
      </c>
      <c r="G71" s="612">
        <f t="shared" si="5"/>
        <v>0</v>
      </c>
      <c r="H71" s="403">
        <f t="shared" si="19"/>
        <v>0</v>
      </c>
      <c r="I71" s="411">
        <v>2.06E-2</v>
      </c>
      <c r="J71" s="413">
        <f t="shared" si="18"/>
        <v>1.4200000000000728</v>
      </c>
      <c r="K71" s="403">
        <f t="shared" ref="K71:K89" si="23">ROUND(E71*J71*I71,2)</f>
        <v>11825.11</v>
      </c>
      <c r="L71" s="411">
        <v>1.9E-2</v>
      </c>
      <c r="M71" s="413">
        <f t="shared" si="2"/>
        <v>5</v>
      </c>
      <c r="N71" s="403">
        <f t="shared" si="3"/>
        <v>38403.71</v>
      </c>
      <c r="O71" s="411">
        <v>1.9699999999999999E-2</v>
      </c>
      <c r="P71" s="413">
        <f t="shared" si="7"/>
        <v>0.57999999999992724</v>
      </c>
      <c r="Q71" s="403">
        <f t="shared" si="20"/>
        <v>4618.96</v>
      </c>
      <c r="R71" s="403">
        <f t="shared" si="4"/>
        <v>54847.78</v>
      </c>
      <c r="S71" s="410">
        <f t="shared" ref="S71:S80" si="24">E71-R71</f>
        <v>349401.76</v>
      </c>
      <c r="T71" s="403">
        <f t="shared" ref="T71:T80" si="25">ROUND(E71*O71,2)</f>
        <v>7963.72</v>
      </c>
      <c r="V71" s="526">
        <f t="shared" si="10"/>
        <v>5</v>
      </c>
      <c r="W71" s="527">
        <f t="shared" si="21"/>
        <v>2</v>
      </c>
      <c r="X71" s="527" t="str">
        <f t="shared" si="22"/>
        <v>error</v>
      </c>
    </row>
    <row r="72" spans="1:24">
      <c r="A72" s="186"/>
      <c r="B72" s="186" t="s">
        <v>189</v>
      </c>
      <c r="C72" s="276">
        <v>353</v>
      </c>
      <c r="D72" s="294">
        <v>2013</v>
      </c>
      <c r="E72" s="632">
        <v>20629.744999999999</v>
      </c>
      <c r="F72" s="411">
        <v>2.12E-2</v>
      </c>
      <c r="G72" s="612">
        <f t="shared" si="5"/>
        <v>0</v>
      </c>
      <c r="H72" s="403">
        <f t="shared" si="19"/>
        <v>0</v>
      </c>
      <c r="I72" s="411">
        <v>2.06E-2</v>
      </c>
      <c r="J72" s="413">
        <v>0</v>
      </c>
      <c r="K72" s="403">
        <f t="shared" si="23"/>
        <v>0</v>
      </c>
      <c r="L72" s="411">
        <v>1.9E-2</v>
      </c>
      <c r="M72" s="413">
        <f t="shared" si="2"/>
        <v>5</v>
      </c>
      <c r="N72" s="403">
        <f t="shared" si="3"/>
        <v>1959.83</v>
      </c>
      <c r="O72" s="411">
        <v>1.9699999999999999E-2</v>
      </c>
      <c r="P72" s="413">
        <f t="shared" si="7"/>
        <v>0.57999999999992724</v>
      </c>
      <c r="Q72" s="403">
        <f t="shared" si="20"/>
        <v>235.72</v>
      </c>
      <c r="R72" s="403">
        <f t="shared" si="4"/>
        <v>2195.5499999999997</v>
      </c>
      <c r="S72" s="410">
        <f t="shared" si="24"/>
        <v>18434.195</v>
      </c>
      <c r="T72" s="403">
        <f t="shared" si="25"/>
        <v>406.41</v>
      </c>
      <c r="V72" s="526">
        <f t="shared" si="10"/>
        <v>3</v>
      </c>
      <c r="W72" s="527">
        <f t="shared" si="21"/>
        <v>0.57999999999992724</v>
      </c>
      <c r="X72" s="527" t="str">
        <f t="shared" si="22"/>
        <v>error</v>
      </c>
    </row>
    <row r="73" spans="1:24">
      <c r="A73" s="186"/>
      <c r="B73" s="186" t="s">
        <v>189</v>
      </c>
      <c r="C73" s="276">
        <v>353</v>
      </c>
      <c r="D73" s="294">
        <v>2013</v>
      </c>
      <c r="E73" s="632">
        <v>1564945.2299999997</v>
      </c>
      <c r="F73" s="411">
        <v>2.12E-2</v>
      </c>
      <c r="G73" s="612">
        <f t="shared" si="5"/>
        <v>0</v>
      </c>
      <c r="H73" s="403">
        <f t="shared" si="19"/>
        <v>0</v>
      </c>
      <c r="I73" s="411">
        <v>2.06E-2</v>
      </c>
      <c r="J73" s="413">
        <v>0</v>
      </c>
      <c r="K73" s="403">
        <f t="shared" si="23"/>
        <v>0</v>
      </c>
      <c r="L73" s="411">
        <v>1.9E-2</v>
      </c>
      <c r="M73" s="413">
        <f t="shared" si="2"/>
        <v>5</v>
      </c>
      <c r="N73" s="403">
        <f t="shared" si="3"/>
        <v>148669.79999999999</v>
      </c>
      <c r="O73" s="411">
        <v>1.9699999999999999E-2</v>
      </c>
      <c r="P73" s="413">
        <f t="shared" si="7"/>
        <v>0.57999999999992724</v>
      </c>
      <c r="Q73" s="403">
        <f t="shared" si="20"/>
        <v>17881.060000000001</v>
      </c>
      <c r="R73" s="403">
        <f t="shared" si="4"/>
        <v>166550.85999999999</v>
      </c>
      <c r="S73" s="410">
        <f t="shared" si="24"/>
        <v>1398394.3699999996</v>
      </c>
      <c r="T73" s="403">
        <f t="shared" si="25"/>
        <v>30829.42</v>
      </c>
      <c r="V73" s="526">
        <f t="shared" si="10"/>
        <v>3</v>
      </c>
      <c r="W73" s="527">
        <f t="shared" si="21"/>
        <v>0.57999999999992724</v>
      </c>
      <c r="X73" s="527" t="str">
        <f t="shared" si="22"/>
        <v>error</v>
      </c>
    </row>
    <row r="74" spans="1:24">
      <c r="A74" s="186"/>
      <c r="B74" s="186" t="s">
        <v>189</v>
      </c>
      <c r="C74" s="276">
        <v>353</v>
      </c>
      <c r="D74" s="294">
        <v>2014</v>
      </c>
      <c r="E74" s="632">
        <f>1663952.72+0.43</f>
        <v>1663953.15</v>
      </c>
      <c r="F74" s="411">
        <v>2.12E-2</v>
      </c>
      <c r="G74" s="612">
        <f>IF((2008-D74)+0.58&lt;0, 0,(2008-D74)+0.58)</f>
        <v>0</v>
      </c>
      <c r="H74" s="403">
        <f>ROUND(E74*G74*F74,2)</f>
        <v>0</v>
      </c>
      <c r="I74" s="411">
        <v>2.06E-2</v>
      </c>
      <c r="J74" s="413">
        <v>0</v>
      </c>
      <c r="K74" s="403">
        <f>ROUND(E74*J74*I74,2)</f>
        <v>0</v>
      </c>
      <c r="L74" s="411">
        <v>1.9E-2</v>
      </c>
      <c r="M74" s="413">
        <f t="shared" ref="M74:M89" si="26">IF(($J$102+1-D74-J74-G74)&gt;5, 5, ($J$102+1-D74-J74-G74))</f>
        <v>4</v>
      </c>
      <c r="N74" s="403">
        <f t="shared" ref="N74:N89" si="27">ROUND(E74*L74*M74,2)</f>
        <v>126460.44</v>
      </c>
      <c r="O74" s="411">
        <v>1.9699999999999999E-2</v>
      </c>
      <c r="P74" s="413">
        <f t="shared" si="7"/>
        <v>0.57999999999992724</v>
      </c>
      <c r="Q74" s="403">
        <f>ROUND(E74*O74*P74,2)</f>
        <v>19012.330000000002</v>
      </c>
      <c r="R74" s="403">
        <f t="shared" ref="R74:R89" si="28">SUM(H74,K74,N74,Q74)</f>
        <v>145472.77000000002</v>
      </c>
      <c r="S74" s="410">
        <f t="shared" si="24"/>
        <v>1518480.38</v>
      </c>
      <c r="T74" s="403">
        <f t="shared" si="25"/>
        <v>32779.879999999997</v>
      </c>
      <c r="V74" s="526">
        <f t="shared" si="10"/>
        <v>2</v>
      </c>
      <c r="W74" s="527">
        <f>G74+J74+P74</f>
        <v>0.57999999999992724</v>
      </c>
      <c r="X74" s="527" t="str">
        <f>IF(V74-W74=0, "ok","error")</f>
        <v>error</v>
      </c>
    </row>
    <row r="75" spans="1:24">
      <c r="A75" s="186"/>
      <c r="B75" s="186" t="s">
        <v>189</v>
      </c>
      <c r="C75" s="276">
        <v>353</v>
      </c>
      <c r="D75" s="294">
        <v>2015</v>
      </c>
      <c r="E75" s="632">
        <v>6785.08</v>
      </c>
      <c r="F75" s="411">
        <v>2.12E-2</v>
      </c>
      <c r="G75" s="612">
        <f>IF((2008-D75)+0.58&lt;0, 0,(2008-D75)+0.58)</f>
        <v>0</v>
      </c>
      <c r="H75" s="403">
        <f>ROUND(E75*G75*F75,2)</f>
        <v>0</v>
      </c>
      <c r="I75" s="411">
        <v>2.06E-2</v>
      </c>
      <c r="J75" s="413">
        <v>0</v>
      </c>
      <c r="K75" s="403">
        <f>ROUND(E75*J75*I75,2)</f>
        <v>0</v>
      </c>
      <c r="L75" s="411">
        <v>1.9E-2</v>
      </c>
      <c r="M75" s="413">
        <f t="shared" si="26"/>
        <v>3</v>
      </c>
      <c r="N75" s="403">
        <f t="shared" si="27"/>
        <v>386.75</v>
      </c>
      <c r="O75" s="411">
        <v>1.9699999999999999E-2</v>
      </c>
      <c r="P75" s="413">
        <f t="shared" ref="P75:P89" si="29">IF(J75=0,(2017+1.58-D75)-J75-G75-M75,(2017+1-D75)-J75-G75-M75)</f>
        <v>0.57999999999992724</v>
      </c>
      <c r="Q75" s="403">
        <f>ROUND(E75*O75*P75,2)</f>
        <v>77.53</v>
      </c>
      <c r="R75" s="403">
        <f t="shared" si="28"/>
        <v>464.28</v>
      </c>
      <c r="S75" s="410">
        <f t="shared" si="24"/>
        <v>6320.8</v>
      </c>
      <c r="T75" s="403">
        <f t="shared" si="25"/>
        <v>133.66999999999999</v>
      </c>
      <c r="V75" s="526">
        <f>2015+1-D75</f>
        <v>1</v>
      </c>
      <c r="W75" s="527">
        <f>G75+J75+P75</f>
        <v>0.57999999999992724</v>
      </c>
      <c r="X75" s="527" t="str">
        <f>IF(V75-W75=0, "ok","error")</f>
        <v>error</v>
      </c>
    </row>
    <row r="76" spans="1:24">
      <c r="A76" s="186"/>
      <c r="B76" s="186" t="s">
        <v>189</v>
      </c>
      <c r="C76" s="276">
        <v>353</v>
      </c>
      <c r="D76" s="294">
        <v>2016</v>
      </c>
      <c r="E76" s="632">
        <f>137250.85-3628.17-27344.9</f>
        <v>106277.78</v>
      </c>
      <c r="F76" s="411">
        <v>2.12E-2</v>
      </c>
      <c r="G76" s="612">
        <f t="shared" si="5"/>
        <v>0</v>
      </c>
      <c r="H76" s="403">
        <f t="shared" si="19"/>
        <v>0</v>
      </c>
      <c r="I76" s="411">
        <v>2.06E-2</v>
      </c>
      <c r="J76" s="413">
        <v>0</v>
      </c>
      <c r="K76" s="403">
        <f t="shared" si="23"/>
        <v>0</v>
      </c>
      <c r="L76" s="411">
        <v>1.9E-2</v>
      </c>
      <c r="M76" s="413">
        <f t="shared" si="26"/>
        <v>2</v>
      </c>
      <c r="N76" s="403">
        <f t="shared" si="27"/>
        <v>4038.56</v>
      </c>
      <c r="O76" s="411">
        <v>1.9699999999999999E-2</v>
      </c>
      <c r="P76" s="413">
        <f t="shared" si="29"/>
        <v>0.57999999999992724</v>
      </c>
      <c r="Q76" s="403">
        <f t="shared" si="20"/>
        <v>1214.33</v>
      </c>
      <c r="R76" s="403">
        <f t="shared" si="28"/>
        <v>5252.8899999999994</v>
      </c>
      <c r="S76" s="410">
        <f t="shared" si="24"/>
        <v>101024.89</v>
      </c>
      <c r="T76" s="403">
        <f t="shared" si="25"/>
        <v>2093.67</v>
      </c>
      <c r="V76" s="526">
        <f t="shared" si="10"/>
        <v>0</v>
      </c>
      <c r="W76" s="527">
        <f>G76+J76+P76</f>
        <v>0.57999999999992724</v>
      </c>
      <c r="X76" s="527" t="str">
        <f>IF(V76-W76=0, "ok","error")</f>
        <v>error</v>
      </c>
    </row>
    <row r="77" spans="1:24">
      <c r="A77" s="186"/>
      <c r="B77" s="186" t="s">
        <v>962</v>
      </c>
      <c r="C77" s="276">
        <v>353</v>
      </c>
      <c r="D77" s="294">
        <v>2008</v>
      </c>
      <c r="E77" s="632">
        <f>2223479.04</f>
        <v>2223479.04</v>
      </c>
      <c r="F77" s="411">
        <v>2.12E-2</v>
      </c>
      <c r="G77" s="612">
        <f t="shared" ref="G77:G87" si="30">IF((2008-D77)+0.58&lt;0, 0,(2008-D77)+0.58)</f>
        <v>0.57999999999999996</v>
      </c>
      <c r="H77" s="403">
        <f>ROUND(E77*G77*F77,2)</f>
        <v>27339.9</v>
      </c>
      <c r="I77" s="411">
        <v>2.06E-2</v>
      </c>
      <c r="J77" s="413">
        <f>IF(G77=0,IF($J$97=D77,$J$97-D77+0.42,($J$97+0.42-D77)-G77),$J$97+0.42-D77)-G77</f>
        <v>3.8400000000000727</v>
      </c>
      <c r="K77" s="403">
        <f t="shared" si="23"/>
        <v>175886.09</v>
      </c>
      <c r="L77" s="411">
        <v>1.9E-2</v>
      </c>
      <c r="M77" s="413">
        <f t="shared" si="26"/>
        <v>5</v>
      </c>
      <c r="N77" s="403">
        <f t="shared" si="27"/>
        <v>211230.51</v>
      </c>
      <c r="O77" s="411">
        <v>0.12330000000000001</v>
      </c>
      <c r="P77" s="413">
        <f t="shared" si="29"/>
        <v>0.57999999999992724</v>
      </c>
      <c r="Q77" s="403">
        <f t="shared" si="20"/>
        <v>159009.88</v>
      </c>
      <c r="R77" s="403">
        <f t="shared" si="28"/>
        <v>573466.38</v>
      </c>
      <c r="S77" s="410">
        <f t="shared" si="24"/>
        <v>1650012.6600000001</v>
      </c>
      <c r="T77" s="403">
        <f t="shared" si="25"/>
        <v>274154.96999999997</v>
      </c>
      <c r="V77" s="526">
        <f t="shared" si="10"/>
        <v>8</v>
      </c>
      <c r="W77" s="527">
        <f t="shared" si="21"/>
        <v>5</v>
      </c>
      <c r="X77" s="527" t="str">
        <f t="shared" si="22"/>
        <v>error</v>
      </c>
    </row>
    <row r="78" spans="1:24">
      <c r="A78" s="186"/>
      <c r="B78" s="186" t="s">
        <v>962</v>
      </c>
      <c r="C78" s="276">
        <v>353</v>
      </c>
      <c r="D78" s="294">
        <v>2011</v>
      </c>
      <c r="E78" s="632">
        <v>63402.18</v>
      </c>
      <c r="F78" s="411">
        <v>2.12E-2</v>
      </c>
      <c r="G78" s="612">
        <f t="shared" si="30"/>
        <v>0</v>
      </c>
      <c r="H78" s="403">
        <f>ROUND(E78*G78*F78,2)</f>
        <v>0</v>
      </c>
      <c r="I78" s="411">
        <v>2.06E-2</v>
      </c>
      <c r="J78" s="413">
        <f>IF(G78=0,IF($J$97=D78,$J$97-D78+0.42,($J$97+0.42-D78)-G78),$J$97+0.42-D78)-G78</f>
        <v>1.4200000000000728</v>
      </c>
      <c r="K78" s="403">
        <f t="shared" si="23"/>
        <v>1854.64</v>
      </c>
      <c r="L78" s="411">
        <v>1.9E-2</v>
      </c>
      <c r="M78" s="413">
        <f t="shared" si="26"/>
        <v>5</v>
      </c>
      <c r="N78" s="403">
        <f t="shared" si="27"/>
        <v>6023.21</v>
      </c>
      <c r="O78" s="411">
        <v>0.12330000000000001</v>
      </c>
      <c r="P78" s="413">
        <f t="shared" si="29"/>
        <v>0.57999999999992724</v>
      </c>
      <c r="Q78" s="403">
        <f t="shared" si="20"/>
        <v>4534.1400000000003</v>
      </c>
      <c r="R78" s="403">
        <f t="shared" si="28"/>
        <v>12411.990000000002</v>
      </c>
      <c r="S78" s="410">
        <f t="shared" si="24"/>
        <v>50990.19</v>
      </c>
      <c r="T78" s="403">
        <f t="shared" si="25"/>
        <v>7817.49</v>
      </c>
      <c r="V78" s="526">
        <f t="shared" si="10"/>
        <v>5</v>
      </c>
      <c r="W78" s="527">
        <f t="shared" si="21"/>
        <v>2</v>
      </c>
      <c r="X78" s="527" t="str">
        <f t="shared" si="22"/>
        <v>error</v>
      </c>
    </row>
    <row r="79" spans="1:24">
      <c r="A79" s="186"/>
      <c r="B79" s="186" t="s">
        <v>1014</v>
      </c>
      <c r="C79" s="276">
        <v>353</v>
      </c>
      <c r="D79" s="294">
        <v>2013</v>
      </c>
      <c r="E79" s="632">
        <f>234568.29-56507.35-39973.38</f>
        <v>138087.56</v>
      </c>
      <c r="F79" s="411">
        <v>2.12E-2</v>
      </c>
      <c r="G79" s="612">
        <f t="shared" si="30"/>
        <v>0</v>
      </c>
      <c r="H79" s="403">
        <f>ROUND(E79*G79*F79,2)</f>
        <v>0</v>
      </c>
      <c r="I79" s="411">
        <v>2.06E-2</v>
      </c>
      <c r="J79" s="413">
        <v>0</v>
      </c>
      <c r="K79" s="403">
        <f t="shared" si="23"/>
        <v>0</v>
      </c>
      <c r="L79" s="411">
        <v>1.9E-2</v>
      </c>
      <c r="M79" s="413">
        <f t="shared" si="26"/>
        <v>5</v>
      </c>
      <c r="N79" s="403">
        <f t="shared" si="27"/>
        <v>13118.32</v>
      </c>
      <c r="O79" s="411">
        <v>0.12330000000000001</v>
      </c>
      <c r="P79" s="413">
        <f t="shared" si="29"/>
        <v>0.57999999999992724</v>
      </c>
      <c r="Q79" s="403">
        <f t="shared" si="20"/>
        <v>9875.19</v>
      </c>
      <c r="R79" s="403">
        <f t="shared" si="28"/>
        <v>22993.510000000002</v>
      </c>
      <c r="S79" s="410">
        <f t="shared" si="24"/>
        <v>115094.04999999999</v>
      </c>
      <c r="T79" s="403">
        <f t="shared" si="25"/>
        <v>17026.2</v>
      </c>
      <c r="V79" s="526">
        <f t="shared" si="10"/>
        <v>3</v>
      </c>
      <c r="W79" s="527">
        <f t="shared" si="21"/>
        <v>0.57999999999992724</v>
      </c>
      <c r="X79" s="527" t="str">
        <f t="shared" si="22"/>
        <v>error</v>
      </c>
    </row>
    <row r="80" spans="1:24">
      <c r="A80" s="186"/>
      <c r="B80" s="186" t="s">
        <v>963</v>
      </c>
      <c r="C80" s="276">
        <v>352</v>
      </c>
      <c r="D80" s="294">
        <v>1982</v>
      </c>
      <c r="E80" s="632">
        <v>55381.11</v>
      </c>
      <c r="F80" s="411">
        <v>1.29E-2</v>
      </c>
      <c r="G80" s="612">
        <f t="shared" si="30"/>
        <v>26.58</v>
      </c>
      <c r="H80" s="403">
        <f t="shared" si="19"/>
        <v>18989.189999999999</v>
      </c>
      <c r="I80" s="411">
        <v>1.6799999999999999E-2</v>
      </c>
      <c r="J80" s="413">
        <f t="shared" ref="J80:J89" si="31">IF(G80=0,IF($J$97=D80,$J$97-D80+0.42,($J$97+0.42-D80)-G80),$J$97+0.42-D80)-G80</f>
        <v>3.8400000000000745</v>
      </c>
      <c r="K80" s="403">
        <f t="shared" si="23"/>
        <v>3572.75</v>
      </c>
      <c r="L80" s="411">
        <v>1.84E-2</v>
      </c>
      <c r="M80" s="413">
        <f t="shared" si="26"/>
        <v>5</v>
      </c>
      <c r="N80" s="403">
        <f t="shared" si="27"/>
        <v>5095.0600000000004</v>
      </c>
      <c r="O80" s="411">
        <v>3.1199999999999999E-2</v>
      </c>
      <c r="P80" s="413">
        <f t="shared" si="29"/>
        <v>0.57999999999992724</v>
      </c>
      <c r="Q80" s="403">
        <f t="shared" si="20"/>
        <v>1002.18</v>
      </c>
      <c r="R80" s="403">
        <f t="shared" si="28"/>
        <v>28659.18</v>
      </c>
      <c r="S80" s="410">
        <f t="shared" si="24"/>
        <v>26721.93</v>
      </c>
      <c r="T80" s="403">
        <f t="shared" si="25"/>
        <v>1727.89</v>
      </c>
      <c r="V80" s="526">
        <f t="shared" si="10"/>
        <v>34</v>
      </c>
      <c r="W80" s="527">
        <f t="shared" si="21"/>
        <v>31</v>
      </c>
      <c r="X80" s="527" t="str">
        <f t="shared" si="22"/>
        <v>error</v>
      </c>
    </row>
    <row r="81" spans="1:24">
      <c r="A81" s="186"/>
      <c r="B81" s="186" t="s">
        <v>963</v>
      </c>
      <c r="C81" s="276">
        <v>353</v>
      </c>
      <c r="D81" s="294">
        <v>1985</v>
      </c>
      <c r="E81" s="632">
        <f>518465.7+518465.71-189778.67</f>
        <v>847152.74</v>
      </c>
      <c r="F81" s="411">
        <v>2.12E-2</v>
      </c>
      <c r="G81" s="612">
        <f t="shared" ref="G81:G86" si="32">IF((2008-D81)+0.58&lt;0, 0,(2008-D81)+0.58)</f>
        <v>23.58</v>
      </c>
      <c r="H81" s="403">
        <f t="shared" ref="H81:H86" si="33">ROUND(E81*G81*F81,2)</f>
        <v>423488.27</v>
      </c>
      <c r="I81" s="411">
        <v>2.06E-2</v>
      </c>
      <c r="J81" s="413">
        <f t="shared" si="31"/>
        <v>3.8400000000000745</v>
      </c>
      <c r="K81" s="403">
        <f t="shared" ref="K81:K86" si="34">ROUND(E81*J81*I81,2)</f>
        <v>67013.17</v>
      </c>
      <c r="L81" s="411">
        <v>1.9E-2</v>
      </c>
      <c r="M81" s="413">
        <f t="shared" si="26"/>
        <v>5</v>
      </c>
      <c r="N81" s="403">
        <f t="shared" si="27"/>
        <v>80479.509999999995</v>
      </c>
      <c r="O81" s="411">
        <v>3.7600000000000001E-2</v>
      </c>
      <c r="P81" s="413">
        <f t="shared" si="29"/>
        <v>0.57999999999992724</v>
      </c>
      <c r="Q81" s="403">
        <f t="shared" ref="Q81:Q86" si="35">ROUND(E81*O81*P81,2)</f>
        <v>18474.71</v>
      </c>
      <c r="R81" s="403">
        <f t="shared" si="28"/>
        <v>589455.65999999992</v>
      </c>
      <c r="S81" s="410">
        <f t="shared" ref="S81:S86" si="36">E81-R81</f>
        <v>257697.08000000007</v>
      </c>
      <c r="T81" s="403">
        <f t="shared" ref="T81:T86" si="37">ROUND(E81*O81,2)</f>
        <v>31852.94</v>
      </c>
      <c r="V81" s="526">
        <f t="shared" ref="V81:V89" si="38">2015+1-D81</f>
        <v>31</v>
      </c>
      <c r="W81" s="527">
        <f t="shared" ref="W81:W86" si="39">G81+J81+P81</f>
        <v>28</v>
      </c>
      <c r="X81" s="527" t="str">
        <f t="shared" ref="X81:X86" si="40">IF(V81-W81=0, "ok","error")</f>
        <v>error</v>
      </c>
    </row>
    <row r="82" spans="1:24">
      <c r="A82" s="186"/>
      <c r="B82" s="186" t="s">
        <v>963</v>
      </c>
      <c r="C82" s="276">
        <v>353</v>
      </c>
      <c r="D82" s="294">
        <v>1986</v>
      </c>
      <c r="E82" s="632">
        <v>4161.2299999999996</v>
      </c>
      <c r="F82" s="411">
        <v>2.12E-2</v>
      </c>
      <c r="G82" s="612">
        <f t="shared" si="32"/>
        <v>22.58</v>
      </c>
      <c r="H82" s="403">
        <f t="shared" si="33"/>
        <v>1991.96</v>
      </c>
      <c r="I82" s="411">
        <v>2.06E-2</v>
      </c>
      <c r="J82" s="413">
        <f t="shared" si="31"/>
        <v>3.8400000000000745</v>
      </c>
      <c r="K82" s="403">
        <f t="shared" si="34"/>
        <v>329.17</v>
      </c>
      <c r="L82" s="411">
        <v>1.9E-2</v>
      </c>
      <c r="M82" s="413">
        <f t="shared" si="26"/>
        <v>5</v>
      </c>
      <c r="N82" s="403">
        <f t="shared" si="27"/>
        <v>395.32</v>
      </c>
      <c r="O82" s="411">
        <v>3.7600000000000001E-2</v>
      </c>
      <c r="P82" s="413">
        <f t="shared" si="29"/>
        <v>0.57999999999992724</v>
      </c>
      <c r="Q82" s="403">
        <f t="shared" si="35"/>
        <v>90.75</v>
      </c>
      <c r="R82" s="403">
        <f t="shared" si="28"/>
        <v>2807.2000000000003</v>
      </c>
      <c r="S82" s="410">
        <f t="shared" si="36"/>
        <v>1354.0299999999993</v>
      </c>
      <c r="T82" s="403">
        <f t="shared" si="37"/>
        <v>156.46</v>
      </c>
      <c r="V82" s="526">
        <f t="shared" si="38"/>
        <v>30</v>
      </c>
      <c r="W82" s="527">
        <f t="shared" si="39"/>
        <v>27</v>
      </c>
      <c r="X82" s="527" t="str">
        <f t="shared" si="40"/>
        <v>error</v>
      </c>
    </row>
    <row r="83" spans="1:24">
      <c r="A83" s="186"/>
      <c r="B83" s="186" t="s">
        <v>963</v>
      </c>
      <c r="C83" s="276">
        <v>353</v>
      </c>
      <c r="D83" s="294">
        <v>1987</v>
      </c>
      <c r="E83" s="632">
        <v>70.08</v>
      </c>
      <c r="F83" s="411">
        <v>2.12E-2</v>
      </c>
      <c r="G83" s="612">
        <f t="shared" si="32"/>
        <v>21.58</v>
      </c>
      <c r="H83" s="403">
        <f t="shared" si="33"/>
        <v>32.06</v>
      </c>
      <c r="I83" s="411">
        <v>2.06E-2</v>
      </c>
      <c r="J83" s="413">
        <f t="shared" si="31"/>
        <v>3.8400000000000745</v>
      </c>
      <c r="K83" s="403">
        <f t="shared" si="34"/>
        <v>5.54</v>
      </c>
      <c r="L83" s="411">
        <v>1.9E-2</v>
      </c>
      <c r="M83" s="413">
        <f t="shared" si="26"/>
        <v>5</v>
      </c>
      <c r="N83" s="403">
        <f t="shared" si="27"/>
        <v>6.66</v>
      </c>
      <c r="O83" s="411">
        <v>3.7600000000000001E-2</v>
      </c>
      <c r="P83" s="413">
        <f t="shared" si="29"/>
        <v>0.57999999999992724</v>
      </c>
      <c r="Q83" s="403">
        <f t="shared" si="35"/>
        <v>1.53</v>
      </c>
      <c r="R83" s="403">
        <f t="shared" si="28"/>
        <v>45.790000000000006</v>
      </c>
      <c r="S83" s="410">
        <f t="shared" si="36"/>
        <v>24.289999999999992</v>
      </c>
      <c r="T83" s="403">
        <f t="shared" si="37"/>
        <v>2.64</v>
      </c>
      <c r="V83" s="526">
        <f t="shared" si="38"/>
        <v>29</v>
      </c>
      <c r="W83" s="527">
        <f t="shared" si="39"/>
        <v>26</v>
      </c>
      <c r="X83" s="527" t="str">
        <f t="shared" si="40"/>
        <v>error</v>
      </c>
    </row>
    <row r="84" spans="1:24">
      <c r="A84" s="186"/>
      <c r="B84" s="186" t="s">
        <v>963</v>
      </c>
      <c r="C84" s="276">
        <v>353</v>
      </c>
      <c r="D84" s="294">
        <v>2011</v>
      </c>
      <c r="E84" s="632">
        <v>22115.47</v>
      </c>
      <c r="F84" s="411">
        <v>2.12E-2</v>
      </c>
      <c r="G84" s="612">
        <f t="shared" si="32"/>
        <v>0</v>
      </c>
      <c r="H84" s="403">
        <f t="shared" si="33"/>
        <v>0</v>
      </c>
      <c r="I84" s="411">
        <v>2.06E-2</v>
      </c>
      <c r="J84" s="413">
        <f t="shared" si="31"/>
        <v>1.4200000000000728</v>
      </c>
      <c r="K84" s="403">
        <f t="shared" si="34"/>
        <v>646.91999999999996</v>
      </c>
      <c r="L84" s="411">
        <v>1.9E-2</v>
      </c>
      <c r="M84" s="413">
        <f t="shared" si="26"/>
        <v>5</v>
      </c>
      <c r="N84" s="403">
        <f t="shared" si="27"/>
        <v>2100.9699999999998</v>
      </c>
      <c r="O84" s="411">
        <v>3.7600000000000001E-2</v>
      </c>
      <c r="P84" s="413">
        <f t="shared" si="29"/>
        <v>0.57999999999992724</v>
      </c>
      <c r="Q84" s="403">
        <f t="shared" si="35"/>
        <v>482.29</v>
      </c>
      <c r="R84" s="403">
        <f t="shared" si="28"/>
        <v>3230.18</v>
      </c>
      <c r="S84" s="410">
        <f t="shared" si="36"/>
        <v>18885.29</v>
      </c>
      <c r="T84" s="403">
        <f t="shared" si="37"/>
        <v>831.54</v>
      </c>
      <c r="V84" s="526">
        <f t="shared" si="38"/>
        <v>5</v>
      </c>
      <c r="W84" s="527">
        <f t="shared" si="39"/>
        <v>2</v>
      </c>
      <c r="X84" s="527" t="str">
        <f t="shared" si="40"/>
        <v>error</v>
      </c>
    </row>
    <row r="85" spans="1:24">
      <c r="A85" s="186"/>
      <c r="B85" s="186" t="s">
        <v>964</v>
      </c>
      <c r="C85" s="276">
        <v>352</v>
      </c>
      <c r="D85" s="294">
        <v>1977</v>
      </c>
      <c r="E85" s="632">
        <f>228712.7-2725.26-2.46</f>
        <v>225984.98</v>
      </c>
      <c r="F85" s="411">
        <v>1.29E-2</v>
      </c>
      <c r="G85" s="612">
        <f t="shared" si="32"/>
        <v>31.58</v>
      </c>
      <c r="H85" s="403">
        <f t="shared" si="33"/>
        <v>92062.21</v>
      </c>
      <c r="I85" s="411">
        <v>1.6799999999999999E-2</v>
      </c>
      <c r="J85" s="413">
        <f t="shared" si="31"/>
        <v>3.8400000000000745</v>
      </c>
      <c r="K85" s="403">
        <f t="shared" si="34"/>
        <v>14578.74</v>
      </c>
      <c r="L85" s="411">
        <v>1.84E-2</v>
      </c>
      <c r="M85" s="413">
        <f t="shared" si="26"/>
        <v>5</v>
      </c>
      <c r="N85" s="403">
        <f t="shared" si="27"/>
        <v>20790.62</v>
      </c>
      <c r="O85" s="411">
        <v>6.3200000000000006E-2</v>
      </c>
      <c r="P85" s="413">
        <f t="shared" si="29"/>
        <v>0.57999999999992724</v>
      </c>
      <c r="Q85" s="403">
        <f t="shared" si="35"/>
        <v>8283.7099999999991</v>
      </c>
      <c r="R85" s="403">
        <f t="shared" si="28"/>
        <v>135715.28</v>
      </c>
      <c r="S85" s="410">
        <f t="shared" si="36"/>
        <v>90269.700000000012</v>
      </c>
      <c r="T85" s="403">
        <f t="shared" si="37"/>
        <v>14282.25</v>
      </c>
      <c r="V85" s="526">
        <f t="shared" si="38"/>
        <v>39</v>
      </c>
      <c r="W85" s="527">
        <f t="shared" si="39"/>
        <v>36</v>
      </c>
      <c r="X85" s="527" t="str">
        <f t="shared" si="40"/>
        <v>error</v>
      </c>
    </row>
    <row r="86" spans="1:24">
      <c r="A86" s="186"/>
      <c r="B86" s="186" t="s">
        <v>964</v>
      </c>
      <c r="C86" s="276">
        <v>352</v>
      </c>
      <c r="D86" s="294">
        <v>1982</v>
      </c>
      <c r="E86" s="632">
        <v>130830.17</v>
      </c>
      <c r="F86" s="411">
        <v>1.29E-2</v>
      </c>
      <c r="G86" s="612">
        <f t="shared" si="32"/>
        <v>26.58</v>
      </c>
      <c r="H86" s="403">
        <f t="shared" si="33"/>
        <v>44859.31</v>
      </c>
      <c r="I86" s="411">
        <v>1.6799999999999999E-2</v>
      </c>
      <c r="J86" s="413">
        <f t="shared" si="31"/>
        <v>3.8400000000000745</v>
      </c>
      <c r="K86" s="403">
        <f t="shared" si="34"/>
        <v>8440.1200000000008</v>
      </c>
      <c r="L86" s="411">
        <v>1.84E-2</v>
      </c>
      <c r="M86" s="413">
        <f t="shared" si="26"/>
        <v>5</v>
      </c>
      <c r="N86" s="403">
        <f t="shared" si="27"/>
        <v>12036.38</v>
      </c>
      <c r="O86" s="411">
        <v>6.3200000000000006E-2</v>
      </c>
      <c r="P86" s="413">
        <f t="shared" si="29"/>
        <v>0.57999999999992724</v>
      </c>
      <c r="Q86" s="403">
        <f t="shared" si="35"/>
        <v>4795.71</v>
      </c>
      <c r="R86" s="403">
        <f t="shared" si="28"/>
        <v>70131.520000000004</v>
      </c>
      <c r="S86" s="410">
        <f t="shared" si="36"/>
        <v>60698.649999999994</v>
      </c>
      <c r="T86" s="403">
        <f t="shared" si="37"/>
        <v>8268.4699999999993</v>
      </c>
      <c r="V86" s="526">
        <f t="shared" si="38"/>
        <v>34</v>
      </c>
      <c r="W86" s="527">
        <f t="shared" si="39"/>
        <v>31</v>
      </c>
      <c r="X86" s="527" t="str">
        <f t="shared" si="40"/>
        <v>error</v>
      </c>
    </row>
    <row r="87" spans="1:24">
      <c r="A87" s="186"/>
      <c r="B87" s="186" t="s">
        <v>964</v>
      </c>
      <c r="C87" s="276">
        <v>353</v>
      </c>
      <c r="D87" s="294">
        <v>1981</v>
      </c>
      <c r="E87" s="632">
        <f>1386229.29-18917.49-17.2-56507.35</f>
        <v>1310787.25</v>
      </c>
      <c r="F87" s="411">
        <v>2.12E-2</v>
      </c>
      <c r="G87" s="612">
        <f t="shared" si="30"/>
        <v>27.58</v>
      </c>
      <c r="H87" s="403">
        <f t="shared" si="19"/>
        <v>766412.06</v>
      </c>
      <c r="I87" s="411">
        <v>2.06E-2</v>
      </c>
      <c r="J87" s="413">
        <f t="shared" si="31"/>
        <v>3.8400000000000745</v>
      </c>
      <c r="K87" s="403">
        <f t="shared" si="23"/>
        <v>103688.51</v>
      </c>
      <c r="L87" s="411">
        <v>1.9E-2</v>
      </c>
      <c r="M87" s="413">
        <f t="shared" si="26"/>
        <v>5</v>
      </c>
      <c r="N87" s="403">
        <f t="shared" si="27"/>
        <v>124524.79</v>
      </c>
      <c r="O87" s="411">
        <v>0.12330000000000001</v>
      </c>
      <c r="P87" s="413">
        <f t="shared" si="29"/>
        <v>0.57999999999992724</v>
      </c>
      <c r="Q87" s="403">
        <f t="shared" si="20"/>
        <v>93739.64</v>
      </c>
      <c r="R87" s="403">
        <f t="shared" si="28"/>
        <v>1088365</v>
      </c>
      <c r="S87" s="410">
        <f>E87-R87</f>
        <v>222422.25</v>
      </c>
      <c r="T87" s="403">
        <f>ROUND(E87*O87,2)</f>
        <v>161620.07</v>
      </c>
      <c r="V87" s="526">
        <f t="shared" si="38"/>
        <v>35</v>
      </c>
      <c r="W87" s="527">
        <f t="shared" si="21"/>
        <v>32</v>
      </c>
      <c r="X87" s="527" t="str">
        <f t="shared" si="22"/>
        <v>error</v>
      </c>
    </row>
    <row r="88" spans="1:24">
      <c r="A88" s="186"/>
      <c r="B88" s="186" t="s">
        <v>964</v>
      </c>
      <c r="C88" s="276">
        <v>353</v>
      </c>
      <c r="D88" s="294">
        <v>1982</v>
      </c>
      <c r="E88" s="632">
        <v>107606.74</v>
      </c>
      <c r="F88" s="411">
        <v>2.12E-2</v>
      </c>
      <c r="G88" s="612">
        <f>IF((2008-D88)+0.58&lt;0, 0,(2008-D88)+0.58)</f>
        <v>26.58</v>
      </c>
      <c r="H88" s="403">
        <f>ROUND(E88*G88*F88,2)</f>
        <v>60635.97</v>
      </c>
      <c r="I88" s="411">
        <v>2.06E-2</v>
      </c>
      <c r="J88" s="413">
        <f t="shared" si="31"/>
        <v>3.8400000000000745</v>
      </c>
      <c r="K88" s="403">
        <f t="shared" si="23"/>
        <v>8512.1200000000008</v>
      </c>
      <c r="L88" s="411">
        <v>1.9E-2</v>
      </c>
      <c r="M88" s="413">
        <f t="shared" si="26"/>
        <v>5</v>
      </c>
      <c r="N88" s="403">
        <f t="shared" si="27"/>
        <v>10222.64</v>
      </c>
      <c r="O88" s="411">
        <v>0.12330000000000001</v>
      </c>
      <c r="P88" s="413">
        <f t="shared" si="29"/>
        <v>0.57999999999992724</v>
      </c>
      <c r="Q88" s="403">
        <f t="shared" si="20"/>
        <v>7695.39</v>
      </c>
      <c r="R88" s="403">
        <f t="shared" si="28"/>
        <v>87066.12</v>
      </c>
      <c r="S88" s="410">
        <f>E88-R88</f>
        <v>20540.62000000001</v>
      </c>
      <c r="T88" s="403">
        <f>ROUND(E88*O88,2)</f>
        <v>13267.91</v>
      </c>
      <c r="V88" s="526">
        <f t="shared" si="38"/>
        <v>34</v>
      </c>
      <c r="W88" s="527">
        <f t="shared" si="21"/>
        <v>31</v>
      </c>
      <c r="X88" s="527" t="str">
        <f t="shared" si="22"/>
        <v>error</v>
      </c>
    </row>
    <row r="89" spans="1:24">
      <c r="A89" s="186"/>
      <c r="B89" s="186" t="s">
        <v>964</v>
      </c>
      <c r="C89" s="276">
        <v>353</v>
      </c>
      <c r="D89" s="294">
        <v>2005</v>
      </c>
      <c r="E89" s="632">
        <v>38513.699999999997</v>
      </c>
      <c r="F89" s="411">
        <v>2.12E-2</v>
      </c>
      <c r="G89" s="612">
        <f>IF((2008-D89)+0.58&lt;0, 0,(2008-D89)+0.58)</f>
        <v>3.58</v>
      </c>
      <c r="H89" s="403">
        <f>ROUND(E89*G89*F89,2)</f>
        <v>2923.04</v>
      </c>
      <c r="I89" s="411">
        <v>2.06E-2</v>
      </c>
      <c r="J89" s="413">
        <f t="shared" si="31"/>
        <v>3.8400000000000727</v>
      </c>
      <c r="K89" s="403">
        <f t="shared" si="23"/>
        <v>3046.59</v>
      </c>
      <c r="L89" s="411">
        <v>1.9E-2</v>
      </c>
      <c r="M89" s="413">
        <f t="shared" si="26"/>
        <v>5</v>
      </c>
      <c r="N89" s="403">
        <f t="shared" si="27"/>
        <v>3658.8</v>
      </c>
      <c r="O89" s="411">
        <v>0.12330000000000001</v>
      </c>
      <c r="P89" s="413">
        <f t="shared" si="29"/>
        <v>0.57999999999992724</v>
      </c>
      <c r="Q89" s="403">
        <f t="shared" si="20"/>
        <v>2754.27</v>
      </c>
      <c r="R89" s="403">
        <f t="shared" si="28"/>
        <v>12382.7</v>
      </c>
      <c r="S89" s="410">
        <f>E89-R89</f>
        <v>26130.999999999996</v>
      </c>
      <c r="T89" s="403">
        <f>ROUND(E89*O89,2)</f>
        <v>4748.74</v>
      </c>
      <c r="V89" s="526">
        <f t="shared" si="38"/>
        <v>11</v>
      </c>
      <c r="W89" s="527">
        <f t="shared" si="21"/>
        <v>8</v>
      </c>
      <c r="X89" s="527" t="str">
        <f t="shared" si="22"/>
        <v>error</v>
      </c>
    </row>
    <row r="90" spans="1:24">
      <c r="E90" s="92"/>
      <c r="F90" s="411"/>
      <c r="G90" s="412"/>
      <c r="H90" s="92"/>
      <c r="I90" s="411"/>
      <c r="J90" s="413"/>
      <c r="K90" s="92"/>
      <c r="L90" s="414"/>
      <c r="M90" s="414"/>
      <c r="N90" s="92"/>
      <c r="O90" s="414"/>
      <c r="P90" s="414"/>
      <c r="Q90" s="92"/>
      <c r="R90" s="92"/>
      <c r="S90" s="92"/>
      <c r="T90" s="92"/>
    </row>
    <row r="91" spans="1:24">
      <c r="A91" s="401" t="s">
        <v>442</v>
      </c>
      <c r="E91" s="415">
        <f>SUM(E8:E90)</f>
        <v>32995940.105</v>
      </c>
      <c r="F91" s="416"/>
      <c r="H91" s="415">
        <f>SUM(H8:H90)</f>
        <v>8154111.5700000022</v>
      </c>
      <c r="I91" s="416"/>
      <c r="J91" s="417"/>
      <c r="K91" s="415">
        <f>SUM(K8:K90)</f>
        <v>1534676.1800000002</v>
      </c>
      <c r="L91" s="418"/>
      <c r="M91" s="418"/>
      <c r="N91" s="415">
        <f>SUM(N8:N90)</f>
        <v>2703745.0900000003</v>
      </c>
      <c r="O91" s="418"/>
      <c r="P91" s="418"/>
      <c r="Q91" s="415">
        <f>SUM(Q8:Q90)</f>
        <v>652377.77</v>
      </c>
      <c r="R91" s="415">
        <f>SUM(R8:R90)</f>
        <v>13044910.609999994</v>
      </c>
      <c r="S91" s="415">
        <f>SUM(S8:S90)</f>
        <v>19951029.494999997</v>
      </c>
      <c r="T91" s="415">
        <f>SUM(T8:T90)</f>
        <v>1124789.23</v>
      </c>
    </row>
    <row r="92" spans="1:24">
      <c r="B92" s="186"/>
      <c r="E92" s="419"/>
      <c r="F92" s="416"/>
      <c r="H92" s="419"/>
      <c r="I92" s="416"/>
      <c r="J92" s="417"/>
      <c r="K92" s="419"/>
      <c r="L92" s="420"/>
      <c r="M92" s="420"/>
      <c r="N92" s="419"/>
      <c r="O92" s="420"/>
      <c r="P92" s="420"/>
      <c r="Q92" s="419"/>
      <c r="R92" s="419"/>
      <c r="S92" s="419"/>
      <c r="T92" s="421"/>
    </row>
    <row r="93" spans="1:24">
      <c r="B93" s="186"/>
      <c r="E93" s="419"/>
      <c r="F93" s="416"/>
      <c r="H93" s="419"/>
      <c r="I93" s="416"/>
      <c r="J93" s="417"/>
      <c r="K93" s="419"/>
      <c r="L93" s="420"/>
      <c r="M93" s="420"/>
      <c r="N93" s="419"/>
      <c r="O93" s="420"/>
      <c r="P93" s="420"/>
      <c r="Q93" s="419"/>
      <c r="R93" s="419"/>
      <c r="S93" s="419"/>
      <c r="T93" s="421"/>
    </row>
    <row r="94" spans="1:24">
      <c r="B94" s="186"/>
      <c r="E94" s="419"/>
      <c r="F94" s="416"/>
      <c r="H94" s="419"/>
      <c r="I94" s="416"/>
      <c r="J94" s="417"/>
      <c r="K94" s="419"/>
      <c r="L94" s="420"/>
      <c r="M94" s="420"/>
      <c r="N94" s="419"/>
      <c r="O94" s="420"/>
      <c r="P94" s="420"/>
      <c r="Q94" s="419"/>
      <c r="R94" s="419"/>
      <c r="S94" s="419"/>
      <c r="T94" s="421"/>
    </row>
    <row r="95" spans="1:24">
      <c r="B95" s="186"/>
      <c r="E95" s="419"/>
      <c r="J95" s="401">
        <v>2010</v>
      </c>
      <c r="R95" s="92"/>
      <c r="S95" s="92"/>
      <c r="T95" s="92"/>
    </row>
    <row r="96" spans="1:24">
      <c r="E96" s="419"/>
      <c r="J96" s="401">
        <v>2011</v>
      </c>
    </row>
    <row r="97" spans="5:10">
      <c r="E97" s="419"/>
      <c r="J97" s="401">
        <v>2012</v>
      </c>
    </row>
    <row r="98" spans="5:10">
      <c r="E98" s="419"/>
      <c r="J98" s="401">
        <v>2013</v>
      </c>
    </row>
    <row r="99" spans="5:10">
      <c r="E99" s="419"/>
      <c r="J99" s="401">
        <v>2014</v>
      </c>
    </row>
    <row r="100" spans="5:10">
      <c r="E100" s="419"/>
      <c r="J100" s="401">
        <v>2015</v>
      </c>
    </row>
    <row r="101" spans="5:10">
      <c r="E101" s="419"/>
      <c r="J101" s="401">
        <v>2016</v>
      </c>
    </row>
    <row r="102" spans="5:10">
      <c r="E102" s="419"/>
      <c r="J102" s="401">
        <v>2017</v>
      </c>
    </row>
    <row r="103" spans="5:10">
      <c r="E103" s="419"/>
    </row>
    <row r="104" spans="5:10">
      <c r="E104" s="419"/>
    </row>
    <row r="105" spans="5:10">
      <c r="E105" s="419"/>
    </row>
    <row r="106" spans="5:10">
      <c r="E106" s="419"/>
      <c r="F106" s="420"/>
    </row>
    <row r="107" spans="5:10">
      <c r="E107" s="419"/>
    </row>
    <row r="108" spans="5:10">
      <c r="E108" s="419"/>
    </row>
  </sheetData>
  <sheetProtection formatCells="0"/>
  <sortState ref="A9:Q85">
    <sortCondition ref="A9:A85"/>
  </sortState>
  <mergeCells count="8">
    <mergeCell ref="F6:H6"/>
    <mergeCell ref="I6:K6"/>
    <mergeCell ref="A1:T1"/>
    <mergeCell ref="A2:T2"/>
    <mergeCell ref="A3:T3"/>
    <mergeCell ref="A4:T4"/>
    <mergeCell ref="O6:Q6"/>
    <mergeCell ref="L6:N6"/>
  </mergeCells>
  <phoneticPr fontId="0" type="noConversion"/>
  <printOptions horizontalCentered="1"/>
  <pageMargins left="0.25" right="0.25" top="1" bottom="0" header="0.5" footer="0"/>
  <pageSetup scale="42" orientation="landscape" r:id="rId1"/>
  <headerFooter alignWithMargins="0">
    <oddHeader>&amp;CIDAHO POWER COMPANY
Transmission Cost of Service Rate Development
12 Months Ended 12/31/2017</oddHeader>
  </headerFooter>
  <ignoredErrors>
    <ignoredError sqref="E91 H91 K91 Q91:T91 E77 E88:E89 E10 G87:H89 J87:K89 Q87:Q89 E59:E60 E67:E71 Q80 J80:K80 G80:H80 G77:H78 J77:K78 Q77:Q78 C69 J65:K71 G41:H55 Q65:Q71 G65:H71 G56 Q8 J8:K8 E8 Q10:Q14 G10:H14 J10:K14 Q16:Q24 G16:H24 J16:K24 Q27:Q37 G27:H37 J27:K37 K39 G57:H63 Q41:Q63 J41:K63 S8:T8 S87:T89 S80:T80 S77:T78 S65:T71 S10:T14 S16:T24 S27:T37 S41:T63 S39:T39 Q39 G39:H3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H26"/>
  <sheetViews>
    <sheetView zoomScaleNormal="100" zoomScaleSheetLayoutView="100" workbookViewId="0">
      <selection activeCell="I7" sqref="I7"/>
    </sheetView>
  </sheetViews>
  <sheetFormatPr defaultRowHeight="12.75"/>
  <cols>
    <col min="1" max="1" width="32.42578125" style="196" customWidth="1"/>
    <col min="2" max="2" width="1.28515625" style="196" customWidth="1"/>
    <col min="3" max="3" width="15.42578125" style="608" bestFit="1" customWidth="1"/>
    <col min="4" max="4" width="1.7109375" style="196" customWidth="1"/>
    <col min="5" max="5" width="19.5703125" style="608" customWidth="1"/>
    <col min="6" max="6" width="1.140625" style="196" customWidth="1"/>
    <col min="7" max="7" width="10.85546875" style="196" bestFit="1" customWidth="1"/>
    <col min="8" max="8" width="9.42578125" style="608" bestFit="1" customWidth="1"/>
    <col min="9" max="16384" width="9.140625" style="196"/>
  </cols>
  <sheetData>
    <row r="2" spans="1:8">
      <c r="A2" s="657"/>
      <c r="B2" s="657"/>
      <c r="C2" s="657"/>
      <c r="D2" s="657"/>
      <c r="E2" s="657"/>
      <c r="F2" s="657"/>
      <c r="G2" s="657"/>
      <c r="H2" s="657"/>
    </row>
    <row r="3" spans="1:8">
      <c r="A3" s="656" t="s">
        <v>705</v>
      </c>
      <c r="B3" s="656"/>
      <c r="C3" s="656"/>
      <c r="D3" s="656"/>
      <c r="E3" s="656"/>
      <c r="F3" s="656"/>
      <c r="G3" s="656"/>
      <c r="H3" s="656"/>
    </row>
    <row r="4" spans="1:8">
      <c r="A4" s="657"/>
      <c r="B4" s="657"/>
      <c r="C4" s="657"/>
      <c r="D4" s="657"/>
      <c r="E4" s="657"/>
      <c r="F4" s="657"/>
      <c r="G4" s="657"/>
      <c r="H4" s="657"/>
    </row>
    <row r="5" spans="1:8">
      <c r="A5" s="656"/>
      <c r="B5" s="656"/>
      <c r="C5" s="656"/>
      <c r="D5" s="656"/>
      <c r="E5" s="656"/>
      <c r="F5" s="656"/>
      <c r="G5" s="656"/>
      <c r="H5" s="656"/>
    </row>
    <row r="10" spans="1:8">
      <c r="H10" s="608" t="s">
        <v>706</v>
      </c>
    </row>
    <row r="11" spans="1:8" s="608" customFormat="1">
      <c r="C11" s="608" t="s">
        <v>519</v>
      </c>
      <c r="E11" s="608" t="s">
        <v>147</v>
      </c>
      <c r="G11" s="608" t="s">
        <v>707</v>
      </c>
      <c r="H11" s="608" t="s">
        <v>708</v>
      </c>
    </row>
    <row r="12" spans="1:8" s="608" customFormat="1">
      <c r="A12" s="51" t="s">
        <v>709</v>
      </c>
      <c r="C12" s="51" t="s">
        <v>710</v>
      </c>
      <c r="E12" s="51" t="s">
        <v>711</v>
      </c>
      <c r="G12" s="51" t="s">
        <v>720</v>
      </c>
      <c r="H12" s="51" t="s">
        <v>712</v>
      </c>
    </row>
    <row r="15" spans="1:8" s="55" customFormat="1">
      <c r="A15" s="611">
        <f>'Rate Calculation'!E47</f>
        <v>150077648.38336653</v>
      </c>
      <c r="B15" s="611"/>
      <c r="C15" s="611">
        <f>'Schedule 4'!E23</f>
        <v>26936729.643977072</v>
      </c>
      <c r="D15" s="611"/>
      <c r="E15" s="611">
        <f>A15-C15</f>
        <v>123140918.73938945</v>
      </c>
      <c r="F15" s="63"/>
      <c r="G15" s="54">
        <f>'Rate Calculation'!E53</f>
        <v>3939.5833333333335</v>
      </c>
      <c r="H15" s="55">
        <f>ROUND(E15/G15/1000,2)</f>
        <v>31.26</v>
      </c>
    </row>
    <row r="16" spans="1:8">
      <c r="A16" s="3"/>
      <c r="C16" s="3"/>
      <c r="E16" s="3"/>
      <c r="G16" s="3"/>
      <c r="H16" s="3"/>
    </row>
    <row r="18" spans="3:8" ht="12" customHeight="1"/>
    <row r="21" spans="3:8">
      <c r="C21" s="197" t="s">
        <v>306</v>
      </c>
      <c r="G21" s="56"/>
      <c r="H21" s="6">
        <f>ROUND(H15/12,4)</f>
        <v>2.605</v>
      </c>
    </row>
    <row r="22" spans="3:8">
      <c r="C22" s="197" t="s">
        <v>307</v>
      </c>
      <c r="G22" s="608"/>
      <c r="H22" s="6">
        <f>ROUND(H15/52,4)</f>
        <v>0.60119999999999996</v>
      </c>
    </row>
    <row r="23" spans="3:8">
      <c r="C23" s="197" t="s">
        <v>308</v>
      </c>
      <c r="G23" s="608"/>
      <c r="H23" s="6">
        <f>ROUND(H22/6,4)</f>
        <v>0.1002</v>
      </c>
    </row>
    <row r="24" spans="3:8">
      <c r="C24" s="197" t="s">
        <v>309</v>
      </c>
      <c r="G24" s="56"/>
      <c r="H24" s="6">
        <f>ROUND(H22/7,4)</f>
        <v>8.5900000000000004E-2</v>
      </c>
    </row>
    <row r="25" spans="3:8">
      <c r="C25" s="197" t="s">
        <v>310</v>
      </c>
      <c r="G25" s="608"/>
      <c r="H25" s="7">
        <f>ROUND(H15*1000/4896,2)</f>
        <v>6.38</v>
      </c>
    </row>
    <row r="26" spans="3:8">
      <c r="C26" s="197" t="s">
        <v>311</v>
      </c>
      <c r="G26" s="608"/>
      <c r="H26" s="7">
        <f>ROUND(H15*1000/8760,2)</f>
        <v>3.57</v>
      </c>
    </row>
  </sheetData>
  <mergeCells count="4">
    <mergeCell ref="A2:H2"/>
    <mergeCell ref="A3:H3"/>
    <mergeCell ref="A4:H4"/>
    <mergeCell ref="A5:H5"/>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12/31/2017</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2:V18"/>
  <sheetViews>
    <sheetView topLeftCell="I1" zoomScaleNormal="100" zoomScaleSheetLayoutView="100" zoomScalePageLayoutView="75" workbookViewId="0">
      <selection sqref="A1:E1"/>
    </sheetView>
  </sheetViews>
  <sheetFormatPr defaultColWidth="11.5703125" defaultRowHeight="12.75"/>
  <cols>
    <col min="1" max="1" width="30.140625" style="114" customWidth="1"/>
    <col min="2" max="2" width="10.28515625" style="116" customWidth="1"/>
    <col min="3" max="3" width="8.7109375" style="117" customWidth="1"/>
    <col min="4" max="4" width="13.28515625" style="114" customWidth="1"/>
    <col min="5" max="16" width="12.7109375" style="114" customWidth="1"/>
    <col min="17" max="17" width="17.28515625" style="114" customWidth="1"/>
    <col min="18" max="18" width="13.28515625" style="114" customWidth="1"/>
    <col min="19" max="19" width="13.28515625" style="115" customWidth="1"/>
    <col min="20" max="20" width="7.5703125" style="114" customWidth="1"/>
    <col min="21" max="23" width="9.140625" style="114" customWidth="1"/>
    <col min="24" max="46" width="28.28515625" style="114" customWidth="1"/>
    <col min="47" max="261" width="9.140625" style="114" customWidth="1"/>
    <col min="262" max="16384" width="11.5703125" style="114"/>
  </cols>
  <sheetData>
    <row r="2" spans="1:22">
      <c r="A2" s="706" t="s">
        <v>8</v>
      </c>
      <c r="B2" s="706"/>
      <c r="C2" s="706"/>
      <c r="D2" s="706"/>
      <c r="E2" s="706"/>
      <c r="F2" s="706"/>
      <c r="G2" s="706"/>
      <c r="H2" s="706"/>
      <c r="I2" s="706"/>
      <c r="J2" s="706"/>
      <c r="K2" s="706"/>
      <c r="L2" s="706"/>
      <c r="M2" s="706"/>
      <c r="N2" s="706"/>
      <c r="O2" s="706"/>
      <c r="P2" s="706"/>
      <c r="Q2" s="706"/>
      <c r="R2" s="706"/>
      <c r="S2" s="706"/>
    </row>
    <row r="3" spans="1:22">
      <c r="A3" s="674" t="s">
        <v>571</v>
      </c>
      <c r="B3" s="674"/>
      <c r="C3" s="674"/>
      <c r="D3" s="674"/>
      <c r="E3" s="674"/>
      <c r="F3" s="674"/>
      <c r="G3" s="674"/>
      <c r="H3" s="674"/>
      <c r="I3" s="674"/>
      <c r="J3" s="674"/>
      <c r="K3" s="674"/>
      <c r="L3" s="674"/>
      <c r="M3" s="674"/>
      <c r="N3" s="674"/>
      <c r="O3" s="674"/>
      <c r="P3" s="674"/>
      <c r="Q3" s="674"/>
      <c r="R3" s="674"/>
      <c r="S3" s="674"/>
    </row>
    <row r="4" spans="1:22">
      <c r="A4" s="674" t="s">
        <v>572</v>
      </c>
      <c r="B4" s="674"/>
      <c r="C4" s="674"/>
      <c r="D4" s="674"/>
      <c r="E4" s="674"/>
      <c r="F4" s="674"/>
      <c r="G4" s="674"/>
      <c r="H4" s="674"/>
      <c r="I4" s="674"/>
      <c r="J4" s="674"/>
      <c r="K4" s="674"/>
      <c r="L4" s="674"/>
      <c r="M4" s="674"/>
      <c r="N4" s="674"/>
      <c r="O4" s="674"/>
      <c r="P4" s="674"/>
      <c r="Q4" s="674"/>
      <c r="R4" s="674"/>
      <c r="S4" s="674"/>
    </row>
    <row r="5" spans="1:22">
      <c r="A5" s="674" t="s">
        <v>206</v>
      </c>
      <c r="B5" s="674"/>
      <c r="C5" s="674"/>
      <c r="D5" s="674"/>
      <c r="E5" s="674"/>
      <c r="F5" s="674"/>
      <c r="G5" s="674"/>
      <c r="H5" s="674"/>
      <c r="I5" s="674"/>
      <c r="J5" s="674"/>
      <c r="K5" s="674"/>
      <c r="L5" s="674"/>
      <c r="M5" s="674"/>
      <c r="N5" s="674"/>
      <c r="O5" s="674"/>
      <c r="P5" s="674"/>
      <c r="Q5" s="674"/>
      <c r="R5" s="674"/>
      <c r="S5" s="674"/>
    </row>
    <row r="6" spans="1:22">
      <c r="A6" s="132"/>
      <c r="B6" s="624"/>
      <c r="C6" s="624"/>
      <c r="D6" s="624"/>
      <c r="E6" s="624"/>
      <c r="F6" s="624"/>
      <c r="G6" s="624"/>
      <c r="H6" s="624"/>
      <c r="I6" s="624"/>
      <c r="J6" s="624"/>
      <c r="K6" s="624"/>
      <c r="L6" s="624"/>
      <c r="M6" s="624"/>
      <c r="N6" s="624"/>
      <c r="O6" s="624"/>
      <c r="P6" s="624"/>
      <c r="Q6" s="624"/>
      <c r="R6" s="624"/>
    </row>
    <row r="7" spans="1:22">
      <c r="E7" s="703" t="s">
        <v>979</v>
      </c>
      <c r="F7" s="704"/>
      <c r="G7" s="705"/>
      <c r="H7" s="703" t="s">
        <v>980</v>
      </c>
      <c r="I7" s="704"/>
      <c r="J7" s="705"/>
      <c r="K7" s="703" t="s">
        <v>1180</v>
      </c>
      <c r="L7" s="704"/>
      <c r="M7" s="705"/>
      <c r="N7" s="703" t="s">
        <v>1181</v>
      </c>
      <c r="O7" s="704"/>
      <c r="P7" s="705"/>
      <c r="Q7" s="136"/>
    </row>
    <row r="8" spans="1:22" ht="39" thickBot="1">
      <c r="A8" s="118" t="s">
        <v>40</v>
      </c>
      <c r="B8" s="118" t="s">
        <v>41</v>
      </c>
      <c r="C8" s="118" t="s">
        <v>158</v>
      </c>
      <c r="D8" s="118" t="s">
        <v>9</v>
      </c>
      <c r="E8" s="118" t="s">
        <v>802</v>
      </c>
      <c r="F8" s="118" t="s">
        <v>159</v>
      </c>
      <c r="G8" s="137" t="s">
        <v>160</v>
      </c>
      <c r="H8" s="118" t="s">
        <v>802</v>
      </c>
      <c r="I8" s="149" t="s">
        <v>159</v>
      </c>
      <c r="J8" s="137" t="s">
        <v>160</v>
      </c>
      <c r="K8" s="118" t="s">
        <v>802</v>
      </c>
      <c r="L8" s="149" t="s">
        <v>159</v>
      </c>
      <c r="M8" s="137" t="s">
        <v>160</v>
      </c>
      <c r="N8" s="118" t="s">
        <v>802</v>
      </c>
      <c r="O8" s="149" t="s">
        <v>159</v>
      </c>
      <c r="P8" s="137" t="s">
        <v>160</v>
      </c>
      <c r="Q8" s="137" t="s">
        <v>803</v>
      </c>
      <c r="R8" s="137" t="s">
        <v>804</v>
      </c>
      <c r="S8" s="137" t="s">
        <v>805</v>
      </c>
    </row>
    <row r="9" spans="1:22">
      <c r="A9" s="43" t="s">
        <v>573</v>
      </c>
      <c r="B9" s="44">
        <v>352</v>
      </c>
      <c r="C9" s="45">
        <v>2005</v>
      </c>
      <c r="D9" s="38">
        <v>59325</v>
      </c>
      <c r="E9" s="119">
        <v>1.29E-2</v>
      </c>
      <c r="F9" s="138">
        <f t="shared" ref="F9:F14" si="0">(2008-C9)+0.58</f>
        <v>3.58</v>
      </c>
      <c r="G9" s="38">
        <f t="shared" ref="G9:G14" si="1">ROUND(D9*F9*E9,2)</f>
        <v>2739.75</v>
      </c>
      <c r="H9" s="119">
        <v>1.6799999999999999E-2</v>
      </c>
      <c r="I9" s="150">
        <f t="shared" ref="I9:I14" si="2">IF(C9&gt;2008.9, 0.42, 1.42)+2+0.42</f>
        <v>3.84</v>
      </c>
      <c r="J9" s="38">
        <f t="shared" ref="J9:J16" si="3">ROUND(D9*I9*H9,2)</f>
        <v>3827.17</v>
      </c>
      <c r="K9" s="390">
        <v>1.84E-2</v>
      </c>
      <c r="L9" s="631">
        <v>5</v>
      </c>
      <c r="M9" s="38">
        <f>ROUND(D9*L9*K9,2)</f>
        <v>5457.9</v>
      </c>
      <c r="N9" s="390">
        <v>1.8800000000000001E-2</v>
      </c>
      <c r="O9" s="631">
        <f>(2017+1-C9)-L9-I9-F9</f>
        <v>0.58000000000000007</v>
      </c>
      <c r="P9" s="602">
        <f>ROUND(D9*O9*N9,2)</f>
        <v>646.88</v>
      </c>
      <c r="Q9" s="602">
        <f>SUM(G9,J9,M9,P9)</f>
        <v>12671.699999999999</v>
      </c>
      <c r="R9" s="38">
        <f t="shared" ref="R9:R14" si="4">D9-Q9</f>
        <v>46653.3</v>
      </c>
      <c r="S9" s="602">
        <f>ROUND((D9 * N9),2)</f>
        <v>1115.31</v>
      </c>
      <c r="U9" s="490">
        <f>2015+1-C9</f>
        <v>11</v>
      </c>
      <c r="V9" s="491">
        <f>F9+I9+L9</f>
        <v>12.42</v>
      </c>
    </row>
    <row r="10" spans="1:22">
      <c r="A10" s="43" t="s">
        <v>573</v>
      </c>
      <c r="B10" s="44">
        <v>353</v>
      </c>
      <c r="C10" s="45">
        <v>2005</v>
      </c>
      <c r="D10" s="38">
        <v>49372</v>
      </c>
      <c r="E10" s="119">
        <v>2.12E-2</v>
      </c>
      <c r="F10" s="138">
        <f t="shared" si="0"/>
        <v>3.58</v>
      </c>
      <c r="G10" s="38">
        <f t="shared" si="1"/>
        <v>3747.14</v>
      </c>
      <c r="H10" s="119">
        <v>2.06E-2</v>
      </c>
      <c r="I10" s="150">
        <f t="shared" si="2"/>
        <v>3.84</v>
      </c>
      <c r="J10" s="38">
        <f t="shared" si="3"/>
        <v>3905.52</v>
      </c>
      <c r="K10" s="390">
        <v>1.9E-2</v>
      </c>
      <c r="L10" s="631">
        <v>5</v>
      </c>
      <c r="M10" s="38">
        <f>ROUND(D10*L10*K10,2)</f>
        <v>4690.34</v>
      </c>
      <c r="N10" s="390">
        <v>1.9699999999999999E-2</v>
      </c>
      <c r="O10" s="631">
        <f t="shared" ref="O10:O16" si="5">(2017+1-C10)-L10-I10-F10</f>
        <v>0.58000000000000007</v>
      </c>
      <c r="P10" s="23">
        <f t="shared" ref="P10:P16" si="6">ROUND(D10*O10*N10,2)</f>
        <v>564.12</v>
      </c>
      <c r="Q10" s="23">
        <f t="shared" ref="Q10:Q16" si="7">SUM(G10,J10,M10,P10)</f>
        <v>12907.12</v>
      </c>
      <c r="R10" s="38">
        <f t="shared" si="4"/>
        <v>36464.879999999997</v>
      </c>
      <c r="S10" s="23">
        <f t="shared" ref="S10:S16" si="8">ROUND((D10 * N10),2)</f>
        <v>972.63</v>
      </c>
      <c r="U10" s="490">
        <f t="shared" ref="U10:U16" si="9">2015+1-C10</f>
        <v>11</v>
      </c>
      <c r="V10" s="491">
        <f t="shared" ref="V10:V16" si="10">F10+I10+L10</f>
        <v>12.42</v>
      </c>
    </row>
    <row r="11" spans="1:22">
      <c r="A11" s="43" t="s">
        <v>166</v>
      </c>
      <c r="B11" s="44">
        <v>352</v>
      </c>
      <c r="C11" s="45">
        <v>2001</v>
      </c>
      <c r="D11" s="38">
        <v>89955.44</v>
      </c>
      <c r="E11" s="119">
        <v>1.29E-2</v>
      </c>
      <c r="F11" s="138">
        <f t="shared" si="0"/>
        <v>7.58</v>
      </c>
      <c r="G11" s="38">
        <f t="shared" si="1"/>
        <v>8796.02</v>
      </c>
      <c r="H11" s="119">
        <v>1.6799999999999999E-2</v>
      </c>
      <c r="I11" s="150">
        <f t="shared" si="2"/>
        <v>3.84</v>
      </c>
      <c r="J11" s="38">
        <f t="shared" si="3"/>
        <v>5803.21</v>
      </c>
      <c r="K11" s="390">
        <v>1.84E-2</v>
      </c>
      <c r="L11" s="631">
        <v>5</v>
      </c>
      <c r="M11" s="38">
        <f t="shared" ref="M11:M16" si="11">ROUND(D11*L11*K11,2)</f>
        <v>8275.9</v>
      </c>
      <c r="N11" s="390">
        <f t="shared" ref="N11:N16" si="12">N9</f>
        <v>1.8800000000000001E-2</v>
      </c>
      <c r="O11" s="631">
        <f t="shared" si="5"/>
        <v>0.58000000000000007</v>
      </c>
      <c r="P11" s="23">
        <f t="shared" si="6"/>
        <v>980.87</v>
      </c>
      <c r="Q11" s="23">
        <f t="shared" si="7"/>
        <v>23855.999999999996</v>
      </c>
      <c r="R11" s="38">
        <f t="shared" si="4"/>
        <v>66099.44</v>
      </c>
      <c r="S11" s="23">
        <f t="shared" si="8"/>
        <v>1691.16</v>
      </c>
      <c r="U11" s="490">
        <f t="shared" si="9"/>
        <v>15</v>
      </c>
      <c r="V11" s="491">
        <f t="shared" si="10"/>
        <v>16.420000000000002</v>
      </c>
    </row>
    <row r="12" spans="1:22">
      <c r="A12" s="43" t="s">
        <v>166</v>
      </c>
      <c r="B12" s="44">
        <v>353</v>
      </c>
      <c r="C12" s="45">
        <v>2001</v>
      </c>
      <c r="D12" s="38">
        <v>433103.7</v>
      </c>
      <c r="E12" s="119">
        <v>2.12E-2</v>
      </c>
      <c r="F12" s="138">
        <f t="shared" si="0"/>
        <v>7.58</v>
      </c>
      <c r="G12" s="38">
        <f t="shared" si="1"/>
        <v>69598.03</v>
      </c>
      <c r="H12" s="119">
        <v>2.06E-2</v>
      </c>
      <c r="I12" s="150">
        <f t="shared" si="2"/>
        <v>3.84</v>
      </c>
      <c r="J12" s="38">
        <f t="shared" si="3"/>
        <v>34260.239999999998</v>
      </c>
      <c r="K12" s="119">
        <v>1.9E-2</v>
      </c>
      <c r="L12" s="631">
        <v>5</v>
      </c>
      <c r="M12" s="38">
        <f t="shared" si="11"/>
        <v>41144.85</v>
      </c>
      <c r="N12" s="119">
        <f t="shared" si="12"/>
        <v>1.9699999999999999E-2</v>
      </c>
      <c r="O12" s="631">
        <f t="shared" si="5"/>
        <v>0.58000000000000007</v>
      </c>
      <c r="P12" s="23">
        <f t="shared" si="6"/>
        <v>4948.6400000000003</v>
      </c>
      <c r="Q12" s="23">
        <f t="shared" si="7"/>
        <v>149951.76</v>
      </c>
      <c r="R12" s="38">
        <f t="shared" si="4"/>
        <v>283151.94</v>
      </c>
      <c r="S12" s="23">
        <f t="shared" si="8"/>
        <v>8532.14</v>
      </c>
      <c r="U12" s="490">
        <f t="shared" si="9"/>
        <v>15</v>
      </c>
      <c r="V12" s="491">
        <f t="shared" si="10"/>
        <v>16.420000000000002</v>
      </c>
    </row>
    <row r="13" spans="1:22">
      <c r="A13" s="43" t="s">
        <v>166</v>
      </c>
      <c r="B13" s="44">
        <v>352</v>
      </c>
      <c r="C13" s="608">
        <v>2008</v>
      </c>
      <c r="D13" s="38">
        <v>63308</v>
      </c>
      <c r="E13" s="119">
        <v>1.29E-2</v>
      </c>
      <c r="F13" s="138">
        <f t="shared" si="0"/>
        <v>0.57999999999999996</v>
      </c>
      <c r="G13" s="38">
        <f t="shared" si="1"/>
        <v>473.67</v>
      </c>
      <c r="H13" s="119">
        <v>1.6799999999999999E-2</v>
      </c>
      <c r="I13" s="150">
        <f t="shared" si="2"/>
        <v>3.84</v>
      </c>
      <c r="J13" s="38">
        <f t="shared" si="3"/>
        <v>4084.13</v>
      </c>
      <c r="K13" s="390">
        <v>1.84E-2</v>
      </c>
      <c r="L13" s="631">
        <v>5</v>
      </c>
      <c r="M13" s="38">
        <f t="shared" si="11"/>
        <v>5824.34</v>
      </c>
      <c r="N13" s="390">
        <f t="shared" si="12"/>
        <v>1.8800000000000001E-2</v>
      </c>
      <c r="O13" s="631">
        <f t="shared" si="5"/>
        <v>0.58000000000000018</v>
      </c>
      <c r="P13" s="23">
        <f t="shared" si="6"/>
        <v>690.31</v>
      </c>
      <c r="Q13" s="23">
        <f t="shared" si="7"/>
        <v>11072.449999999999</v>
      </c>
      <c r="R13" s="38">
        <f t="shared" si="4"/>
        <v>52235.55</v>
      </c>
      <c r="S13" s="23">
        <f t="shared" si="8"/>
        <v>1190.19</v>
      </c>
      <c r="U13" s="490">
        <f t="shared" si="9"/>
        <v>8</v>
      </c>
      <c r="V13" s="491">
        <f t="shared" si="10"/>
        <v>9.42</v>
      </c>
    </row>
    <row r="14" spans="1:22">
      <c r="A14" s="43" t="s">
        <v>166</v>
      </c>
      <c r="B14" s="44">
        <v>353</v>
      </c>
      <c r="C14" s="608">
        <v>2008</v>
      </c>
      <c r="D14" s="23">
        <v>126618</v>
      </c>
      <c r="E14" s="119">
        <v>2.12E-2</v>
      </c>
      <c r="F14" s="138">
        <f t="shared" si="0"/>
        <v>0.57999999999999996</v>
      </c>
      <c r="G14" s="38">
        <f t="shared" si="1"/>
        <v>1556.89</v>
      </c>
      <c r="H14" s="119">
        <v>2.06E-2</v>
      </c>
      <c r="I14" s="150">
        <f t="shared" si="2"/>
        <v>3.84</v>
      </c>
      <c r="J14" s="38">
        <f t="shared" si="3"/>
        <v>10015.99</v>
      </c>
      <c r="K14" s="390">
        <v>1.9E-2</v>
      </c>
      <c r="L14" s="631">
        <v>5</v>
      </c>
      <c r="M14" s="38">
        <f t="shared" si="11"/>
        <v>12028.71</v>
      </c>
      <c r="N14" s="119">
        <f t="shared" si="12"/>
        <v>1.9699999999999999E-2</v>
      </c>
      <c r="O14" s="631">
        <f t="shared" si="5"/>
        <v>0.58000000000000018</v>
      </c>
      <c r="P14" s="23">
        <f t="shared" si="6"/>
        <v>1446.74</v>
      </c>
      <c r="Q14" s="23">
        <f t="shared" si="7"/>
        <v>25048.329999999998</v>
      </c>
      <c r="R14" s="38">
        <f t="shared" si="4"/>
        <v>101569.67</v>
      </c>
      <c r="S14" s="23">
        <f t="shared" si="8"/>
        <v>2494.37</v>
      </c>
      <c r="U14" s="490">
        <f t="shared" si="9"/>
        <v>8</v>
      </c>
      <c r="V14" s="491">
        <f t="shared" si="10"/>
        <v>9.42</v>
      </c>
    </row>
    <row r="15" spans="1:22" ht="15">
      <c r="A15" s="43" t="s">
        <v>983</v>
      </c>
      <c r="B15" s="44">
        <v>352</v>
      </c>
      <c r="C15" s="608">
        <v>2012</v>
      </c>
      <c r="D15" s="23">
        <v>150491.68</v>
      </c>
      <c r="E15" s="119"/>
      <c r="F15" s="138">
        <v>0</v>
      </c>
      <c r="G15" s="139"/>
      <c r="H15" s="119">
        <v>1.6799999999999999E-2</v>
      </c>
      <c r="I15" s="150">
        <f>0.42</f>
        <v>0.42</v>
      </c>
      <c r="J15" s="38">
        <f t="shared" si="3"/>
        <v>1061.8699999999999</v>
      </c>
      <c r="K15" s="390">
        <v>1.84E-2</v>
      </c>
      <c r="L15" s="631">
        <v>5</v>
      </c>
      <c r="M15" s="38">
        <f t="shared" si="11"/>
        <v>13845.23</v>
      </c>
      <c r="N15" s="390">
        <f t="shared" si="12"/>
        <v>1.8800000000000001E-2</v>
      </c>
      <c r="O15" s="631">
        <f t="shared" si="5"/>
        <v>0.58000000000000007</v>
      </c>
      <c r="P15" s="23">
        <f t="shared" si="6"/>
        <v>1640.96</v>
      </c>
      <c r="Q15" s="23">
        <f t="shared" si="7"/>
        <v>16548.059999999998</v>
      </c>
      <c r="R15" s="38">
        <f>D15-Q15</f>
        <v>133943.62</v>
      </c>
      <c r="S15" s="23">
        <f t="shared" si="8"/>
        <v>2829.24</v>
      </c>
      <c r="U15" s="490">
        <f t="shared" si="9"/>
        <v>4</v>
      </c>
      <c r="V15" s="491">
        <f t="shared" si="10"/>
        <v>5.42</v>
      </c>
    </row>
    <row r="16" spans="1:22" ht="15">
      <c r="A16" s="43" t="s">
        <v>983</v>
      </c>
      <c r="B16" s="44">
        <v>353</v>
      </c>
      <c r="C16" s="608">
        <v>2012</v>
      </c>
      <c r="D16" s="198">
        <v>68973.52</v>
      </c>
      <c r="E16" s="119"/>
      <c r="F16" s="138">
        <v>0</v>
      </c>
      <c r="G16" s="400"/>
      <c r="H16" s="119">
        <v>2.06E-2</v>
      </c>
      <c r="I16" s="150">
        <f>0.42</f>
        <v>0.42</v>
      </c>
      <c r="J16" s="198">
        <f t="shared" si="3"/>
        <v>596.76</v>
      </c>
      <c r="K16" s="390">
        <v>1.9E-2</v>
      </c>
      <c r="L16" s="631">
        <v>5</v>
      </c>
      <c r="M16" s="198">
        <f t="shared" si="11"/>
        <v>6552.48</v>
      </c>
      <c r="N16" s="119">
        <f t="shared" si="12"/>
        <v>1.9699999999999999E-2</v>
      </c>
      <c r="O16" s="631">
        <f t="shared" si="5"/>
        <v>0.58000000000000007</v>
      </c>
      <c r="P16" s="198">
        <f t="shared" si="6"/>
        <v>788.09</v>
      </c>
      <c r="Q16" s="198">
        <f t="shared" si="7"/>
        <v>7937.33</v>
      </c>
      <c r="R16" s="198">
        <f>D16-Q16</f>
        <v>61036.19</v>
      </c>
      <c r="S16" s="198">
        <f t="shared" si="8"/>
        <v>1358.78</v>
      </c>
      <c r="U16" s="490">
        <f t="shared" si="9"/>
        <v>4</v>
      </c>
      <c r="V16" s="491">
        <f t="shared" si="10"/>
        <v>5.42</v>
      </c>
    </row>
    <row r="17" spans="1:19">
      <c r="D17" s="38"/>
      <c r="E17" s="119"/>
      <c r="F17" s="121"/>
      <c r="G17" s="38"/>
      <c r="H17" s="119"/>
      <c r="I17" s="120"/>
      <c r="J17" s="38"/>
      <c r="K17" s="38"/>
      <c r="L17" s="38"/>
      <c r="M17" s="38"/>
      <c r="N17" s="38"/>
      <c r="O17" s="38"/>
      <c r="P17" s="38"/>
      <c r="Q17" s="38"/>
      <c r="R17" s="38"/>
      <c r="S17" s="38"/>
    </row>
    <row r="18" spans="1:19">
      <c r="A18" s="114" t="s">
        <v>537</v>
      </c>
      <c r="D18" s="38">
        <f>SUM(D9:D17)</f>
        <v>1041147.3400000001</v>
      </c>
      <c r="E18" s="122"/>
      <c r="G18" s="38">
        <f>SUM(G9:G17)</f>
        <v>86911.5</v>
      </c>
      <c r="H18" s="122"/>
      <c r="I18" s="122"/>
      <c r="J18" s="38">
        <f>SUM(J9:J17)</f>
        <v>63554.89</v>
      </c>
      <c r="K18" s="38"/>
      <c r="L18" s="38"/>
      <c r="M18" s="38">
        <f>SUM(M9:M17)</f>
        <v>97819.75</v>
      </c>
      <c r="N18" s="38"/>
      <c r="O18" s="38"/>
      <c r="P18" s="38">
        <f>SUM(P9:P17)</f>
        <v>11706.61</v>
      </c>
      <c r="Q18" s="38">
        <f>SUM(Q9:Q17)</f>
        <v>259992.75</v>
      </c>
      <c r="R18" s="38">
        <f>SUM(R9:R17)</f>
        <v>781154.59000000008</v>
      </c>
      <c r="S18" s="38">
        <f>SUM(S9:S17)</f>
        <v>20183.82</v>
      </c>
    </row>
  </sheetData>
  <mergeCells count="8">
    <mergeCell ref="E7:G7"/>
    <mergeCell ref="H7:J7"/>
    <mergeCell ref="A2:S2"/>
    <mergeCell ref="A3:S3"/>
    <mergeCell ref="A4:S4"/>
    <mergeCell ref="A5:S5"/>
    <mergeCell ref="K7:M7"/>
    <mergeCell ref="N7:P7"/>
  </mergeCells>
  <phoneticPr fontId="0" type="noConversion"/>
  <printOptions horizontalCentered="1"/>
  <pageMargins left="0.75" right="0.75" top="1" bottom="1" header="0.5" footer="0.5"/>
  <pageSetup scale="47" orientation="landscape" r:id="rId1"/>
  <headerFooter alignWithMargins="0">
    <oddHeader>&amp;CIDAHO POWER COMPANY
Transmission Cost of Service Rate Development
12 Months Ended 12/31/2017</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K44"/>
  <sheetViews>
    <sheetView topLeftCell="A7" zoomScaleNormal="100" zoomScaleSheetLayoutView="100" workbookViewId="0">
      <selection activeCell="I18" sqref="I18"/>
    </sheetView>
  </sheetViews>
  <sheetFormatPr defaultRowHeight="12.75"/>
  <cols>
    <col min="1" max="1" width="6.7109375" style="196" customWidth="1"/>
    <col min="2" max="2" width="2.140625" style="196" customWidth="1"/>
    <col min="3" max="3" width="10.42578125" style="196" bestFit="1" customWidth="1"/>
    <col min="4" max="4" width="11.28515625" style="196" customWidth="1"/>
    <col min="5" max="5" width="10.7109375" style="196" bestFit="1" customWidth="1"/>
    <col min="6" max="6" width="3.85546875" style="196" customWidth="1"/>
    <col min="7" max="7" width="13.28515625" style="196" bestFit="1" customWidth="1"/>
    <col min="8" max="8" width="2.140625" style="196" customWidth="1"/>
    <col min="9" max="9" width="26.85546875" style="608" bestFit="1" customWidth="1"/>
    <col min="10" max="10" width="2.140625" style="196" customWidth="1"/>
    <col min="11" max="11" width="22.7109375" style="608" customWidth="1"/>
    <col min="12" max="16384" width="9.140625" style="196"/>
  </cols>
  <sheetData>
    <row r="2" spans="1:11">
      <c r="A2" s="657"/>
      <c r="B2" s="657"/>
      <c r="C2" s="657"/>
      <c r="D2" s="657"/>
      <c r="E2" s="657"/>
      <c r="F2" s="657"/>
      <c r="G2" s="657"/>
      <c r="H2" s="657"/>
      <c r="I2" s="657"/>
      <c r="J2" s="657"/>
      <c r="K2" s="657"/>
    </row>
    <row r="3" spans="1:11">
      <c r="A3" s="656" t="s">
        <v>713</v>
      </c>
      <c r="B3" s="656"/>
      <c r="C3" s="656"/>
      <c r="D3" s="656"/>
      <c r="E3" s="656"/>
      <c r="F3" s="656"/>
      <c r="G3" s="656"/>
      <c r="H3" s="656"/>
      <c r="I3" s="656"/>
      <c r="J3" s="656"/>
      <c r="K3" s="656"/>
    </row>
    <row r="4" spans="1:11">
      <c r="A4" s="657"/>
      <c r="B4" s="657"/>
      <c r="C4" s="657"/>
      <c r="D4" s="657"/>
      <c r="E4" s="657"/>
      <c r="F4" s="657"/>
      <c r="G4" s="657"/>
      <c r="H4" s="657"/>
      <c r="I4" s="657"/>
      <c r="J4" s="657"/>
      <c r="K4" s="657"/>
    </row>
    <row r="5" spans="1:11">
      <c r="A5" s="608"/>
      <c r="B5" s="608"/>
      <c r="C5" s="608"/>
      <c r="D5" s="608"/>
      <c r="E5" s="608"/>
      <c r="F5" s="608"/>
      <c r="G5" s="608"/>
      <c r="H5" s="608"/>
      <c r="J5" s="608"/>
    </row>
    <row r="6" spans="1:11">
      <c r="I6" s="656"/>
      <c r="J6" s="656"/>
      <c r="K6" s="656"/>
    </row>
    <row r="10" spans="1:11">
      <c r="F10" s="50"/>
      <c r="G10" s="50" t="s">
        <v>149</v>
      </c>
      <c r="I10" s="611">
        <f>'Rate Calculation'!E47</f>
        <v>150077648.38336653</v>
      </c>
      <c r="J10" s="49"/>
      <c r="K10" s="49"/>
    </row>
    <row r="11" spans="1:11">
      <c r="A11" s="21"/>
      <c r="E11" s="53"/>
      <c r="F11" s="53"/>
      <c r="G11" s="53"/>
      <c r="I11" s="134"/>
      <c r="K11" s="134"/>
    </row>
    <row r="12" spans="1:11">
      <c r="G12" s="50" t="s">
        <v>150</v>
      </c>
      <c r="I12" s="610">
        <f>ABS('Rate Calculation'!E49)</f>
        <v>26936729.643977072</v>
      </c>
    </row>
    <row r="13" spans="1:11">
      <c r="G13" s="611"/>
    </row>
    <row r="14" spans="1:11">
      <c r="G14" s="141" t="s">
        <v>151</v>
      </c>
      <c r="I14" s="611">
        <f>'Rate Calculation'!E51</f>
        <v>123140918.73938945</v>
      </c>
    </row>
    <row r="15" spans="1:11">
      <c r="G15" s="611"/>
    </row>
    <row r="16" spans="1:11">
      <c r="G16" s="50" t="s">
        <v>336</v>
      </c>
      <c r="H16" s="50"/>
      <c r="I16" s="610">
        <f>C44</f>
        <v>3796249.7155858902</v>
      </c>
    </row>
    <row r="17" spans="1:10">
      <c r="I17" s="611"/>
    </row>
    <row r="18" spans="1:10">
      <c r="B18" s="49"/>
      <c r="C18" s="49"/>
      <c r="D18" s="49"/>
      <c r="E18" s="49"/>
      <c r="F18" s="49"/>
      <c r="G18" s="50" t="s">
        <v>152</v>
      </c>
      <c r="H18" s="49"/>
      <c r="I18" s="611">
        <f>I14 + I16</f>
        <v>126937168.45497534</v>
      </c>
    </row>
    <row r="28" spans="1:10">
      <c r="I28" s="51" t="s">
        <v>337</v>
      </c>
    </row>
    <row r="29" spans="1:10">
      <c r="I29" s="134"/>
    </row>
    <row r="30" spans="1:10">
      <c r="A30" s="141" t="s">
        <v>568</v>
      </c>
      <c r="B30" s="52" t="s">
        <v>113</v>
      </c>
      <c r="C30" s="659" t="s">
        <v>148</v>
      </c>
      <c r="D30" s="659"/>
      <c r="E30" s="659"/>
      <c r="F30" s="659"/>
      <c r="G30" s="659"/>
      <c r="H30" s="52"/>
      <c r="I30" s="53" t="s">
        <v>338</v>
      </c>
      <c r="J30" s="106"/>
    </row>
    <row r="31" spans="1:10">
      <c r="C31" s="49" t="s">
        <v>339</v>
      </c>
      <c r="I31" s="49"/>
      <c r="J31" s="49"/>
    </row>
    <row r="34" spans="2:11">
      <c r="C34" s="658" t="s">
        <v>340</v>
      </c>
      <c r="D34" s="658"/>
      <c r="I34" s="134"/>
    </row>
    <row r="35" spans="2:11">
      <c r="C35" s="661" t="s">
        <v>341</v>
      </c>
      <c r="D35" s="661"/>
      <c r="E35" s="33">
        <f>'Schedule 5'!L66</f>
        <v>973</v>
      </c>
      <c r="I35" s="608" t="s">
        <v>342</v>
      </c>
    </row>
    <row r="36" spans="2:11">
      <c r="C36" s="661" t="s">
        <v>343</v>
      </c>
      <c r="D36" s="661"/>
      <c r="E36" s="33">
        <f>ROUND('Schedule 5'!E24,0)</f>
        <v>3610</v>
      </c>
      <c r="I36" s="608" t="s">
        <v>342</v>
      </c>
    </row>
    <row r="37" spans="2:11">
      <c r="C37" s="662" t="s">
        <v>344</v>
      </c>
      <c r="D37" s="662"/>
      <c r="E37" s="107">
        <f>ROUND('Rate Calculation'!E51/E36/1000, 2)</f>
        <v>34.11</v>
      </c>
      <c r="I37" s="70" t="s">
        <v>482</v>
      </c>
      <c r="J37" s="72"/>
    </row>
    <row r="38" spans="2:11">
      <c r="C38" s="661" t="s">
        <v>345</v>
      </c>
      <c r="D38" s="661"/>
      <c r="E38" s="58">
        <f>'Rate Calculation'!E55</f>
        <v>31.26</v>
      </c>
      <c r="I38" s="608" t="s">
        <v>910</v>
      </c>
    </row>
    <row r="41" spans="2:11">
      <c r="B41" s="39" t="s">
        <v>113</v>
      </c>
      <c r="C41" s="610" t="str">
        <f>E35&amp; " MW * "</f>
        <v xml:space="preserve">973 MW * </v>
      </c>
      <c r="D41" s="108" t="str">
        <f>E36&amp;" MW * ( "</f>
        <v xml:space="preserve">3610 MW * ( </v>
      </c>
      <c r="E41" s="109">
        <f>E37</f>
        <v>34.11</v>
      </c>
      <c r="F41" s="97" t="str">
        <f>" -  $ "</f>
        <v xml:space="preserve"> -  $ </v>
      </c>
      <c r="G41" s="110" t="str">
        <f>E38&amp; " ) * 1000 "</f>
        <v xml:space="preserve">31.26 ) * 1000 </v>
      </c>
      <c r="H41" s="39"/>
      <c r="I41" s="607"/>
      <c r="J41" s="4"/>
      <c r="K41" s="607"/>
    </row>
    <row r="42" spans="2:11">
      <c r="D42" s="111" t="str">
        <f>E36&amp; " MW - "</f>
        <v xml:space="preserve">3610 MW - </v>
      </c>
      <c r="E42" s="197" t="str">
        <f>E35&amp; " MW "</f>
        <v xml:space="preserve">973 MW </v>
      </c>
      <c r="I42" s="660"/>
      <c r="J42" s="660"/>
    </row>
    <row r="44" spans="2:11">
      <c r="B44" s="39" t="s">
        <v>113</v>
      </c>
      <c r="C44" s="611">
        <f>(E35*E36*((E37)-ROUND(E38,2))*1000)/(E36-E35)</f>
        <v>3796249.7155858902</v>
      </c>
      <c r="D44" s="39"/>
      <c r="E44" s="39"/>
      <c r="F44" s="39"/>
      <c r="G44" s="39"/>
      <c r="H44" s="39"/>
    </row>
  </sheetData>
  <mergeCells count="11">
    <mergeCell ref="I42:J42"/>
    <mergeCell ref="I6:K6"/>
    <mergeCell ref="C38:D38"/>
    <mergeCell ref="C35:D35"/>
    <mergeCell ref="C36:D36"/>
    <mergeCell ref="C37:D37"/>
    <mergeCell ref="A2:K2"/>
    <mergeCell ref="A3:K3"/>
    <mergeCell ref="A4:K4"/>
    <mergeCell ref="C34:D34"/>
    <mergeCell ref="C30:G30"/>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12/31/2017</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4:F16"/>
  <sheetViews>
    <sheetView zoomScaleNormal="100" zoomScaleSheetLayoutView="100" workbookViewId="0"/>
  </sheetViews>
  <sheetFormatPr defaultRowHeight="12.75"/>
  <cols>
    <col min="1" max="1" width="1.28515625" style="196" customWidth="1"/>
    <col min="2" max="2" width="24.5703125" style="611" bestFit="1" customWidth="1"/>
    <col min="3" max="3" width="1" style="196" customWidth="1"/>
    <col min="4" max="4" width="44.42578125" style="608" bestFit="1" customWidth="1"/>
    <col min="5" max="5" width="1" style="196" customWidth="1"/>
    <col min="6" max="6" width="20.28515625" style="608" bestFit="1" customWidth="1"/>
    <col min="7" max="16384" width="9.140625" style="196"/>
  </cols>
  <sheetData>
    <row r="4" spans="1:6">
      <c r="B4" s="657"/>
      <c r="C4" s="657"/>
      <c r="D4" s="657"/>
      <c r="E4" s="657"/>
      <c r="F4" s="657"/>
    </row>
    <row r="5" spans="1:6">
      <c r="B5" s="656" t="s">
        <v>726</v>
      </c>
      <c r="C5" s="656"/>
      <c r="D5" s="656"/>
      <c r="E5" s="656"/>
      <c r="F5" s="656"/>
    </row>
    <row r="6" spans="1:6">
      <c r="B6" s="657"/>
      <c r="C6" s="657"/>
      <c r="D6" s="657"/>
      <c r="E6" s="657"/>
      <c r="F6" s="657"/>
    </row>
    <row r="7" spans="1:6">
      <c r="B7" s="608"/>
      <c r="C7" s="608"/>
      <c r="E7" s="608"/>
    </row>
    <row r="8" spans="1:6">
      <c r="A8" s="656"/>
      <c r="B8" s="656"/>
      <c r="C8" s="656"/>
      <c r="D8" s="656"/>
      <c r="E8" s="656"/>
      <c r="F8" s="656"/>
    </row>
    <row r="11" spans="1:6">
      <c r="D11" s="608" t="s">
        <v>715</v>
      </c>
    </row>
    <row r="12" spans="1:6">
      <c r="B12" s="611" t="s">
        <v>716</v>
      </c>
      <c r="D12" s="608" t="s">
        <v>717</v>
      </c>
      <c r="F12" s="608" t="s">
        <v>718</v>
      </c>
    </row>
    <row r="13" spans="1:6">
      <c r="B13" s="610" t="s">
        <v>719</v>
      </c>
      <c r="D13" s="51" t="s">
        <v>721</v>
      </c>
      <c r="F13" s="51" t="s">
        <v>714</v>
      </c>
    </row>
    <row r="16" spans="1:6">
      <c r="B16" s="611">
        <f>'Schedule 4'!E13</f>
        <v>4122888.7846793756</v>
      </c>
      <c r="D16" s="611">
        <f>'Schedule 4'!E19</f>
        <v>22813840.859297697</v>
      </c>
      <c r="F16" s="611">
        <f>'Schedule 4'!E23</f>
        <v>26936729.643977072</v>
      </c>
    </row>
  </sheetData>
  <mergeCells count="4">
    <mergeCell ref="B4:F4"/>
    <mergeCell ref="B5:F5"/>
    <mergeCell ref="B6:F6"/>
    <mergeCell ref="A8:F8"/>
  </mergeCells>
  <phoneticPr fontId="18"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12/31/2017</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66"/>
  <sheetViews>
    <sheetView topLeftCell="A28" zoomScaleNormal="100" zoomScaleSheetLayoutView="80" zoomScalePageLayoutView="90" workbookViewId="0">
      <selection activeCell="E55" sqref="E55"/>
    </sheetView>
  </sheetViews>
  <sheetFormatPr defaultRowHeight="12.75"/>
  <cols>
    <col min="1" max="1" width="5.140625" style="152" customWidth="1"/>
    <col min="2" max="2" width="2.7109375" style="152" customWidth="1"/>
    <col min="3" max="3" width="71.28515625" style="152" bestFit="1" customWidth="1"/>
    <col min="4" max="4" width="43.42578125" style="158" bestFit="1" customWidth="1"/>
    <col min="5" max="5" width="17.7109375" style="167" customWidth="1"/>
    <col min="6" max="16384" width="9.140625" style="152"/>
  </cols>
  <sheetData>
    <row r="1" spans="1:5" ht="18">
      <c r="C1" s="664"/>
      <c r="D1" s="664"/>
      <c r="E1" s="664"/>
    </row>
    <row r="2" spans="1:5">
      <c r="A2" s="663" t="s">
        <v>526</v>
      </c>
      <c r="B2" s="663"/>
      <c r="C2" s="663"/>
      <c r="D2" s="663"/>
      <c r="E2" s="663"/>
    </row>
    <row r="3" spans="1:5">
      <c r="A3" s="663" t="s">
        <v>332</v>
      </c>
      <c r="B3" s="663"/>
      <c r="C3" s="663"/>
      <c r="D3" s="663"/>
      <c r="E3" s="663"/>
    </row>
    <row r="4" spans="1:5">
      <c r="A4" s="612"/>
      <c r="B4" s="612"/>
      <c r="C4" s="612"/>
      <c r="D4" s="612"/>
      <c r="E4" s="612"/>
    </row>
    <row r="5" spans="1:5">
      <c r="C5" s="156"/>
      <c r="D5" s="613" t="s">
        <v>229</v>
      </c>
      <c r="E5" s="199" t="s">
        <v>230</v>
      </c>
    </row>
    <row r="6" spans="1:5">
      <c r="C6" s="156" t="s">
        <v>231</v>
      </c>
    </row>
    <row r="7" spans="1:5">
      <c r="A7" s="152">
        <v>1</v>
      </c>
      <c r="C7" s="152" t="s">
        <v>325</v>
      </c>
      <c r="D7" s="158" t="s">
        <v>1353</v>
      </c>
      <c r="E7" s="200">
        <f>1163240490-0-'Schedule 10'!E19</f>
        <v>1162888407.3399999</v>
      </c>
    </row>
    <row r="8" spans="1:5">
      <c r="A8" s="152">
        <f>A7+1</f>
        <v>2</v>
      </c>
      <c r="C8" s="152" t="s">
        <v>521</v>
      </c>
      <c r="D8" s="158" t="s">
        <v>181</v>
      </c>
      <c r="E8" s="167">
        <f>-'Schedule 7'!E91</f>
        <v>-32995940.105</v>
      </c>
    </row>
    <row r="9" spans="1:5">
      <c r="A9" s="152">
        <f t="shared" ref="A9:A61" si="0">A8+1</f>
        <v>3</v>
      </c>
      <c r="C9" s="152" t="s">
        <v>215</v>
      </c>
      <c r="D9" s="158" t="s">
        <v>569</v>
      </c>
      <c r="E9" s="167">
        <f>-'Schedule 8'!E17</f>
        <v>-1041147.3400000001</v>
      </c>
    </row>
    <row r="10" spans="1:5">
      <c r="A10" s="152">
        <f t="shared" si="0"/>
        <v>4</v>
      </c>
      <c r="C10" s="152" t="s">
        <v>199</v>
      </c>
      <c r="D10" s="158" t="s">
        <v>44</v>
      </c>
      <c r="E10" s="167">
        <f>-'Schedule 9'!E43</f>
        <v>0</v>
      </c>
    </row>
    <row r="11" spans="1:5">
      <c r="A11" s="152">
        <f t="shared" si="0"/>
        <v>5</v>
      </c>
      <c r="C11" s="152" t="s">
        <v>378</v>
      </c>
      <c r="D11" s="158" t="s">
        <v>233</v>
      </c>
      <c r="E11" s="167">
        <f>'Schedule 1'!F22</f>
        <v>46918336.950057529</v>
      </c>
    </row>
    <row r="12" spans="1:5">
      <c r="A12" s="152">
        <f t="shared" si="0"/>
        <v>6</v>
      </c>
      <c r="C12" s="152" t="s">
        <v>234</v>
      </c>
      <c r="D12" s="158" t="s">
        <v>233</v>
      </c>
      <c r="E12" s="482">
        <f>'Schedule 1'!F36</f>
        <v>7152676.2384548103</v>
      </c>
    </row>
    <row r="13" spans="1:5">
      <c r="A13" s="152">
        <f t="shared" si="0"/>
        <v>7</v>
      </c>
      <c r="C13" s="152" t="s">
        <v>497</v>
      </c>
      <c r="D13" s="158" t="s">
        <v>945</v>
      </c>
      <c r="E13" s="201">
        <f>423089+195489+308066+199069</f>
        <v>1125713</v>
      </c>
    </row>
    <row r="14" spans="1:5">
      <c r="A14" s="152">
        <f t="shared" si="0"/>
        <v>8</v>
      </c>
      <c r="C14" s="152" t="s">
        <v>498</v>
      </c>
      <c r="D14" s="158" t="s">
        <v>233</v>
      </c>
      <c r="E14" s="201">
        <f>'Schedule 1'!F75</f>
        <v>478259.10460768</v>
      </c>
    </row>
    <row r="15" spans="1:5">
      <c r="A15" s="152">
        <f t="shared" si="0"/>
        <v>9</v>
      </c>
      <c r="C15" s="152" t="s">
        <v>348</v>
      </c>
      <c r="D15" s="158" t="s">
        <v>955</v>
      </c>
      <c r="E15" s="167">
        <f>-364308753-0</f>
        <v>-364308753</v>
      </c>
    </row>
    <row r="16" spans="1:5">
      <c r="A16" s="152">
        <f t="shared" si="0"/>
        <v>10</v>
      </c>
      <c r="C16" s="152" t="s">
        <v>198</v>
      </c>
      <c r="D16" s="158" t="s">
        <v>181</v>
      </c>
      <c r="E16" s="167">
        <f>'Schedule 7'!F91</f>
        <v>13044910.609999994</v>
      </c>
    </row>
    <row r="17" spans="1:5">
      <c r="A17" s="152">
        <f t="shared" si="0"/>
        <v>11</v>
      </c>
      <c r="C17" s="152" t="s">
        <v>216</v>
      </c>
      <c r="D17" s="158" t="s">
        <v>569</v>
      </c>
      <c r="E17" s="167">
        <f>'Schedule 8'!F17</f>
        <v>259992.75</v>
      </c>
    </row>
    <row r="18" spans="1:5">
      <c r="A18" s="152">
        <f t="shared" si="0"/>
        <v>12</v>
      </c>
      <c r="C18" s="152" t="s">
        <v>334</v>
      </c>
      <c r="D18" s="158" t="s">
        <v>233</v>
      </c>
      <c r="E18" s="167">
        <f>-'Schedule 1'!F29</f>
        <v>-14425379.804638689</v>
      </c>
    </row>
    <row r="19" spans="1:5">
      <c r="A19" s="152">
        <f t="shared" si="0"/>
        <v>13</v>
      </c>
      <c r="C19" s="152" t="s">
        <v>473</v>
      </c>
      <c r="D19" s="158" t="s">
        <v>233</v>
      </c>
      <c r="E19" s="167">
        <f>-'Schedule 1'!F43</f>
        <v>-3355821.4301511901</v>
      </c>
    </row>
    <row r="20" spans="1:5">
      <c r="A20" s="152">
        <f t="shared" si="0"/>
        <v>14</v>
      </c>
      <c r="C20" s="152" t="s">
        <v>232</v>
      </c>
      <c r="D20" s="158" t="s">
        <v>233</v>
      </c>
      <c r="E20" s="167">
        <f xml:space="preserve"> - 'Schedule 1'!F15</f>
        <v>-85446071.569330409</v>
      </c>
    </row>
    <row r="21" spans="1:5">
      <c r="A21" s="152">
        <f t="shared" si="0"/>
        <v>15</v>
      </c>
      <c r="C21" s="152" t="s">
        <v>470</v>
      </c>
      <c r="D21" s="158" t="s">
        <v>233</v>
      </c>
      <c r="E21" s="167">
        <f xml:space="preserve"> - 'Schedule 1'!F54</f>
        <v>-4092794.5301819998</v>
      </c>
    </row>
    <row r="22" spans="1:5">
      <c r="A22" s="152">
        <f t="shared" si="0"/>
        <v>16</v>
      </c>
      <c r="C22" s="152" t="s">
        <v>415</v>
      </c>
      <c r="D22" s="158" t="s">
        <v>233</v>
      </c>
      <c r="E22" s="201">
        <f>'Schedule 1'!F70</f>
        <v>2105624.29321671</v>
      </c>
    </row>
    <row r="23" spans="1:5">
      <c r="A23" s="152">
        <f t="shared" si="0"/>
        <v>17</v>
      </c>
      <c r="C23" s="152" t="s">
        <v>501</v>
      </c>
      <c r="D23" s="158" t="s">
        <v>505</v>
      </c>
      <c r="E23" s="167">
        <f>'Schedule 1'!F85</f>
        <v>10558261.57286695</v>
      </c>
    </row>
    <row r="24" spans="1:5">
      <c r="A24" s="152">
        <f t="shared" si="0"/>
        <v>18</v>
      </c>
      <c r="C24" s="152" t="s">
        <v>522</v>
      </c>
      <c r="D24" s="158" t="s">
        <v>233</v>
      </c>
      <c r="E24" s="201">
        <f>'Schedule 1'!F61</f>
        <v>4232236.138195781</v>
      </c>
    </row>
    <row r="25" spans="1:5">
      <c r="A25" s="152">
        <f t="shared" si="0"/>
        <v>19</v>
      </c>
      <c r="C25" s="152" t="s">
        <v>37</v>
      </c>
      <c r="D25" s="158" t="s">
        <v>946</v>
      </c>
      <c r="E25" s="201">
        <v>0</v>
      </c>
    </row>
    <row r="26" spans="1:5">
      <c r="A26" s="152">
        <f t="shared" si="0"/>
        <v>20</v>
      </c>
      <c r="C26" s="152" t="s">
        <v>235</v>
      </c>
      <c r="D26" s="160" t="s">
        <v>438</v>
      </c>
      <c r="E26" s="167">
        <f>SUM(E7:E25)</f>
        <v>743098510.21809685</v>
      </c>
    </row>
    <row r="27" spans="1:5">
      <c r="A27" s="152">
        <f t="shared" si="0"/>
        <v>21</v>
      </c>
    </row>
    <row r="28" spans="1:5">
      <c r="A28" s="152">
        <f t="shared" si="0"/>
        <v>22</v>
      </c>
      <c r="C28" s="156" t="s">
        <v>428</v>
      </c>
    </row>
    <row r="29" spans="1:5">
      <c r="A29" s="152">
        <f t="shared" si="0"/>
        <v>23</v>
      </c>
      <c r="C29" s="152" t="s">
        <v>236</v>
      </c>
      <c r="D29" s="158" t="s">
        <v>239</v>
      </c>
      <c r="E29" s="483">
        <f>ROUND('Schedule 6'!I20,5)</f>
        <v>8.0439999999999998E-2</v>
      </c>
    </row>
    <row r="30" spans="1:5">
      <c r="A30" s="152">
        <f t="shared" si="0"/>
        <v>24</v>
      </c>
      <c r="C30" s="152" t="s">
        <v>472</v>
      </c>
      <c r="D30" s="158" t="s">
        <v>239</v>
      </c>
      <c r="E30" s="483">
        <f xml:space="preserve"> 'Schedule 6'!I34</f>
        <v>3.6929999999999998E-2</v>
      </c>
    </row>
    <row r="31" spans="1:5">
      <c r="A31" s="152">
        <f t="shared" si="0"/>
        <v>25</v>
      </c>
      <c r="C31" s="152" t="s">
        <v>467</v>
      </c>
      <c r="D31" s="160" t="s">
        <v>16</v>
      </c>
      <c r="E31" s="167">
        <f>E26*(E29+E30)</f>
        <v>87217472.144298032</v>
      </c>
    </row>
    <row r="32" spans="1:5">
      <c r="A32" s="152">
        <f t="shared" si="0"/>
        <v>26</v>
      </c>
    </row>
    <row r="33" spans="1:5">
      <c r="A33" s="152">
        <f t="shared" si="0"/>
        <v>27</v>
      </c>
    </row>
    <row r="34" spans="1:5">
      <c r="A34" s="152">
        <f t="shared" si="0"/>
        <v>28</v>
      </c>
      <c r="C34" s="156" t="s">
        <v>240</v>
      </c>
    </row>
    <row r="35" spans="1:5">
      <c r="A35" s="152">
        <f t="shared" si="0"/>
        <v>29</v>
      </c>
      <c r="C35" s="152" t="s">
        <v>298</v>
      </c>
      <c r="D35" s="158" t="s">
        <v>243</v>
      </c>
      <c r="E35" s="167">
        <f>'Schedule 2'!F71</f>
        <v>21009921.949999999</v>
      </c>
    </row>
    <row r="36" spans="1:5">
      <c r="A36" s="152">
        <f t="shared" si="0"/>
        <v>30</v>
      </c>
      <c r="C36" s="152" t="s">
        <v>299</v>
      </c>
      <c r="D36" s="158" t="s">
        <v>243</v>
      </c>
      <c r="E36" s="167">
        <f>'Schedule 2'!F34</f>
        <v>1721905.3626336001</v>
      </c>
    </row>
    <row r="37" spans="1:5">
      <c r="A37" s="152">
        <f t="shared" si="0"/>
        <v>31</v>
      </c>
      <c r="C37" s="152" t="s">
        <v>934</v>
      </c>
      <c r="D37" s="158" t="s">
        <v>243</v>
      </c>
      <c r="E37" s="167">
        <f>'Schedule 2'!F65</f>
        <v>779498.90914606</v>
      </c>
    </row>
    <row r="38" spans="1:5">
      <c r="A38" s="152">
        <f t="shared" si="0"/>
        <v>32</v>
      </c>
      <c r="C38" s="152" t="s">
        <v>468</v>
      </c>
      <c r="D38" s="158" t="s">
        <v>243</v>
      </c>
      <c r="E38" s="201">
        <f xml:space="preserve"> 'Schedule 2'!F41</f>
        <v>-618829.2326932</v>
      </c>
    </row>
    <row r="39" spans="1:5">
      <c r="A39" s="152">
        <f t="shared" si="0"/>
        <v>33</v>
      </c>
      <c r="C39" s="152" t="s">
        <v>241</v>
      </c>
      <c r="D39" s="158" t="s">
        <v>243</v>
      </c>
      <c r="E39" s="167">
        <f>'Schedule 2'!F77</f>
        <v>25108577.329</v>
      </c>
    </row>
    <row r="40" spans="1:5">
      <c r="A40" s="152">
        <f t="shared" si="0"/>
        <v>34</v>
      </c>
      <c r="C40" s="152" t="s">
        <v>423</v>
      </c>
      <c r="D40" s="158" t="s">
        <v>1038</v>
      </c>
      <c r="E40" s="167">
        <f>-(11169+1620215+1526249+32101+1698457)</f>
        <v>-4888191</v>
      </c>
    </row>
    <row r="41" spans="1:5">
      <c r="A41" s="152">
        <f t="shared" si="0"/>
        <v>35</v>
      </c>
      <c r="C41" s="152" t="s">
        <v>424</v>
      </c>
      <c r="D41" s="158" t="s">
        <v>333</v>
      </c>
      <c r="E41" s="167">
        <v>-4568399</v>
      </c>
    </row>
    <row r="42" spans="1:5">
      <c r="A42" s="152">
        <f t="shared" si="0"/>
        <v>36</v>
      </c>
      <c r="C42" s="152" t="s">
        <v>242</v>
      </c>
      <c r="D42" s="158" t="s">
        <v>243</v>
      </c>
      <c r="E42" s="167">
        <f>'Schedule 2'!F28</f>
        <v>18205901.776566252</v>
      </c>
    </row>
    <row r="43" spans="1:5">
      <c r="A43" s="152">
        <f t="shared" si="0"/>
        <v>37</v>
      </c>
      <c r="C43" s="152" t="s">
        <v>513</v>
      </c>
      <c r="D43" s="158" t="s">
        <v>243</v>
      </c>
      <c r="E43" s="201">
        <f>'Schedule 2'!F58</f>
        <v>6109790.1444157762</v>
      </c>
    </row>
    <row r="44" spans="1:5">
      <c r="A44" s="152">
        <f t="shared" si="0"/>
        <v>38</v>
      </c>
      <c r="C44" s="152" t="s">
        <v>38</v>
      </c>
      <c r="D44" s="158" t="s">
        <v>145</v>
      </c>
      <c r="E44" s="167">
        <v>0</v>
      </c>
    </row>
    <row r="45" spans="1:5" ht="15">
      <c r="A45" s="152">
        <f t="shared" si="0"/>
        <v>39</v>
      </c>
      <c r="C45" s="152" t="s">
        <v>34</v>
      </c>
      <c r="D45" s="158" t="s">
        <v>44</v>
      </c>
      <c r="E45" s="484">
        <f>'Schedule 9'!E54</f>
        <v>0</v>
      </c>
    </row>
    <row r="46" spans="1:5">
      <c r="A46" s="152">
        <f t="shared" si="0"/>
        <v>40</v>
      </c>
      <c r="C46" s="152" t="s">
        <v>300</v>
      </c>
      <c r="D46" s="160" t="s">
        <v>17</v>
      </c>
      <c r="E46" s="167">
        <f>SUM(E35:E45)</f>
        <v>62860176.239068486</v>
      </c>
    </row>
    <row r="47" spans="1:5">
      <c r="A47" s="152">
        <f t="shared" si="0"/>
        <v>41</v>
      </c>
      <c r="C47" s="177" t="s">
        <v>301</v>
      </c>
      <c r="D47" s="202" t="s">
        <v>25</v>
      </c>
      <c r="E47" s="201">
        <f>E31+E46</f>
        <v>150077648.38336653</v>
      </c>
    </row>
    <row r="48" spans="1:5">
      <c r="A48" s="152">
        <f t="shared" si="0"/>
        <v>42</v>
      </c>
      <c r="C48" s="177"/>
      <c r="D48" s="178"/>
      <c r="E48" s="201"/>
    </row>
    <row r="49" spans="1:5">
      <c r="A49" s="152">
        <f t="shared" si="0"/>
        <v>43</v>
      </c>
      <c r="C49" s="177" t="s">
        <v>302</v>
      </c>
      <c r="D49" s="178" t="s">
        <v>303</v>
      </c>
      <c r="E49" s="201">
        <f>-'Schedule 4'!E23</f>
        <v>-26936729.643977072</v>
      </c>
    </row>
    <row r="50" spans="1:5">
      <c r="A50" s="152">
        <f t="shared" si="0"/>
        <v>44</v>
      </c>
      <c r="C50" s="177"/>
      <c r="D50" s="178"/>
      <c r="E50" s="201"/>
    </row>
    <row r="51" spans="1:5">
      <c r="A51" s="152">
        <f t="shared" si="0"/>
        <v>45</v>
      </c>
      <c r="C51" s="203" t="s">
        <v>271</v>
      </c>
      <c r="D51" s="202"/>
      <c r="E51" s="204">
        <f>SUM(E47:E49)</f>
        <v>123140918.73938945</v>
      </c>
    </row>
    <row r="52" spans="1:5">
      <c r="A52" s="152">
        <f t="shared" si="0"/>
        <v>46</v>
      </c>
      <c r="C52" s="177"/>
      <c r="D52" s="178"/>
      <c r="E52" s="201"/>
    </row>
    <row r="53" spans="1:5">
      <c r="A53" s="152">
        <f t="shared" si="0"/>
        <v>47</v>
      </c>
      <c r="C53" s="203" t="s">
        <v>517</v>
      </c>
      <c r="D53" s="178" t="s">
        <v>304</v>
      </c>
      <c r="E53" s="201">
        <f>'Schedule 5'!G24</f>
        <v>3939.5833333333335</v>
      </c>
    </row>
    <row r="54" spans="1:5">
      <c r="A54" s="152">
        <f t="shared" si="0"/>
        <v>48</v>
      </c>
      <c r="C54" s="203"/>
      <c r="D54" s="178"/>
      <c r="E54" s="201"/>
    </row>
    <row r="55" spans="1:5">
      <c r="A55" s="152">
        <f t="shared" si="0"/>
        <v>49</v>
      </c>
      <c r="C55" s="177" t="s">
        <v>305</v>
      </c>
      <c r="D55" s="202" t="s">
        <v>18</v>
      </c>
      <c r="E55" s="485">
        <f>ROUND(E51/(E53*1000),2)</f>
        <v>31.26</v>
      </c>
    </row>
    <row r="56" spans="1:5">
      <c r="A56" s="152">
        <f t="shared" si="0"/>
        <v>50</v>
      </c>
      <c r="C56" s="177" t="s">
        <v>306</v>
      </c>
      <c r="D56" s="202" t="s">
        <v>19</v>
      </c>
      <c r="E56" s="486">
        <f>ROUND(E55/12,4)</f>
        <v>2.605</v>
      </c>
    </row>
    <row r="57" spans="1:5">
      <c r="A57" s="152">
        <f t="shared" si="0"/>
        <v>51</v>
      </c>
      <c r="C57" s="177" t="s">
        <v>307</v>
      </c>
      <c r="D57" s="202" t="s">
        <v>20</v>
      </c>
      <c r="E57" s="486">
        <f>ROUND(E55/52,4)</f>
        <v>0.60119999999999996</v>
      </c>
    </row>
    <row r="58" spans="1:5">
      <c r="A58" s="152">
        <f t="shared" si="0"/>
        <v>52</v>
      </c>
      <c r="C58" s="177" t="s">
        <v>308</v>
      </c>
      <c r="D58" s="202" t="s">
        <v>21</v>
      </c>
      <c r="E58" s="486">
        <f>ROUND(E57/6,4)</f>
        <v>0.1002</v>
      </c>
    </row>
    <row r="59" spans="1:5">
      <c r="A59" s="152">
        <f t="shared" si="0"/>
        <v>53</v>
      </c>
      <c r="C59" s="177" t="s">
        <v>309</v>
      </c>
      <c r="D59" s="178" t="s">
        <v>22</v>
      </c>
      <c r="E59" s="486">
        <f>ROUND(E57/7,4)</f>
        <v>8.5900000000000004E-2</v>
      </c>
    </row>
    <row r="60" spans="1:5">
      <c r="A60" s="152">
        <f t="shared" si="0"/>
        <v>54</v>
      </c>
      <c r="C60" s="177" t="s">
        <v>310</v>
      </c>
      <c r="D60" s="202" t="s">
        <v>23</v>
      </c>
      <c r="E60" s="485">
        <f>ROUND(E55*1000/4896,2)</f>
        <v>6.38</v>
      </c>
    </row>
    <row r="61" spans="1:5">
      <c r="A61" s="152">
        <f t="shared" si="0"/>
        <v>55</v>
      </c>
      <c r="C61" s="177" t="s">
        <v>311</v>
      </c>
      <c r="D61" s="202" t="s">
        <v>24</v>
      </c>
      <c r="E61" s="485">
        <f>ROUND(E55*1000/8760,2)</f>
        <v>3.57</v>
      </c>
    </row>
    <row r="66" spans="3:3">
      <c r="C66" s="167"/>
    </row>
  </sheetData>
  <sheetProtection formatCells="0"/>
  <mergeCells count="3">
    <mergeCell ref="A3:E3"/>
    <mergeCell ref="A2:E2"/>
    <mergeCell ref="C1:E1"/>
  </mergeCells>
  <phoneticPr fontId="0" type="noConversion"/>
  <printOptions horizontalCentered="1"/>
  <pageMargins left="0.75" right="0.75" top="1" bottom="1" header="0.5" footer="0.5"/>
  <pageSetup scale="64" orientation="portrait" r:id="rId1"/>
  <headerFooter alignWithMargins="0">
    <oddHeader>&amp;CIDAHO POWER COMPANY
Transmission Cost of Service Rate Development
12 Months Ended 12/31/2017</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88"/>
  <sheetViews>
    <sheetView topLeftCell="A13" zoomScaleNormal="100" zoomScaleSheetLayoutView="100" workbookViewId="0">
      <selection activeCell="F41" sqref="F41"/>
    </sheetView>
  </sheetViews>
  <sheetFormatPr defaultRowHeight="12.75"/>
  <cols>
    <col min="1" max="1" width="5.140625" style="612" customWidth="1"/>
    <col min="2" max="2" width="4.140625" style="152" customWidth="1"/>
    <col min="3" max="3" width="4" style="152" customWidth="1"/>
    <col min="4" max="4" width="52.85546875" style="152" customWidth="1"/>
    <col min="5" max="5" width="56.28515625" style="158" customWidth="1"/>
    <col min="6" max="6" width="17.85546875" style="157" customWidth="1"/>
    <col min="7" max="16384" width="9.140625" style="152"/>
  </cols>
  <sheetData>
    <row r="1" spans="1:7">
      <c r="A1" s="666" t="s">
        <v>363</v>
      </c>
      <c r="B1" s="666"/>
      <c r="C1" s="666"/>
      <c r="D1" s="666"/>
      <c r="E1" s="666"/>
      <c r="F1" s="666"/>
      <c r="G1" s="666"/>
    </row>
    <row r="2" spans="1:7">
      <c r="A2" s="666" t="s">
        <v>312</v>
      </c>
      <c r="B2" s="666"/>
      <c r="C2" s="666"/>
      <c r="D2" s="666"/>
      <c r="E2" s="666"/>
      <c r="F2" s="666"/>
      <c r="G2" s="666"/>
    </row>
    <row r="3" spans="1:7">
      <c r="B3" s="205"/>
      <c r="C3" s="205"/>
      <c r="D3" s="205"/>
      <c r="E3" s="205"/>
      <c r="F3" s="206"/>
    </row>
    <row r="6" spans="1:7">
      <c r="E6" s="154" t="s">
        <v>229</v>
      </c>
      <c r="F6" s="155" t="s">
        <v>230</v>
      </c>
    </row>
    <row r="7" spans="1:7">
      <c r="A7" s="612">
        <v>1</v>
      </c>
      <c r="B7" s="156" t="s">
        <v>218</v>
      </c>
      <c r="E7" s="154"/>
    </row>
    <row r="8" spans="1:7">
      <c r="A8" s="612">
        <f>A7+1</f>
        <v>2</v>
      </c>
      <c r="E8" s="154"/>
    </row>
    <row r="9" spans="1:7">
      <c r="A9" s="612">
        <f t="shared" ref="A9:A72" si="0">A8+1</f>
        <v>3</v>
      </c>
      <c r="D9" s="152" t="s">
        <v>461</v>
      </c>
      <c r="E9" s="502"/>
      <c r="F9" s="157">
        <v>0</v>
      </c>
    </row>
    <row r="10" spans="1:7">
      <c r="A10" s="612">
        <f t="shared" si="0"/>
        <v>4</v>
      </c>
      <c r="D10" s="152" t="s">
        <v>462</v>
      </c>
      <c r="E10" s="158" t="s">
        <v>1350</v>
      </c>
      <c r="F10" s="157">
        <f>300592058+193991452</f>
        <v>494583510</v>
      </c>
      <c r="G10" s="626">
        <v>-1</v>
      </c>
    </row>
    <row r="11" spans="1:7">
      <c r="A11" s="612">
        <f t="shared" si="0"/>
        <v>5</v>
      </c>
      <c r="D11" s="152" t="s">
        <v>463</v>
      </c>
      <c r="E11" s="158" t="s">
        <v>464</v>
      </c>
      <c r="F11" s="157">
        <v>124559721</v>
      </c>
    </row>
    <row r="12" spans="1:7">
      <c r="A12" s="612">
        <f t="shared" si="0"/>
        <v>6</v>
      </c>
      <c r="D12" s="152" t="s">
        <v>460</v>
      </c>
      <c r="E12" s="158" t="s">
        <v>379</v>
      </c>
      <c r="F12" s="157">
        <f>-'Schedule 1 Workpaper'!F10</f>
        <v>-173283191</v>
      </c>
    </row>
    <row r="13" spans="1:7">
      <c r="A13" s="612">
        <f t="shared" si="0"/>
        <v>7</v>
      </c>
      <c r="D13" s="152" t="s">
        <v>466</v>
      </c>
      <c r="F13" s="157">
        <f>SUM(F9:F12)</f>
        <v>445860040</v>
      </c>
    </row>
    <row r="14" spans="1:7">
      <c r="A14" s="612">
        <f t="shared" si="0"/>
        <v>8</v>
      </c>
      <c r="D14" s="152" t="s">
        <v>314</v>
      </c>
      <c r="E14" s="158" t="s">
        <v>315</v>
      </c>
      <c r="F14" s="159">
        <f>'Schedule 3'!F46</f>
        <v>0.19164326000000001</v>
      </c>
    </row>
    <row r="15" spans="1:7">
      <c r="A15" s="612">
        <f t="shared" si="0"/>
        <v>9</v>
      </c>
      <c r="D15" s="152" t="s">
        <v>313</v>
      </c>
      <c r="E15" s="202" t="s">
        <v>276</v>
      </c>
      <c r="F15" s="157">
        <f>F13*F14</f>
        <v>85446071.569330409</v>
      </c>
    </row>
    <row r="16" spans="1:7">
      <c r="A16" s="612">
        <f t="shared" si="0"/>
        <v>10</v>
      </c>
      <c r="E16" s="154"/>
    </row>
    <row r="17" spans="1:6">
      <c r="A17" s="612">
        <f t="shared" si="0"/>
        <v>11</v>
      </c>
      <c r="E17" s="154"/>
    </row>
    <row r="18" spans="1:6">
      <c r="A18" s="612">
        <f t="shared" si="0"/>
        <v>12</v>
      </c>
      <c r="B18" s="156" t="s">
        <v>316</v>
      </c>
    </row>
    <row r="19" spans="1:6">
      <c r="A19" s="612">
        <f t="shared" si="0"/>
        <v>13</v>
      </c>
    </row>
    <row r="20" spans="1:6">
      <c r="A20" s="612">
        <f t="shared" si="0"/>
        <v>14</v>
      </c>
      <c r="D20" s="152" t="s">
        <v>380</v>
      </c>
      <c r="E20" s="158" t="s">
        <v>349</v>
      </c>
      <c r="F20" s="157">
        <f>375812011-0</f>
        <v>375812011</v>
      </c>
    </row>
    <row r="21" spans="1:6">
      <c r="A21" s="612">
        <f t="shared" si="0"/>
        <v>15</v>
      </c>
      <c r="D21" s="152" t="s">
        <v>516</v>
      </c>
      <c r="E21" s="160" t="s">
        <v>315</v>
      </c>
      <c r="F21" s="159">
        <f>'Schedule 3'!F27</f>
        <v>0.12484523</v>
      </c>
    </row>
    <row r="22" spans="1:6">
      <c r="A22" s="612">
        <f t="shared" si="0"/>
        <v>16</v>
      </c>
      <c r="D22" s="152" t="s">
        <v>317</v>
      </c>
      <c r="E22" s="202" t="s">
        <v>277</v>
      </c>
      <c r="F22" s="157">
        <f>F21*F20</f>
        <v>46918336.950057529</v>
      </c>
    </row>
    <row r="23" spans="1:6">
      <c r="A23" s="612">
        <f t="shared" si="0"/>
        <v>17</v>
      </c>
    </row>
    <row r="24" spans="1:6">
      <c r="A24" s="612">
        <f t="shared" si="0"/>
        <v>18</v>
      </c>
    </row>
    <row r="25" spans="1:6">
      <c r="A25" s="612">
        <f t="shared" si="0"/>
        <v>19</v>
      </c>
      <c r="B25" s="156" t="s">
        <v>427</v>
      </c>
    </row>
    <row r="26" spans="1:6">
      <c r="A26" s="612">
        <f t="shared" si="0"/>
        <v>20</v>
      </c>
    </row>
    <row r="27" spans="1:6">
      <c r="A27" s="612">
        <f t="shared" si="0"/>
        <v>21</v>
      </c>
      <c r="D27" s="152" t="s">
        <v>1041</v>
      </c>
      <c r="E27" s="158" t="s">
        <v>965</v>
      </c>
      <c r="F27" s="92">
        <f>115546103-0</f>
        <v>115546103</v>
      </c>
    </row>
    <row r="28" spans="1:6">
      <c r="A28" s="612">
        <f t="shared" si="0"/>
        <v>22</v>
      </c>
      <c r="D28" s="152" t="s">
        <v>516</v>
      </c>
      <c r="E28" s="160" t="s">
        <v>315</v>
      </c>
      <c r="F28" s="159">
        <f>'Schedule 3'!F27</f>
        <v>0.12484523</v>
      </c>
    </row>
    <row r="29" spans="1:6">
      <c r="A29" s="612">
        <f t="shared" si="0"/>
        <v>23</v>
      </c>
      <c r="D29" s="152" t="s">
        <v>1042</v>
      </c>
      <c r="E29" s="202" t="s">
        <v>278</v>
      </c>
      <c r="F29" s="157">
        <f>F28*F27</f>
        <v>14425379.804638689</v>
      </c>
    </row>
    <row r="30" spans="1:6">
      <c r="A30" s="612">
        <f t="shared" si="0"/>
        <v>24</v>
      </c>
    </row>
    <row r="31" spans="1:6">
      <c r="A31" s="612">
        <f t="shared" si="0"/>
        <v>25</v>
      </c>
    </row>
    <row r="32" spans="1:6">
      <c r="A32" s="612">
        <f t="shared" si="0"/>
        <v>26</v>
      </c>
      <c r="B32" s="156" t="s">
        <v>318</v>
      </c>
    </row>
    <row r="33" spans="1:6">
      <c r="A33" s="612">
        <f t="shared" si="0"/>
        <v>27</v>
      </c>
    </row>
    <row r="34" spans="1:6">
      <c r="A34" s="612">
        <f t="shared" si="0"/>
        <v>28</v>
      </c>
      <c r="D34" s="152" t="s">
        <v>319</v>
      </c>
      <c r="E34" s="158" t="s">
        <v>880</v>
      </c>
      <c r="F34" s="157">
        <v>57292347</v>
      </c>
    </row>
    <row r="35" spans="1:6">
      <c r="A35" s="612">
        <f t="shared" si="0"/>
        <v>29</v>
      </c>
      <c r="D35" s="152" t="s">
        <v>516</v>
      </c>
      <c r="E35" s="160" t="s">
        <v>315</v>
      </c>
      <c r="F35" s="159">
        <f>'Schedule 3'!F27</f>
        <v>0.12484523</v>
      </c>
    </row>
    <row r="36" spans="1:6">
      <c r="A36" s="612">
        <f t="shared" si="0"/>
        <v>30</v>
      </c>
      <c r="D36" s="152" t="s">
        <v>320</v>
      </c>
      <c r="E36" s="202" t="s">
        <v>279</v>
      </c>
      <c r="F36" s="157">
        <f>F35*F34</f>
        <v>7152676.2384548103</v>
      </c>
    </row>
    <row r="37" spans="1:6">
      <c r="A37" s="612">
        <f t="shared" si="0"/>
        <v>31</v>
      </c>
    </row>
    <row r="38" spans="1:6">
      <c r="A38" s="612">
        <f t="shared" si="0"/>
        <v>32</v>
      </c>
    </row>
    <row r="39" spans="1:6">
      <c r="A39" s="612">
        <f t="shared" si="0"/>
        <v>33</v>
      </c>
      <c r="B39" s="156" t="s">
        <v>473</v>
      </c>
    </row>
    <row r="40" spans="1:6">
      <c r="A40" s="612">
        <f t="shared" si="0"/>
        <v>34</v>
      </c>
      <c r="B40" s="156"/>
    </row>
    <row r="41" spans="1:6">
      <c r="A41" s="612">
        <f t="shared" si="0"/>
        <v>35</v>
      </c>
      <c r="D41" s="152" t="s">
        <v>473</v>
      </c>
      <c r="E41" s="158" t="s">
        <v>911</v>
      </c>
      <c r="F41" s="157">
        <v>26879853</v>
      </c>
    </row>
    <row r="42" spans="1:6">
      <c r="A42" s="612">
        <f t="shared" si="0"/>
        <v>36</v>
      </c>
      <c r="D42" s="152" t="s">
        <v>516</v>
      </c>
      <c r="E42" s="158" t="s">
        <v>315</v>
      </c>
      <c r="F42" s="159">
        <f>'Schedule 3'!F27</f>
        <v>0.12484523</v>
      </c>
    </row>
    <row r="43" spans="1:6">
      <c r="A43" s="612">
        <f t="shared" si="0"/>
        <v>37</v>
      </c>
      <c r="D43" s="152" t="s">
        <v>483</v>
      </c>
      <c r="E43" s="202" t="s">
        <v>280</v>
      </c>
      <c r="F43" s="157">
        <f>F41*F42</f>
        <v>3355821.4301511901</v>
      </c>
    </row>
    <row r="44" spans="1:6">
      <c r="A44" s="612">
        <f t="shared" si="0"/>
        <v>38</v>
      </c>
    </row>
    <row r="45" spans="1:6">
      <c r="A45" s="612">
        <f t="shared" si="0"/>
        <v>39</v>
      </c>
    </row>
    <row r="46" spans="1:6">
      <c r="A46" s="612">
        <f t="shared" si="0"/>
        <v>40</v>
      </c>
      <c r="B46" s="156" t="s">
        <v>471</v>
      </c>
    </row>
    <row r="47" spans="1:6">
      <c r="A47" s="612">
        <f t="shared" si="0"/>
        <v>41</v>
      </c>
    </row>
    <row r="48" spans="1:6">
      <c r="A48" s="612">
        <f t="shared" si="0"/>
        <v>42</v>
      </c>
      <c r="D48" s="152" t="s">
        <v>461</v>
      </c>
      <c r="E48" s="502"/>
      <c r="F48" s="157">
        <f xml:space="preserve"> F9</f>
        <v>0</v>
      </c>
    </row>
    <row r="49" spans="1:7">
      <c r="A49" s="612">
        <f t="shared" si="0"/>
        <v>43</v>
      </c>
      <c r="D49" s="152" t="s">
        <v>462</v>
      </c>
      <c r="E49" s="158" t="s">
        <v>1350</v>
      </c>
      <c r="F49" s="157">
        <f>F10</f>
        <v>494583510</v>
      </c>
    </row>
    <row r="50" spans="1:7">
      <c r="A50" s="612">
        <f t="shared" si="0"/>
        <v>44</v>
      </c>
      <c r="D50" s="152" t="s">
        <v>463</v>
      </c>
      <c r="E50" s="158" t="s">
        <v>464</v>
      </c>
      <c r="F50" s="157">
        <f xml:space="preserve"> F11</f>
        <v>124559721</v>
      </c>
    </row>
    <row r="51" spans="1:7">
      <c r="A51" s="612">
        <f t="shared" si="0"/>
        <v>45</v>
      </c>
      <c r="D51" s="152" t="s">
        <v>460</v>
      </c>
      <c r="E51" s="158" t="s">
        <v>190</v>
      </c>
      <c r="F51" s="157">
        <f xml:space="preserve"> F12</f>
        <v>-173283191</v>
      </c>
    </row>
    <row r="52" spans="1:7">
      <c r="A52" s="612">
        <f t="shared" si="0"/>
        <v>46</v>
      </c>
      <c r="D52" s="152" t="s">
        <v>466</v>
      </c>
      <c r="E52" s="160" t="s">
        <v>272</v>
      </c>
      <c r="F52" s="157">
        <f>SUM(F48:F51)</f>
        <v>445860040</v>
      </c>
    </row>
    <row r="53" spans="1:7">
      <c r="A53" s="612">
        <f t="shared" si="0"/>
        <v>47</v>
      </c>
      <c r="D53" s="152" t="s">
        <v>425</v>
      </c>
      <c r="E53" s="160" t="s">
        <v>315</v>
      </c>
      <c r="F53" s="159">
        <f>'Schedule 3'!F55</f>
        <v>9.1795499999999999E-3</v>
      </c>
    </row>
    <row r="54" spans="1:7">
      <c r="A54" s="612">
        <f t="shared" si="0"/>
        <v>48</v>
      </c>
      <c r="D54" s="152" t="s">
        <v>426</v>
      </c>
      <c r="E54" s="202" t="s">
        <v>281</v>
      </c>
      <c r="F54" s="157">
        <f>F52*F53</f>
        <v>4092794.5301819998</v>
      </c>
    </row>
    <row r="55" spans="1:7">
      <c r="A55" s="612">
        <f t="shared" si="0"/>
        <v>49</v>
      </c>
    </row>
    <row r="56" spans="1:7">
      <c r="A56" s="612">
        <f t="shared" si="0"/>
        <v>50</v>
      </c>
      <c r="E56" s="152"/>
      <c r="F56" s="152"/>
    </row>
    <row r="57" spans="1:7">
      <c r="A57" s="612">
        <f t="shared" si="0"/>
        <v>51</v>
      </c>
      <c r="B57" s="156" t="s">
        <v>347</v>
      </c>
      <c r="E57" s="152"/>
      <c r="F57" s="152"/>
    </row>
    <row r="58" spans="1:7">
      <c r="A58" s="612">
        <f t="shared" si="0"/>
        <v>52</v>
      </c>
    </row>
    <row r="59" spans="1:7">
      <c r="A59" s="612">
        <f t="shared" si="0"/>
        <v>53</v>
      </c>
      <c r="D59" s="152" t="s">
        <v>241</v>
      </c>
      <c r="E59" s="158" t="s">
        <v>991</v>
      </c>
      <c r="F59" s="162">
        <f>'Schedule 2'!F77+'Rate Calculation'!E40+'Rate Calculation'!E41</f>
        <v>15651987.329</v>
      </c>
    </row>
    <row r="60" spans="1:7">
      <c r="A60" s="612">
        <f t="shared" si="0"/>
        <v>54</v>
      </c>
      <c r="D60" s="152" t="s">
        <v>385</v>
      </c>
      <c r="E60" s="160" t="s">
        <v>243</v>
      </c>
      <c r="F60" s="157">
        <f>'Schedule 2'!F28</f>
        <v>18205901.776566252</v>
      </c>
    </row>
    <row r="61" spans="1:7">
      <c r="A61" s="612">
        <f t="shared" si="0"/>
        <v>55</v>
      </c>
      <c r="D61" s="152" t="s">
        <v>386</v>
      </c>
      <c r="E61" s="160" t="s">
        <v>282</v>
      </c>
      <c r="F61" s="157">
        <f>(F59+F60)*0.125</f>
        <v>4232236.138195781</v>
      </c>
      <c r="G61" s="207"/>
    </row>
    <row r="62" spans="1:7">
      <c r="A62" s="612">
        <f t="shared" si="0"/>
        <v>56</v>
      </c>
      <c r="F62" s="208"/>
    </row>
    <row r="63" spans="1:7">
      <c r="A63" s="612">
        <f t="shared" si="0"/>
        <v>57</v>
      </c>
    </row>
    <row r="64" spans="1:7">
      <c r="A64" s="612">
        <f t="shared" si="0"/>
        <v>58</v>
      </c>
      <c r="B64" s="156" t="s">
        <v>414</v>
      </c>
    </row>
    <row r="65" spans="1:6">
      <c r="A65" s="612">
        <f t="shared" si="0"/>
        <v>59</v>
      </c>
    </row>
    <row r="66" spans="1:6">
      <c r="A66" s="612">
        <f t="shared" si="0"/>
        <v>60</v>
      </c>
      <c r="D66" s="152" t="s">
        <v>381</v>
      </c>
      <c r="E66" s="158" t="s">
        <v>439</v>
      </c>
      <c r="F66" s="157">
        <v>16865877</v>
      </c>
    </row>
    <row r="67" spans="1:6">
      <c r="A67" s="612">
        <f t="shared" si="0"/>
        <v>61</v>
      </c>
      <c r="D67" s="152" t="s">
        <v>200</v>
      </c>
      <c r="F67" s="157">
        <v>0</v>
      </c>
    </row>
    <row r="68" spans="1:6">
      <c r="A68" s="612">
        <f t="shared" si="0"/>
        <v>62</v>
      </c>
      <c r="D68" s="152" t="s">
        <v>201</v>
      </c>
      <c r="E68" s="202" t="s">
        <v>273</v>
      </c>
      <c r="F68" s="157">
        <f>F66-F67</f>
        <v>16865877</v>
      </c>
    </row>
    <row r="69" spans="1:6">
      <c r="A69" s="612">
        <f t="shared" si="0"/>
        <v>63</v>
      </c>
      <c r="D69" s="152" t="s">
        <v>516</v>
      </c>
      <c r="E69" s="158" t="s">
        <v>315</v>
      </c>
      <c r="F69" s="159">
        <f>'Schedule 3'!F27</f>
        <v>0.12484523</v>
      </c>
    </row>
    <row r="70" spans="1:6">
      <c r="A70" s="612">
        <f t="shared" si="0"/>
        <v>64</v>
      </c>
      <c r="D70" s="152" t="s">
        <v>415</v>
      </c>
      <c r="E70" s="202" t="s">
        <v>283</v>
      </c>
      <c r="F70" s="157">
        <f>F68*F69</f>
        <v>2105624.29321671</v>
      </c>
    </row>
    <row r="71" spans="1:6">
      <c r="A71" s="612">
        <f t="shared" si="0"/>
        <v>65</v>
      </c>
    </row>
    <row r="72" spans="1:6">
      <c r="A72" s="612">
        <f t="shared" si="0"/>
        <v>66</v>
      </c>
      <c r="B72" s="156" t="s">
        <v>499</v>
      </c>
    </row>
    <row r="73" spans="1:6">
      <c r="A73" s="612">
        <f t="shared" ref="A73:A85" si="1">A72+1</f>
        <v>67</v>
      </c>
      <c r="D73" s="152" t="s">
        <v>499</v>
      </c>
      <c r="E73" s="158" t="s">
        <v>1043</v>
      </c>
      <c r="F73" s="157">
        <f>763161+2630412+437243</f>
        <v>3830816</v>
      </c>
    </row>
    <row r="74" spans="1:6">
      <c r="A74" s="612">
        <f t="shared" si="1"/>
        <v>68</v>
      </c>
      <c r="D74" s="152" t="s">
        <v>516</v>
      </c>
      <c r="E74" s="158" t="s">
        <v>315</v>
      </c>
      <c r="F74" s="159">
        <f>'Schedule 3'!F27</f>
        <v>0.12484523</v>
      </c>
    </row>
    <row r="75" spans="1:6">
      <c r="A75" s="612">
        <f t="shared" si="1"/>
        <v>69</v>
      </c>
      <c r="D75" s="152" t="s">
        <v>500</v>
      </c>
      <c r="E75" s="202" t="s">
        <v>284</v>
      </c>
      <c r="F75" s="157">
        <f>F73*F74</f>
        <v>478259.10460768</v>
      </c>
    </row>
    <row r="76" spans="1:6">
      <c r="A76" s="612">
        <f t="shared" si="1"/>
        <v>70</v>
      </c>
    </row>
    <row r="77" spans="1:6">
      <c r="A77" s="612">
        <f t="shared" si="1"/>
        <v>71</v>
      </c>
      <c r="B77" s="156" t="s">
        <v>502</v>
      </c>
    </row>
    <row r="78" spans="1:6">
      <c r="A78" s="612">
        <f t="shared" si="1"/>
        <v>72</v>
      </c>
      <c r="D78" s="152" t="s">
        <v>506</v>
      </c>
      <c r="E78" s="158" t="s">
        <v>881</v>
      </c>
      <c r="F78" s="157">
        <v>10011948</v>
      </c>
    </row>
    <row r="79" spans="1:6">
      <c r="A79" s="612">
        <f t="shared" si="1"/>
        <v>73</v>
      </c>
      <c r="D79" s="152" t="s">
        <v>507</v>
      </c>
      <c r="E79" s="158" t="s">
        <v>382</v>
      </c>
      <c r="F79" s="157">
        <v>1338445</v>
      </c>
    </row>
    <row r="80" spans="1:6">
      <c r="A80" s="612">
        <f t="shared" si="1"/>
        <v>74</v>
      </c>
      <c r="D80" s="152" t="s">
        <v>516</v>
      </c>
      <c r="E80" s="158" t="s">
        <v>315</v>
      </c>
      <c r="F80" s="159">
        <f>'Schedule 3'!F27</f>
        <v>0.12484523</v>
      </c>
    </row>
    <row r="81" spans="1:7">
      <c r="A81" s="612">
        <f t="shared" si="1"/>
        <v>75</v>
      </c>
      <c r="D81" s="152" t="s">
        <v>508</v>
      </c>
      <c r="E81" s="202" t="s">
        <v>285</v>
      </c>
      <c r="F81" s="157">
        <f>F79*F80</f>
        <v>167098.47386735</v>
      </c>
    </row>
    <row r="82" spans="1:7">
      <c r="A82" s="612">
        <f t="shared" si="1"/>
        <v>76</v>
      </c>
      <c r="D82" s="152" t="s">
        <v>832</v>
      </c>
      <c r="E82" s="158" t="s">
        <v>383</v>
      </c>
      <c r="F82" s="157">
        <v>1888307</v>
      </c>
    </row>
    <row r="83" spans="1:7">
      <c r="A83" s="612">
        <f t="shared" si="1"/>
        <v>77</v>
      </c>
      <c r="D83" s="152" t="s">
        <v>515</v>
      </c>
      <c r="E83" s="158" t="s">
        <v>315</v>
      </c>
      <c r="F83" s="159">
        <f>'Schedule 3'!F39</f>
        <v>0.2008228</v>
      </c>
    </row>
    <row r="84" spans="1:7">
      <c r="A84" s="612">
        <f t="shared" si="1"/>
        <v>78</v>
      </c>
      <c r="D84" s="152" t="s">
        <v>503</v>
      </c>
      <c r="E84" s="202" t="s">
        <v>286</v>
      </c>
      <c r="F84" s="157">
        <f>F82*F83</f>
        <v>379215.09899959998</v>
      </c>
    </row>
    <row r="85" spans="1:7">
      <c r="A85" s="612">
        <f t="shared" si="1"/>
        <v>79</v>
      </c>
      <c r="D85" s="152" t="s">
        <v>504</v>
      </c>
      <c r="E85" s="202" t="s">
        <v>274</v>
      </c>
      <c r="F85" s="157">
        <f>F78+F81+F84</f>
        <v>10558261.57286695</v>
      </c>
    </row>
    <row r="88" spans="1:7" ht="64.5" customHeight="1">
      <c r="A88" s="665" t="s">
        <v>1351</v>
      </c>
      <c r="B88" s="665"/>
      <c r="C88" s="665"/>
      <c r="D88" s="665"/>
      <c r="E88" s="665"/>
      <c r="F88" s="665"/>
      <c r="G88" s="665"/>
    </row>
  </sheetData>
  <sheetProtection formatCells="0"/>
  <mergeCells count="3">
    <mergeCell ref="A88:G88"/>
    <mergeCell ref="A1:G1"/>
    <mergeCell ref="A2:G2"/>
  </mergeCells>
  <phoneticPr fontId="0" type="noConversion"/>
  <printOptions horizontalCentered="1"/>
  <pageMargins left="0.75" right="0.75" top="1" bottom="1" header="0.5" footer="0.5"/>
  <pageSetup scale="55" orientation="portrait" r:id="rId1"/>
  <headerFooter alignWithMargins="0">
    <oddHeader>&amp;CIDAHO POWER COMPANY
Transmission Cost of Service Rate Development
12 Months Ended 12/31/2017</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80"/>
  <sheetViews>
    <sheetView topLeftCell="A34" zoomScaleNormal="100" zoomScaleSheetLayoutView="100" zoomScalePageLayoutView="75" workbookViewId="0">
      <selection activeCell="F56" sqref="F56"/>
    </sheetView>
  </sheetViews>
  <sheetFormatPr defaultRowHeight="12.75"/>
  <cols>
    <col min="1" max="1" width="4.5703125" style="612" customWidth="1"/>
    <col min="2" max="2" width="4" style="152" customWidth="1"/>
    <col min="3" max="3" width="3.7109375" style="153" customWidth="1"/>
    <col min="4" max="4" width="68.85546875" style="152" customWidth="1"/>
    <col min="5" max="5" width="45.7109375" style="158" bestFit="1" customWidth="1"/>
    <col min="6" max="6" width="18" style="152" customWidth="1"/>
    <col min="7" max="7" width="9.140625" style="152"/>
    <col min="8" max="8" width="11.28515625" style="152" bestFit="1" customWidth="1"/>
    <col min="9" max="16384" width="9.140625" style="152"/>
  </cols>
  <sheetData>
    <row r="1" spans="1:6">
      <c r="A1" s="666" t="s">
        <v>364</v>
      </c>
      <c r="B1" s="666"/>
      <c r="C1" s="666"/>
      <c r="D1" s="666"/>
      <c r="E1" s="666"/>
      <c r="F1" s="666"/>
    </row>
    <row r="2" spans="1:6">
      <c r="A2" s="666" t="s">
        <v>387</v>
      </c>
      <c r="B2" s="666"/>
      <c r="C2" s="666"/>
      <c r="D2" s="666"/>
      <c r="E2" s="666"/>
      <c r="F2" s="666"/>
    </row>
    <row r="6" spans="1:6">
      <c r="E6" s="154" t="s">
        <v>229</v>
      </c>
      <c r="F6" s="155" t="s">
        <v>230</v>
      </c>
    </row>
    <row r="7" spans="1:6">
      <c r="A7" s="612">
        <v>1</v>
      </c>
      <c r="B7" s="156" t="s">
        <v>388</v>
      </c>
      <c r="E7" s="154"/>
      <c r="F7" s="157"/>
    </row>
    <row r="8" spans="1:6">
      <c r="A8" s="612">
        <f>A7+1</f>
        <v>2</v>
      </c>
      <c r="E8" s="154"/>
      <c r="F8" s="157"/>
    </row>
    <row r="9" spans="1:6">
      <c r="A9" s="612">
        <f t="shared" ref="A9:A72" si="0">A8+1</f>
        <v>3</v>
      </c>
      <c r="D9" s="152" t="s">
        <v>891</v>
      </c>
      <c r="E9" s="158" t="s">
        <v>1330</v>
      </c>
      <c r="F9" s="157">
        <v>142691013</v>
      </c>
    </row>
    <row r="10" spans="1:6">
      <c r="A10" s="612">
        <f t="shared" si="0"/>
        <v>4</v>
      </c>
      <c r="D10" s="152" t="s">
        <v>433</v>
      </c>
      <c r="E10" s="158" t="s">
        <v>4</v>
      </c>
      <c r="F10" s="157">
        <v>-3117561</v>
      </c>
    </row>
    <row r="11" spans="1:6">
      <c r="A11" s="612">
        <f t="shared" si="0"/>
        <v>5</v>
      </c>
      <c r="D11" s="152" t="s">
        <v>434</v>
      </c>
      <c r="E11" s="158" t="s">
        <v>5</v>
      </c>
      <c r="F11" s="157">
        <v>-4260709</v>
      </c>
    </row>
    <row r="12" spans="1:6">
      <c r="A12" s="612">
        <f t="shared" si="0"/>
        <v>6</v>
      </c>
      <c r="D12" s="152" t="s">
        <v>435</v>
      </c>
      <c r="E12" s="158" t="s">
        <v>6</v>
      </c>
      <c r="F12" s="157">
        <v>-364410</v>
      </c>
    </row>
    <row r="13" spans="1:6">
      <c r="A13" s="612">
        <f t="shared" si="0"/>
        <v>7</v>
      </c>
      <c r="D13" s="152" t="s">
        <v>516</v>
      </c>
      <c r="E13" s="158" t="s">
        <v>315</v>
      </c>
      <c r="F13" s="159">
        <f>'Schedule 3'!F27</f>
        <v>0.12484523</v>
      </c>
    </row>
    <row r="14" spans="1:6">
      <c r="A14" s="612">
        <f t="shared" si="0"/>
        <v>8</v>
      </c>
      <c r="D14" s="152" t="s">
        <v>422</v>
      </c>
      <c r="E14" s="160" t="s">
        <v>292</v>
      </c>
      <c r="F14" s="157">
        <f>(F9+F10+F11+F12) * F13</f>
        <v>16847655.671501592</v>
      </c>
    </row>
    <row r="15" spans="1:6">
      <c r="A15" s="612">
        <f t="shared" si="0"/>
        <v>9</v>
      </c>
      <c r="E15" s="154"/>
      <c r="F15" s="157"/>
    </row>
    <row r="16" spans="1:6">
      <c r="A16" s="612">
        <f t="shared" si="0"/>
        <v>10</v>
      </c>
      <c r="D16" s="152" t="s">
        <v>416</v>
      </c>
      <c r="E16" s="158" t="s">
        <v>763</v>
      </c>
      <c r="F16" s="157">
        <f>-F10</f>
        <v>3117561</v>
      </c>
    </row>
    <row r="17" spans="1:15">
      <c r="A17" s="612">
        <f t="shared" si="0"/>
        <v>11</v>
      </c>
      <c r="D17" s="152" t="s">
        <v>515</v>
      </c>
      <c r="E17" s="158" t="s">
        <v>315</v>
      </c>
      <c r="F17" s="161">
        <f>'Schedule 3'!F39</f>
        <v>0.2008228</v>
      </c>
    </row>
    <row r="18" spans="1:15">
      <c r="A18" s="612">
        <f t="shared" si="0"/>
        <v>12</v>
      </c>
      <c r="D18" s="152" t="s">
        <v>417</v>
      </c>
      <c r="E18" s="160" t="s">
        <v>275</v>
      </c>
      <c r="F18" s="157">
        <f>F16*F17</f>
        <v>626077.32919079997</v>
      </c>
    </row>
    <row r="19" spans="1:15">
      <c r="A19" s="612">
        <f t="shared" si="0"/>
        <v>13</v>
      </c>
      <c r="E19" s="154"/>
      <c r="F19" s="157"/>
    </row>
    <row r="20" spans="1:15">
      <c r="A20" s="612">
        <f t="shared" si="0"/>
        <v>14</v>
      </c>
      <c r="D20" s="152" t="s">
        <v>418</v>
      </c>
      <c r="E20" s="158" t="s">
        <v>1103</v>
      </c>
      <c r="F20" s="157">
        <f>3585160+644</f>
        <v>3585804</v>
      </c>
      <c r="G20" s="502"/>
      <c r="H20" s="502"/>
      <c r="I20" s="502"/>
      <c r="J20" s="502"/>
      <c r="K20" s="502"/>
      <c r="L20" s="502"/>
      <c r="M20" s="502"/>
      <c r="N20" s="502"/>
      <c r="O20" s="502"/>
    </row>
    <row r="21" spans="1:15">
      <c r="A21" s="612">
        <f t="shared" si="0"/>
        <v>15</v>
      </c>
      <c r="D21" s="152" t="s">
        <v>515</v>
      </c>
      <c r="E21" s="158" t="s">
        <v>315</v>
      </c>
      <c r="F21" s="161">
        <f>'Schedule 3'!F39</f>
        <v>0.2008228</v>
      </c>
    </row>
    <row r="22" spans="1:15">
      <c r="A22" s="612">
        <f t="shared" si="0"/>
        <v>16</v>
      </c>
      <c r="D22" s="152" t="s">
        <v>419</v>
      </c>
      <c r="E22" s="160" t="s">
        <v>277</v>
      </c>
      <c r="F22" s="157">
        <f>F20*F21</f>
        <v>720111.19953119999</v>
      </c>
    </row>
    <row r="23" spans="1:15">
      <c r="A23" s="612">
        <f t="shared" si="0"/>
        <v>17</v>
      </c>
      <c r="E23" s="154"/>
      <c r="F23" s="157"/>
    </row>
    <row r="24" spans="1:15">
      <c r="A24" s="612">
        <f t="shared" si="0"/>
        <v>18</v>
      </c>
      <c r="D24" s="152" t="s">
        <v>420</v>
      </c>
      <c r="E24" s="158" t="s">
        <v>1048</v>
      </c>
      <c r="F24" s="157">
        <v>0</v>
      </c>
    </row>
    <row r="25" spans="1:15">
      <c r="A25" s="612">
        <f t="shared" si="0"/>
        <v>19</v>
      </c>
      <c r="F25" s="161"/>
    </row>
    <row r="26" spans="1:15">
      <c r="A26" s="612">
        <f t="shared" si="0"/>
        <v>20</v>
      </c>
      <c r="D26" s="152" t="s">
        <v>912</v>
      </c>
      <c r="E26" s="158" t="s">
        <v>1056</v>
      </c>
      <c r="F26" s="157">
        <f>'Schedule 2 Workpaper page 5'!D20</f>
        <v>12057.576342660324</v>
      </c>
      <c r="H26" s="162"/>
    </row>
    <row r="27" spans="1:15">
      <c r="A27" s="612">
        <f t="shared" si="0"/>
        <v>21</v>
      </c>
      <c r="E27" s="154"/>
      <c r="F27" s="157"/>
    </row>
    <row r="28" spans="1:15">
      <c r="A28" s="612">
        <f t="shared" si="0"/>
        <v>22</v>
      </c>
      <c r="D28" s="152" t="s">
        <v>421</v>
      </c>
      <c r="E28" s="160" t="s">
        <v>204</v>
      </c>
      <c r="F28" s="157">
        <f>F14+F18+F22+F24+F26</f>
        <v>18205901.776566252</v>
      </c>
    </row>
    <row r="29" spans="1:15">
      <c r="A29" s="612">
        <f t="shared" si="0"/>
        <v>23</v>
      </c>
      <c r="E29" s="154"/>
      <c r="F29" s="161"/>
    </row>
    <row r="30" spans="1:15">
      <c r="A30" s="612">
        <f t="shared" si="0"/>
        <v>24</v>
      </c>
      <c r="B30" s="156" t="s">
        <v>36</v>
      </c>
      <c r="F30" s="157"/>
    </row>
    <row r="31" spans="1:15">
      <c r="A31" s="612">
        <f t="shared" si="0"/>
        <v>25</v>
      </c>
      <c r="F31" s="157"/>
    </row>
    <row r="32" spans="1:15">
      <c r="A32" s="612">
        <f t="shared" si="0"/>
        <v>26</v>
      </c>
      <c r="D32" s="152" t="s">
        <v>509</v>
      </c>
      <c r="E32" s="158" t="s">
        <v>882</v>
      </c>
      <c r="F32" s="157">
        <v>13792320</v>
      </c>
    </row>
    <row r="33" spans="1:15">
      <c r="A33" s="612">
        <f t="shared" si="0"/>
        <v>27</v>
      </c>
      <c r="D33" s="152" t="s">
        <v>516</v>
      </c>
      <c r="E33" s="160" t="s">
        <v>315</v>
      </c>
      <c r="F33" s="159">
        <f>'Schedule 3'!F27</f>
        <v>0.12484523</v>
      </c>
    </row>
    <row r="34" spans="1:15">
      <c r="A34" s="612">
        <f t="shared" si="0"/>
        <v>28</v>
      </c>
      <c r="D34" s="152" t="s">
        <v>317</v>
      </c>
      <c r="E34" s="160" t="s">
        <v>287</v>
      </c>
      <c r="F34" s="157">
        <f>F33*F32</f>
        <v>1721905.3626336001</v>
      </c>
    </row>
    <row r="35" spans="1:15">
      <c r="A35" s="612">
        <f t="shared" si="0"/>
        <v>29</v>
      </c>
      <c r="F35" s="157"/>
    </row>
    <row r="36" spans="1:15">
      <c r="A36" s="612">
        <f t="shared" si="0"/>
        <v>30</v>
      </c>
      <c r="B36" s="156" t="s">
        <v>389</v>
      </c>
    </row>
    <row r="37" spans="1:15">
      <c r="A37" s="612">
        <f t="shared" si="0"/>
        <v>31</v>
      </c>
    </row>
    <row r="38" spans="1:15">
      <c r="A38" s="612">
        <f t="shared" si="0"/>
        <v>32</v>
      </c>
      <c r="D38" s="152" t="s">
        <v>441</v>
      </c>
      <c r="E38" s="158" t="s">
        <v>956</v>
      </c>
      <c r="F38" s="92">
        <v>3081469</v>
      </c>
      <c r="G38" s="502"/>
      <c r="H38" s="502"/>
      <c r="I38" s="502"/>
      <c r="J38" s="502"/>
      <c r="K38" s="502"/>
      <c r="L38" s="502"/>
      <c r="M38" s="502"/>
      <c r="N38" s="502"/>
      <c r="O38" s="502"/>
    </row>
    <row r="39" spans="1:15">
      <c r="A39" s="612">
        <f t="shared" si="0"/>
        <v>33</v>
      </c>
      <c r="D39" s="152" t="s">
        <v>515</v>
      </c>
      <c r="E39" s="158" t="s">
        <v>315</v>
      </c>
      <c r="F39" s="152">
        <f>'Schedule 3'!F39</f>
        <v>0.2008228</v>
      </c>
    </row>
    <row r="40" spans="1:15">
      <c r="A40" s="612">
        <f t="shared" si="0"/>
        <v>34</v>
      </c>
      <c r="D40" s="152" t="s">
        <v>390</v>
      </c>
      <c r="E40" s="160" t="s">
        <v>1163</v>
      </c>
      <c r="F40" s="92">
        <f>-F38*F39</f>
        <v>-618829.2326932</v>
      </c>
    </row>
    <row r="41" spans="1:15">
      <c r="A41" s="612">
        <f t="shared" si="0"/>
        <v>35</v>
      </c>
      <c r="D41" s="152" t="s">
        <v>391</v>
      </c>
      <c r="E41" s="163">
        <v>-34</v>
      </c>
      <c r="F41" s="162">
        <f>F40</f>
        <v>-618829.2326932</v>
      </c>
    </row>
    <row r="42" spans="1:15">
      <c r="A42" s="612">
        <f t="shared" si="0"/>
        <v>36</v>
      </c>
    </row>
    <row r="43" spans="1:15">
      <c r="A43" s="612">
        <f t="shared" si="0"/>
        <v>37</v>
      </c>
    </row>
    <row r="44" spans="1:15">
      <c r="A44" s="612">
        <f t="shared" si="0"/>
        <v>38</v>
      </c>
      <c r="B44" s="156" t="s">
        <v>392</v>
      </c>
    </row>
    <row r="45" spans="1:15">
      <c r="A45" s="612">
        <f t="shared" si="0"/>
        <v>39</v>
      </c>
    </row>
    <row r="46" spans="1:15">
      <c r="A46" s="612">
        <f t="shared" si="0"/>
        <v>40</v>
      </c>
      <c r="D46" s="152" t="s">
        <v>1104</v>
      </c>
      <c r="E46" s="158" t="s">
        <v>1344</v>
      </c>
      <c r="F46" s="164">
        <f>22410720+3152162+359207+907842+1508456+15201</f>
        <v>28353588</v>
      </c>
    </row>
    <row r="47" spans="1:15">
      <c r="A47" s="612">
        <f t="shared" si="0"/>
        <v>41</v>
      </c>
      <c r="D47" s="152" t="s">
        <v>226</v>
      </c>
      <c r="E47" s="158" t="s">
        <v>80</v>
      </c>
      <c r="F47" s="164">
        <f>'Schedule 2 Workpaper page 3'!C11</f>
        <v>6038617.5899999999</v>
      </c>
    </row>
    <row r="48" spans="1:15">
      <c r="A48" s="612">
        <f t="shared" si="0"/>
        <v>42</v>
      </c>
      <c r="D48" s="152" t="s">
        <v>566</v>
      </c>
      <c r="E48" s="158" t="s">
        <v>913</v>
      </c>
      <c r="F48" s="92">
        <f>-(F47*'Schedule 3'!F9)</f>
        <v>-171340.46013277079</v>
      </c>
    </row>
    <row r="49" spans="1:6">
      <c r="A49" s="612">
        <f t="shared" si="0"/>
        <v>43</v>
      </c>
      <c r="D49" s="152" t="s">
        <v>567</v>
      </c>
      <c r="E49" s="158" t="s">
        <v>914</v>
      </c>
      <c r="F49" s="165">
        <f>-(F47*'Schedule 3'!F16)</f>
        <v>-5406.4347145028996</v>
      </c>
    </row>
    <row r="50" spans="1:6">
      <c r="A50" s="612">
        <f t="shared" si="0"/>
        <v>44</v>
      </c>
      <c r="D50" s="152" t="s">
        <v>227</v>
      </c>
      <c r="E50" s="158" t="s">
        <v>80</v>
      </c>
      <c r="F50" s="164">
        <f>'Schedule 2 Workpaper page 3'!C13</f>
        <v>1985814.35</v>
      </c>
    </row>
    <row r="51" spans="1:6">
      <c r="A51" s="612">
        <f t="shared" si="0"/>
        <v>45</v>
      </c>
      <c r="D51" s="152" t="s">
        <v>516</v>
      </c>
      <c r="E51" s="158" t="s">
        <v>315</v>
      </c>
      <c r="F51" s="166">
        <f>'Schedule 3'!F27</f>
        <v>0.12484523</v>
      </c>
    </row>
    <row r="52" spans="1:6">
      <c r="A52" s="612">
        <f t="shared" si="0"/>
        <v>46</v>
      </c>
      <c r="D52" s="152" t="s">
        <v>436</v>
      </c>
      <c r="E52" s="158" t="s">
        <v>524</v>
      </c>
      <c r="F52" s="164">
        <f>F50*F51</f>
        <v>247919.44926305051</v>
      </c>
    </row>
    <row r="53" spans="1:6">
      <c r="A53" s="612">
        <f t="shared" si="0"/>
        <v>47</v>
      </c>
      <c r="D53" s="152" t="s">
        <v>1044</v>
      </c>
      <c r="E53" s="158" t="s">
        <v>1331</v>
      </c>
      <c r="F53" s="164">
        <f>15581429+91280+306536+54986</f>
        <v>16034231</v>
      </c>
    </row>
    <row r="54" spans="1:6">
      <c r="A54" s="612">
        <f t="shared" si="0"/>
        <v>48</v>
      </c>
      <c r="D54" s="152" t="s">
        <v>514</v>
      </c>
      <c r="E54" s="158" t="s">
        <v>523</v>
      </c>
      <c r="F54" s="165">
        <f>-F53</f>
        <v>-16034231</v>
      </c>
    </row>
    <row r="55" spans="1:6">
      <c r="A55" s="612">
        <f t="shared" si="0"/>
        <v>49</v>
      </c>
      <c r="D55" s="152" t="s">
        <v>516</v>
      </c>
      <c r="E55" s="158" t="s">
        <v>315</v>
      </c>
      <c r="F55" s="166">
        <f>'Schedule 3'!F27</f>
        <v>0.12484523</v>
      </c>
    </row>
    <row r="56" spans="1:6">
      <c r="A56" s="612">
        <f t="shared" si="0"/>
        <v>50</v>
      </c>
      <c r="D56" s="152" t="s">
        <v>393</v>
      </c>
      <c r="E56" s="160" t="s">
        <v>288</v>
      </c>
      <c r="F56" s="165">
        <f>(F53+F54)*F55</f>
        <v>0</v>
      </c>
    </row>
    <row r="57" spans="1:6">
      <c r="A57" s="612">
        <f t="shared" si="0"/>
        <v>51</v>
      </c>
      <c r="F57" s="164"/>
    </row>
    <row r="58" spans="1:6">
      <c r="A58" s="612">
        <f t="shared" si="0"/>
        <v>52</v>
      </c>
      <c r="D58" s="152" t="s">
        <v>437</v>
      </c>
      <c r="E58" s="160" t="s">
        <v>289</v>
      </c>
      <c r="F58" s="164">
        <f>F47+F48+F49+F52+F56</f>
        <v>6109790.1444157762</v>
      </c>
    </row>
    <row r="59" spans="1:6">
      <c r="A59" s="612">
        <f t="shared" si="0"/>
        <v>53</v>
      </c>
    </row>
    <row r="60" spans="1:6">
      <c r="A60" s="612">
        <f t="shared" si="0"/>
        <v>54</v>
      </c>
    </row>
    <row r="61" spans="1:6">
      <c r="A61" s="612">
        <f t="shared" si="0"/>
        <v>55</v>
      </c>
      <c r="B61" s="156" t="s">
        <v>510</v>
      </c>
    </row>
    <row r="62" spans="1:6">
      <c r="A62" s="612">
        <f t="shared" si="0"/>
        <v>56</v>
      </c>
    </row>
    <row r="63" spans="1:6">
      <c r="A63" s="612">
        <f t="shared" si="0"/>
        <v>57</v>
      </c>
      <c r="D63" s="156" t="s">
        <v>510</v>
      </c>
      <c r="E63" s="158" t="s">
        <v>883</v>
      </c>
      <c r="F63" s="92">
        <v>6243722</v>
      </c>
    </row>
    <row r="64" spans="1:6">
      <c r="A64" s="612">
        <f t="shared" si="0"/>
        <v>58</v>
      </c>
      <c r="D64" s="152" t="s">
        <v>516</v>
      </c>
      <c r="E64" s="158" t="s">
        <v>315</v>
      </c>
      <c r="F64" s="152">
        <f>'Schedule 3'!F27</f>
        <v>0.12484523</v>
      </c>
    </row>
    <row r="65" spans="1:6">
      <c r="A65" s="612">
        <f t="shared" si="0"/>
        <v>59</v>
      </c>
      <c r="D65" s="152" t="s">
        <v>484</v>
      </c>
      <c r="E65" s="160" t="s">
        <v>290</v>
      </c>
      <c r="F65" s="162">
        <f>F63*F64</f>
        <v>779498.90914606</v>
      </c>
    </row>
    <row r="66" spans="1:6">
      <c r="A66" s="612">
        <f t="shared" si="0"/>
        <v>60</v>
      </c>
    </row>
    <row r="67" spans="1:6">
      <c r="A67" s="612">
        <f t="shared" si="0"/>
        <v>61</v>
      </c>
      <c r="B67" s="156" t="s">
        <v>207</v>
      </c>
    </row>
    <row r="68" spans="1:6">
      <c r="A68" s="612">
        <f t="shared" si="0"/>
        <v>62</v>
      </c>
      <c r="D68" s="153" t="s">
        <v>209</v>
      </c>
      <c r="E68" s="158" t="s">
        <v>208</v>
      </c>
      <c r="F68" s="167">
        <v>22154895</v>
      </c>
    </row>
    <row r="69" spans="1:6">
      <c r="A69" s="612">
        <f t="shared" si="0"/>
        <v>63</v>
      </c>
      <c r="D69" s="152" t="s">
        <v>210</v>
      </c>
      <c r="E69" s="158" t="s">
        <v>181</v>
      </c>
      <c r="F69" s="92">
        <f>- 'Schedule 7'!G91</f>
        <v>-1124789.23</v>
      </c>
    </row>
    <row r="70" spans="1:6">
      <c r="A70" s="612">
        <f t="shared" si="0"/>
        <v>64</v>
      </c>
      <c r="D70" s="152" t="s">
        <v>211</v>
      </c>
      <c r="E70" s="158" t="s">
        <v>569</v>
      </c>
      <c r="F70" s="168">
        <f>-'Schedule 8'!G17</f>
        <v>-20183.82</v>
      </c>
    </row>
    <row r="71" spans="1:6">
      <c r="A71" s="612">
        <f t="shared" si="0"/>
        <v>65</v>
      </c>
      <c r="D71" s="152" t="s">
        <v>207</v>
      </c>
      <c r="E71" s="160" t="s">
        <v>291</v>
      </c>
      <c r="F71" s="167">
        <f>SUM(F68:F70)</f>
        <v>21009921.949999999</v>
      </c>
    </row>
    <row r="72" spans="1:6">
      <c r="A72" s="612">
        <f t="shared" si="0"/>
        <v>66</v>
      </c>
    </row>
    <row r="73" spans="1:6">
      <c r="A73" s="612">
        <f>A72+1</f>
        <v>67</v>
      </c>
      <c r="B73" s="156" t="s">
        <v>212</v>
      </c>
    </row>
    <row r="74" spans="1:6" ht="25.5">
      <c r="A74" s="612">
        <f>A73+1</f>
        <v>68</v>
      </c>
      <c r="D74" s="517" t="s">
        <v>1060</v>
      </c>
      <c r="E74" s="158" t="s">
        <v>1164</v>
      </c>
      <c r="F74" s="165">
        <v>25278818</v>
      </c>
    </row>
    <row r="75" spans="1:6">
      <c r="A75" s="612">
        <f>A74+1</f>
        <v>69</v>
      </c>
      <c r="D75" s="152" t="s">
        <v>194</v>
      </c>
      <c r="E75" s="158" t="s">
        <v>474</v>
      </c>
      <c r="F75" s="165">
        <f>-'Schedule 2 Workpaper page 1'!E60</f>
        <v>-147608.67100000003</v>
      </c>
    </row>
    <row r="76" spans="1:6">
      <c r="A76" s="612">
        <f>A75+1</f>
        <v>70</v>
      </c>
      <c r="D76" s="152" t="s">
        <v>195</v>
      </c>
      <c r="E76" s="158" t="s">
        <v>475</v>
      </c>
      <c r="F76" s="169">
        <f>-'Schedule 2 Workpaper page 2'!F9</f>
        <v>-22632</v>
      </c>
    </row>
    <row r="77" spans="1:6">
      <c r="A77" s="612">
        <f>A76+1</f>
        <v>71</v>
      </c>
      <c r="D77" s="152" t="s">
        <v>213</v>
      </c>
      <c r="E77" s="160" t="s">
        <v>757</v>
      </c>
      <c r="F77" s="167">
        <f>SUM(F74:F76)</f>
        <v>25108577.329</v>
      </c>
    </row>
    <row r="80" spans="1:6">
      <c r="D80" s="167"/>
    </row>
  </sheetData>
  <sheetProtection formatCells="0"/>
  <mergeCells count="2">
    <mergeCell ref="A1:F1"/>
    <mergeCell ref="A2:F2"/>
  </mergeCells>
  <phoneticPr fontId="0" type="noConversion"/>
  <conditionalFormatting sqref="F75">
    <cfRule type="cellIs" dxfId="3" priority="2" operator="greaterThan">
      <formula>0</formula>
    </cfRule>
  </conditionalFormatting>
  <conditionalFormatting sqref="F47 F50">
    <cfRule type="cellIs" dxfId="2" priority="1" operator="lessThan">
      <formula>0</formula>
    </cfRule>
  </conditionalFormatting>
  <printOptions horizontalCentered="1"/>
  <pageMargins left="0.75" right="0.75" top="1" bottom="1" header="0.5" footer="0.5"/>
  <pageSetup scale="62" orientation="portrait" r:id="rId1"/>
  <headerFooter alignWithMargins="0">
    <oddHeader>&amp;CIDAHO POWER COMPANY
Transmission Cost of Service Rate Development
12 Months Ended 12/31/2017</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40</vt:i4>
      </vt:variant>
      <vt:variant>
        <vt:lpstr>Named Ranges</vt:lpstr>
      </vt:variant>
      <vt:variant>
        <vt:i4>30</vt:i4>
      </vt:variant>
    </vt:vector>
  </HeadingPairs>
  <TitlesOfParts>
    <vt:vector size="70" baseType="lpstr">
      <vt:lpstr>Title Page</vt:lpstr>
      <vt:lpstr>List of Worksheets</vt:lpstr>
      <vt:lpstr>Schedule 7, 8 and 9 Rates</vt:lpstr>
      <vt:lpstr>Calc of PTP</vt:lpstr>
      <vt:lpstr>Calc of NT Rev Req</vt:lpstr>
      <vt:lpstr>Revenue Credits</vt:lpstr>
      <vt:lpstr>Rate Calculation</vt:lpstr>
      <vt:lpstr>Schedule 1</vt:lpstr>
      <vt:lpstr>Schedule 2</vt:lpstr>
      <vt:lpstr>Schedule 3</vt:lpstr>
      <vt:lpstr>Schedule 4</vt:lpstr>
      <vt:lpstr>Schedule 5</vt:lpstr>
      <vt:lpstr>Schedule 6</vt:lpstr>
      <vt:lpstr>Schedule 7</vt:lpstr>
      <vt:lpstr>Schedule 8</vt:lpstr>
      <vt:lpstr>Schedule 9</vt:lpstr>
      <vt:lpstr>Schedule 10</vt:lpstr>
      <vt:lpstr>Schedule 11</vt:lpstr>
      <vt:lpstr>Schedule 12</vt:lpstr>
      <vt:lpstr>Schedule 13</vt:lpstr>
      <vt:lpstr>Workpapers Title Page</vt:lpstr>
      <vt:lpstr>Schedule 1 Workpaper</vt:lpstr>
      <vt:lpstr>Schedule 2 Workpaper page 1</vt:lpstr>
      <vt:lpstr>Schedule 2 Workpaper page 2</vt:lpstr>
      <vt:lpstr>Schedule 2 Workpaper page 3</vt:lpstr>
      <vt:lpstr>Schedule 2 Workpaper page 4</vt:lpstr>
      <vt:lpstr>Schedule 2 Workpaper page 5</vt:lpstr>
      <vt:lpstr>Schedule 4 Workpaper page 1</vt:lpstr>
      <vt:lpstr>Schedule 4 Workpaper page 2</vt:lpstr>
      <vt:lpstr>Schedule 4 Workpaper page 3</vt:lpstr>
      <vt:lpstr>Schedule 4 Workpaper page 4</vt:lpstr>
      <vt:lpstr>Schedule 4 Workpaper page 5</vt:lpstr>
      <vt:lpstr>Schedule 4 Workpaper page 6</vt:lpstr>
      <vt:lpstr>Schedule 4 Workpaper page 7</vt:lpstr>
      <vt:lpstr>Schedule 5 Workpaper </vt:lpstr>
      <vt:lpstr>Schedule 6 Workpaper page 1</vt:lpstr>
      <vt:lpstr>Schedule 6 Workpaper page 2</vt:lpstr>
      <vt:lpstr>Schedule 6 Workpaper page 3</vt:lpstr>
      <vt:lpstr>Schedule 7 Workpaper</vt:lpstr>
      <vt:lpstr>Schedule 8 Workpaper</vt:lpstr>
      <vt:lpstr>'Rate Calculation'!Print_Area</vt:lpstr>
      <vt:lpstr>'Schedule 1'!Print_Area</vt:lpstr>
      <vt:lpstr>'Schedule 1 Workpaper'!Print_Area</vt:lpstr>
      <vt:lpstr>'Schedule 10'!Print_Area</vt:lpstr>
      <vt:lpstr>'Schedule 12'!Print_Area</vt:lpstr>
      <vt:lpstr>'Schedule 13'!Print_Area</vt:lpstr>
      <vt:lpstr>'Schedule 2'!Print_Area</vt:lpstr>
      <vt:lpstr>'Schedule 2 Workpaper page 1'!Print_Area</vt:lpstr>
      <vt:lpstr>'Schedule 2 Workpaper page 4'!Print_Area</vt:lpstr>
      <vt:lpstr>'Schedule 3'!Print_Area</vt:lpstr>
      <vt:lpstr>'Schedule 4'!Print_Area</vt:lpstr>
      <vt:lpstr>'Schedule 4 Workpaper page 1'!Print_Area</vt:lpstr>
      <vt:lpstr>'Schedule 4 Workpaper page 2'!Print_Area</vt:lpstr>
      <vt:lpstr>'Schedule 4 Workpaper page 3'!Print_Area</vt:lpstr>
      <vt:lpstr>'Schedule 4 Workpaper page 4'!Print_Area</vt:lpstr>
      <vt:lpstr>'Schedule 4 Workpaper page 7'!Print_Area</vt:lpstr>
      <vt:lpstr>'Schedule 5'!Print_Area</vt:lpstr>
      <vt:lpstr>'Schedule 5 Workpaper '!Print_Area</vt:lpstr>
      <vt:lpstr>'Schedule 6 Workpaper page 3'!Print_Area</vt:lpstr>
      <vt:lpstr>'Schedule 7'!Print_Area</vt:lpstr>
      <vt:lpstr>'Schedule 7 Workpaper'!Print_Area</vt:lpstr>
      <vt:lpstr>'Schedule 7, 8 and 9 Rates'!Print_Area</vt:lpstr>
      <vt:lpstr>'Schedule 8'!Print_Area</vt:lpstr>
      <vt:lpstr>'Schedule 8 Workpaper'!Print_Area</vt:lpstr>
      <vt:lpstr>'Schedule 9'!Print_Area</vt:lpstr>
      <vt:lpstr>'Title Page'!Print_Area</vt:lpstr>
      <vt:lpstr>'Schedule 2 Workpaper page 4'!Print_Titles</vt:lpstr>
      <vt:lpstr>'Schedule 4 Workpaper page 2'!Print_Titles</vt:lpstr>
      <vt:lpstr>'Schedule 7'!Print_Titles</vt:lpstr>
      <vt:lpstr>'Schedule 7 Workpaper'!Print_Titles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2008-08-26T14:24:20Z</cp:lastPrinted>
  <dcterms:created xsi:type="dcterms:W3CDTF">1970-01-01T05:00:00Z</dcterms:created>
  <dcterms:modified xsi:type="dcterms:W3CDTF">2018-06-19T20:44:20Z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{18BB0A78-5CF0-4B97-B7CF-8A74E977157C}</vt:lpwstr>
  </property>
</Properties>
</file>